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00" i="4" l="1"/>
  <c r="B100" i="4"/>
  <c r="P100" i="4" s="1"/>
  <c r="C100" i="4"/>
  <c r="D100" i="4"/>
  <c r="L100" i="4"/>
  <c r="M100" i="4"/>
  <c r="N100" i="4"/>
  <c r="O100" i="4" s="1"/>
  <c r="Q100" i="4"/>
  <c r="A99" i="4" l="1"/>
  <c r="B99" i="4"/>
  <c r="P99" i="4" s="1"/>
  <c r="C99" i="4"/>
  <c r="Q99" i="4" s="1"/>
  <c r="D99" i="4"/>
  <c r="L99" i="4"/>
  <c r="M99" i="4"/>
  <c r="N99" i="4"/>
  <c r="O99" i="4" s="1"/>
  <c r="A98" i="4" l="1"/>
  <c r="D98" i="4"/>
  <c r="L98" i="4"/>
  <c r="M98" i="4"/>
  <c r="N98" i="4"/>
  <c r="O98" i="4" s="1"/>
  <c r="A97" i="4" l="1"/>
  <c r="D97" i="4"/>
  <c r="L97" i="4"/>
  <c r="M97" i="4"/>
  <c r="N97" i="4"/>
  <c r="O97" i="4" s="1"/>
  <c r="A96" i="4"/>
  <c r="D96" i="4"/>
  <c r="L96" i="4"/>
  <c r="M96" i="4"/>
  <c r="N96" i="4"/>
  <c r="O96" i="4" s="1"/>
  <c r="A95" i="4" l="1"/>
  <c r="B95" i="4"/>
  <c r="P95" i="4" s="1"/>
  <c r="C95" i="4"/>
  <c r="Q95" i="4" s="1"/>
  <c r="D95" i="4"/>
  <c r="L95" i="4"/>
  <c r="M95" i="4"/>
  <c r="D79" i="4" l="1"/>
  <c r="L79" i="4"/>
  <c r="M79" i="4"/>
  <c r="N79" i="4"/>
  <c r="O79" i="4" s="1"/>
  <c r="M93" i="4"/>
  <c r="B94" i="4"/>
  <c r="P94" i="4" s="1"/>
  <c r="C94" i="4"/>
  <c r="Q94" i="4" s="1"/>
  <c r="D94" i="4"/>
  <c r="L94" i="4"/>
  <c r="N95" i="4" s="1"/>
  <c r="O95" i="4" s="1"/>
  <c r="M94" i="4"/>
  <c r="N94" i="4"/>
  <c r="O94" i="4" s="1"/>
  <c r="D93" i="4"/>
  <c r="L93" i="4"/>
  <c r="N93" i="4" s="1"/>
  <c r="O93" i="4" s="1"/>
  <c r="D92" i="4"/>
  <c r="L92" i="4"/>
  <c r="N92" i="4" s="1"/>
  <c r="O92" i="4" s="1"/>
  <c r="M92" i="4"/>
  <c r="B91" i="4" l="1"/>
  <c r="P91" i="4" s="1"/>
  <c r="C91" i="4"/>
  <c r="Q91" i="4" s="1"/>
  <c r="D91" i="4"/>
  <c r="L91" i="4"/>
  <c r="M91" i="4"/>
  <c r="N91" i="4"/>
  <c r="O91" i="4" s="1"/>
  <c r="D90" i="4" l="1"/>
  <c r="L90" i="4"/>
  <c r="N90" i="4" s="1"/>
  <c r="O90" i="4" s="1"/>
  <c r="M90" i="4"/>
  <c r="D89" i="4"/>
  <c r="L89" i="4"/>
  <c r="M89" i="4"/>
  <c r="D88" i="4"/>
  <c r="L88" i="4"/>
  <c r="M88" i="4"/>
  <c r="B87" i="4"/>
  <c r="P87" i="4" s="1"/>
  <c r="C87" i="4"/>
  <c r="Q87" i="4" s="1"/>
  <c r="D87" i="4"/>
  <c r="L87" i="4"/>
  <c r="M87" i="4"/>
  <c r="N87" i="4"/>
  <c r="O87" i="4" s="1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B98" i="4" l="1"/>
  <c r="P98" i="4" s="1"/>
  <c r="C98" i="4"/>
  <c r="Q98" i="4" s="1"/>
  <c r="C97" i="4"/>
  <c r="Q97" i="4" s="1"/>
  <c r="B96" i="4"/>
  <c r="P96" i="4" s="1"/>
  <c r="C96" i="4"/>
  <c r="Q96" i="4" s="1"/>
  <c r="B97" i="4"/>
  <c r="P97" i="4" s="1"/>
  <c r="B79" i="4"/>
  <c r="P79" i="4" s="1"/>
  <c r="C79" i="4"/>
  <c r="Q79" i="4" s="1"/>
  <c r="B93" i="4"/>
  <c r="P93" i="4" s="1"/>
  <c r="B92" i="4"/>
  <c r="P92" i="4" s="1"/>
  <c r="C92" i="4"/>
  <c r="Q92" i="4" s="1"/>
  <c r="C93" i="4"/>
  <c r="Q93" i="4" s="1"/>
  <c r="B90" i="4"/>
  <c r="P90" i="4" s="1"/>
  <c r="B88" i="4"/>
  <c r="P88" i="4" s="1"/>
  <c r="C90" i="4"/>
  <c r="Q90" i="4" s="1"/>
  <c r="C88" i="4"/>
  <c r="Q88" i="4" s="1"/>
  <c r="C86" i="4"/>
  <c r="Q86" i="4" s="1"/>
  <c r="B89" i="4"/>
  <c r="P89" i="4" s="1"/>
  <c r="B86" i="4"/>
  <c r="P86" i="4" s="1"/>
  <c r="C89" i="4"/>
  <c r="Q89" i="4" s="1"/>
  <c r="C84" i="4"/>
  <c r="Q84" i="4" s="1"/>
  <c r="C82" i="4"/>
  <c r="Q82" i="4" s="1"/>
  <c r="B84" i="4"/>
  <c r="P84" i="4" s="1"/>
  <c r="B82" i="4"/>
  <c r="P82" i="4" s="1"/>
  <c r="B85" i="4"/>
  <c r="P85" i="4" s="1"/>
  <c r="C85" i="4"/>
  <c r="Q85" i="4" s="1"/>
  <c r="B83" i="4"/>
  <c r="P83" i="4" s="1"/>
  <c r="C83" i="4"/>
  <c r="Q83" i="4" s="1"/>
  <c r="D68" i="4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100" i="4" s="1"/>
  <c r="F10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98" i="4" l="1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X16" i="6" s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<sst xmlns="http://schemas.openxmlformats.org/spreadsheetml/2006/main" count="335" uniqueCount="104">
  <si>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</si>
  <si>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</si>
  <si>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</si>
  <si>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</si>
  <si>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</si>
  <si>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</si>
  <si>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</si>
  <si>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</si>
  <si>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</si>
  <si>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</si>
  <si>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</si>
  <si>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</si>
  <si>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</si>
  <si>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</si>
  <si>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</si>
  <si>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</si>
  <si>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</si>
  <si>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</si>
  <si>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</si>
  <si>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</si>
  <si>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</si>
  <si>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</si>
  <si>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</si>
  <si>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</si>
  <si>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</si>
  <si>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</si>
  <si>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</si>
  <si>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</si>
  <si>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</si>
  <si>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</si>
  <si>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</si>
  <si>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</si>
  <si>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</si>
  <si>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</si>
  <si>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</si>
  <si>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</si>
  <si>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</si>
  <si>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</si>
  <si>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</si>
  <si>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</si>
  <si>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</si>
  <si>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</si>
  <si>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</si>
  <si>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</si>
  <si>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</si>
  <si>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</si>
  <si>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</si>
  <si>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</si>
  <si>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</si>
  <si>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</si>
  <si>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</si>
  <si>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</si>
  <si>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</si>
  <si>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</si>
  <si>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</si>
  <si>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</si>
  <si>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</si>
  <si>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</si>
  <si>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</si>
  <si>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</si>
  <si>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</si>
  <si>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</si>
  <si>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</si>
  <si>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</si>
  <si>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</si>
  <si>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</si>
  <si>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</si>
  <si>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</si>
  <si>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</si>
  <si>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</si>
  <si>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</si>
  <si>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</si>
  <si>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</si>
  <si>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</si>
  <si>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</si>
  <si>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</si>
  <si>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</si>
  <si>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</si>
  <si>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</si>
  <si>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</si>
  <si>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</si>
  <si>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</si>
  <si>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</si>
  <si>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</si>
  <si>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</si>
  <si>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</si>
  <si>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</si>
  <si>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</si>
  <si>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</si>
  <si>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</si>
  <si>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</si>
  <si>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</si>
  <si>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</si>
  <si>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</si>
  <si>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</si>
  <si>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</si>
  <si>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</si>
  <si>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</si>
  <si>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</si>
  <si>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</si>
  <si>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TEEBPD/Table syncing</t>
  </si>
  <si>
    <t>RTM/Modification</t>
  </si>
  <si>
    <t>Table synching</t>
  </si>
  <si>
    <t>TEEBPD/Table synching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</si>
</sst>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3828288"/>
        <c:axId val="1823828832"/>
      </c:barChart>
      <c:catAx>
        <c:axId val="182382828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8832"/>
        <c:crosses val="autoZero"/>
        <c:auto val="1"/>
        <c:lblAlgn val="ctr"/>
        <c:lblOffset val="100"/>
        <c:noMultiLvlLbl val="0"/>
      </c:catAx>
      <c:valAx>
        <c:axId val="1823828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828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23836448"/>
        <c:axId val="1823826656"/>
      </c:barChart>
      <c:catAx>
        <c:axId val="182383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6656"/>
        <c:crosses val="autoZero"/>
        <c:auto val="1"/>
        <c:lblAlgn val="ctr"/>
        <c:lblOffset val="100"/>
        <c:noMultiLvlLbl val="0"/>
      </c:catAx>
      <c:valAx>
        <c:axId val="18238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364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synching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29376"/>
        <c:axId val="1823829920"/>
      </c:areaChart>
      <c:catAx>
        <c:axId val="1823829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9920"/>
        <c:crosses val="autoZero"/>
        <c:auto val="1"/>
        <c:lblAlgn val="ctr"/>
        <c:lblOffset val="100"/>
        <c:noMultiLvlLbl val="0"/>
      </c:catAx>
      <c:valAx>
        <c:axId val="182382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937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2642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823831552"/>
        <c:axId val="1823823936"/>
      </c:barChart>
      <c:catAx>
        <c:axId val="182383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3936"/>
        <c:crosses val="autoZero"/>
        <c:auto val="1"/>
        <c:lblAlgn val="ctr"/>
        <c:lblOffset val="100"/>
        <c:noMultiLvlLbl val="0"/>
      </c:catAx>
      <c:valAx>
        <c:axId val="182382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3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823821760"/>
        <c:axId val="1823832640"/>
      </c:barChart>
      <c:dateAx>
        <c:axId val="18238217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32640"/>
        <c:crosses val="autoZero"/>
        <c:auto val="1"/>
        <c:lblOffset val="100"/>
        <c:baseTimeUnit val="days"/>
      </c:dateAx>
      <c:valAx>
        <c:axId val="18238326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2382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00" totalsRowShown="0" headerRowDxfId="18" dataDxfId="17">
  <autoFilter ref="A1:Q10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3" sqref="D3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" t="s">
        <v>102</v>
      </c>
      <c r="E29" s="123" t="str">
        <f>CONCATENATE(ProjectTasks[Project],"/",ProjectTasks[Task])</f>
        <v>TEEBPD/Table synching</v>
      </c>
      <c r="F29" s="123" t="str">
        <f>ProjectTasks[Project]</f>
        <v>TEEBPD</v>
      </c>
      <c r="G29" s="123" t="str">
        <f>ProjectTasks[Task]</f>
        <v>Table synching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A88" workbookViewId="0">
      <selection activeCell="K100" sqref="K10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e">
        <f>VLOOKUP(TaskTimings[Task],ProjectTasks[[TaskProjectCode]:[TSK]],2,0)</f>
        <v>#N/A</v>
      </c>
      <c r="C69" s="117" t="e">
        <f>VLOOKUP(TaskTimings[Task],ProjectTasks[[TaskProjectCode]:[TSK]],3,0)</f>
        <v>#N/A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100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e">
        <f>TaskTimings[PRJ]</f>
        <v>#N/A</v>
      </c>
      <c r="Q69" s="117" t="e">
        <f>TaskTimings[TSK]</f>
        <v>#N/A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synching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" t="s">
        <v>103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synching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synching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103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synching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synching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103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synching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synching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18" t="s">
        <v>103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synching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101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synching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103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synching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synching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103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synching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synching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103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synching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synching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103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synching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101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101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101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101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synching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18" t="s">
        <v>103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synching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synching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18" t="s">
        <v>103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synching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synching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18" t="s">
        <v>103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synching</v>
      </c>
    </row>
    <row r="97" spans="1:17" x14ac:dyDescent="0.25">
      <c r="A97" s="125">
        <f>IFERROR($A96+1,1)</f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synching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18" t="s">
        <v>103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synching</v>
      </c>
    </row>
    <row r="98" spans="1:17" x14ac:dyDescent="0.25">
      <c r="A98" s="125">
        <f>IFERROR($A97+1,1)</f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synching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18" t="s">
        <v>103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synching</v>
      </c>
    </row>
    <row r="99" spans="1:17" x14ac:dyDescent="0.25">
      <c r="A99" s="5">
        <f>IFERROR($A98+1,1)</f>
        <v>97</v>
      </c>
      <c r="B99" s="10" t="str">
        <f>VLOOKUP(TaskTimings[Task],ProjectTasks[[TaskProjectCode]:[TSK]],2,0)</f>
        <v>TEEBPD</v>
      </c>
      <c r="C99" s="10" t="str">
        <f>VLOOKUP(TaskTimings[Task],ProjectTasks[[TaskProjectCode]:[TSK]],3,0)</f>
        <v>Table synching</v>
      </c>
      <c r="D99" s="10" t="str">
        <f>TaskTimings[Employee]&amp;"/"&amp;TaskTimings[Date]</f>
        <v>Shareena/43469</v>
      </c>
      <c r="E99" s="10">
        <f>COUNTIF($D$1:TaskTimings[[#This Row],[EmployeeDate]],TaskTimings[[#This Row],[EmployeeDate]])</f>
        <v>1</v>
      </c>
      <c r="F99" s="10" t="str">
        <f>TaskTimings[[#This Row],[EmployeeDate]]&amp;"/"&amp;TaskTimings[[#This Row],[EmployeeDateSeq]]</f>
        <v>Shareena/43469/1</v>
      </c>
      <c r="G99" s="118" t="s">
        <v>103</v>
      </c>
      <c r="H99" s="1" t="s">
        <v>16</v>
      </c>
      <c r="I99" s="8">
        <v>43469</v>
      </c>
      <c r="J99" s="124">
        <v>0.39583333333333331</v>
      </c>
      <c r="K99" s="93">
        <v>0.47916666666666669</v>
      </c>
      <c r="L99" s="2">
        <f>(TaskTimings[End Time]-TaskTimings[Start Time])*1440</f>
        <v>120.00000000000006</v>
      </c>
      <c r="M99" s="2" t="str">
        <f>TEXT(TaskTimings[End Time]-TaskTimings[Start Time],"HH:mm")</f>
        <v>02:00</v>
      </c>
      <c r="N99" s="2">
        <f>SUMIFS(TaskTimings[Total Minutes],TaskTimings[Date],TaskTimings[Date],TaskTimings[Employee],TaskTimings[Employee])</f>
        <v>120.00000000000006</v>
      </c>
      <c r="O99" s="2" t="str">
        <f>TEXT(TaskTimings[Day Total Minutes]/1440,"HH:mm")</f>
        <v>02:00</v>
      </c>
      <c r="P99" s="10" t="str">
        <f>TaskTimings[PRJ]</f>
        <v>TEEBPD</v>
      </c>
      <c r="Q99" s="10" t="str">
        <f>TaskTimings[TSK]</f>
        <v>Table synching</v>
      </c>
    </row>
    <row r="100" spans="1:17" x14ac:dyDescent="0.25">
      <c r="A100" s="5">
        <f>IFERROR($A99+1,1)</f>
        <v>98</v>
      </c>
      <c r="B100" s="10" t="str">
        <f>VLOOKUP(TaskTimings[Task],ProjectTasks[[TaskProjectCode]:[TSK]],2,0)</f>
        <v>TEEBPD</v>
      </c>
      <c r="C100" s="10" t="str">
        <f>VLOOKUP(TaskTimings[Task],ProjectTasks[[TaskProjectCode]:[TSK]],3,0)</f>
        <v>Table synching</v>
      </c>
      <c r="D100" s="10" t="str">
        <f>TaskTimings[Employee]&amp;"/"&amp;TaskTimings[Date]</f>
        <v>Shareena/43470</v>
      </c>
      <c r="E100" s="10">
        <f>COUNTIF($D$1:TaskTimings[[#This Row],[EmployeeDate]],TaskTimings[[#This Row],[EmployeeDate]])</f>
        <v>1</v>
      </c>
      <c r="F100" s="10" t="str">
        <f>TaskTimings[[#This Row],[EmployeeDate]]&amp;"/"&amp;TaskTimings[[#This Row],[EmployeeDateSeq]]</f>
        <v>Shareena/43470/1</v>
      </c>
      <c r="G100" s="1" t="s">
        <v>103</v>
      </c>
      <c r="H100" s="1" t="s">
        <v>16</v>
      </c>
      <c r="I100" s="8">
        <v>43470</v>
      </c>
      <c r="J100" s="124">
        <v>0.41666666666666669</v>
      </c>
      <c r="K100" s="2"/>
      <c r="L100" s="2">
        <f>(TaskTimings[End Time]-TaskTimings[Start Time])*1440</f>
        <v>-600</v>
      </c>
      <c r="M100" s="2" t="e">
        <f>TEXT(TaskTimings[End Time]-TaskTimings[Start Time],"HH:mm")</f>
        <v>#VALUE!</v>
      </c>
      <c r="N100" s="2">
        <f>SUMIFS(TaskTimings[Total Minutes],TaskTimings[Date],TaskTimings[Date],TaskTimings[Employee],TaskTimings[Employee])</f>
        <v>-600</v>
      </c>
      <c r="O100" s="2" t="e">
        <f>TEXT(TaskTimings[Day Total Minutes]/1440,"HH:mm")</f>
        <v>#VALUE!</v>
      </c>
      <c r="P100" s="10" t="str">
        <f>TaskTimings[PRJ]</f>
        <v>TEEBPD</v>
      </c>
      <c r="Q100" s="10" t="str">
        <f>TaskTimings[TSK]</f>
        <v>Table synching</v>
      </c>
    </row>
  </sheetData>
  <dataValidations count="2">
    <dataValidation type="list" allowBlank="1" showInputMessage="1" showErrorMessage="1" sqref="H2:H100">
      <formula1>EmployeeNames</formula1>
    </dataValidation>
    <dataValidation type="list" allowBlank="1" showInputMessage="1" showErrorMessage="1" sqref="G2:G10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32" t="s">
        <v>5</v>
      </c>
      <c r="B1" s="132"/>
      <c r="C1" s="132"/>
      <c r="D1" s="132"/>
      <c r="E1" s="132"/>
    </row>
    <row r="2" spans="1:16" x14ac:dyDescent="0.25">
      <c r="A2" s="132"/>
      <c r="B2" s="132"/>
      <c r="C2" s="132"/>
      <c r="D2" s="132"/>
      <c r="E2" s="132"/>
      <c r="J2" s="150" t="s">
        <v>33</v>
      </c>
      <c r="K2" s="150"/>
      <c r="L2" s="150"/>
    </row>
    <row r="3" spans="1:16" x14ac:dyDescent="0.25">
      <c r="A3" s="132"/>
      <c r="B3" s="132"/>
      <c r="C3" s="132"/>
      <c r="D3" s="132"/>
      <c r="E3" s="132"/>
      <c r="J3" s="150"/>
      <c r="K3" s="150"/>
      <c r="L3" s="150"/>
    </row>
    <row r="4" spans="1:16" ht="15.75" thickBot="1" x14ac:dyDescent="0.3">
      <c r="A4" s="134" t="str">
        <f>VLOOKUP($A$1,Project[[Project]:[Project Code]],2,0)</f>
        <v>TEEBPD</v>
      </c>
      <c r="B4" s="13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35" t="s">
        <v>29</v>
      </c>
      <c r="C5" s="135"/>
      <c r="D5" s="135"/>
      <c r="E5" s="135"/>
      <c r="F5" s="135"/>
      <c r="G5" s="140" t="s">
        <v>32</v>
      </c>
      <c r="H5" s="144"/>
      <c r="J5" s="137" t="str">
        <f>IFERROR(VLOOKUP(J$4,Employees[],2,0),"")</f>
        <v>Aswathy</v>
      </c>
      <c r="K5" s="140" t="str">
        <f>IFERROR(VLOOKUP(K$4,Employees[],2,0),"")</f>
        <v>Vishnu</v>
      </c>
      <c r="L5" s="140" t="str">
        <f>IFERROR(VLOOKUP(L$4,Employees[],2,0),"")</f>
        <v>Shareena</v>
      </c>
      <c r="M5" s="140" t="str">
        <f>IFERROR(VLOOKUP(M$4,Employees[],2,0),"")</f>
        <v>Firose</v>
      </c>
      <c r="N5" s="140" t="str">
        <f>IFERROR(VLOOKUP(N$4,Employees[],2,0),"")</f>
        <v/>
      </c>
      <c r="O5" s="140" t="str">
        <f>IFERROR(VLOOKUP(O$4,Employees[],2,0),"")</f>
        <v/>
      </c>
      <c r="P5" s="144" t="str">
        <f>IFERROR(VLOOKUP(P$4,Employees[],2,0),"")</f>
        <v/>
      </c>
    </row>
    <row r="6" spans="1:16" x14ac:dyDescent="0.25">
      <c r="A6" s="138"/>
      <c r="B6" s="136"/>
      <c r="C6" s="136"/>
      <c r="D6" s="136"/>
      <c r="E6" s="136"/>
      <c r="F6" s="136"/>
      <c r="G6" s="141"/>
      <c r="H6" s="145"/>
      <c r="J6" s="138"/>
      <c r="K6" s="141"/>
      <c r="L6" s="141"/>
      <c r="M6" s="141"/>
      <c r="N6" s="141"/>
      <c r="O6" s="141"/>
      <c r="P6" s="145"/>
    </row>
    <row r="7" spans="1:16" x14ac:dyDescent="0.25">
      <c r="A7" s="12">
        <v>1</v>
      </c>
      <c r="B7" s="133" t="str">
        <f>IFERROR(VLOOKUP($A$4&amp;"-"&amp;$A7,ProjectTasks[[PRJTSKSEQ]:[Task]],2,0),"")</f>
        <v>Theme Designing</v>
      </c>
      <c r="C7" s="133"/>
      <c r="D7" s="133"/>
      <c r="E7" s="133"/>
      <c r="F7" s="133"/>
      <c r="G7" s="142">
        <f>SUMIFS(TaskTimings[Total Minutes],TaskTimings[PRJ],$A$4,TaskTimings[TSK],$B7)</f>
        <v>0</v>
      </c>
      <c r="H7" s="143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33" t="str">
        <f>IFERROR(VLOOKUP($A$4&amp;"-"&amp;$A8,ProjectTasks[[PRJTSKSEQ]:[Task]],2,0),"")</f>
        <v>Database Structure Designing</v>
      </c>
      <c r="C8" s="133"/>
      <c r="D8" s="133"/>
      <c r="E8" s="133"/>
      <c r="F8" s="133"/>
      <c r="G8" s="142">
        <f>SUMIFS(TaskTimings[Total Minutes],TaskTimings[PRJ],$A$4,TaskTimings[TSK],$B8)</f>
        <v>0</v>
      </c>
      <c r="H8" s="143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33" t="str">
        <f>IFERROR(VLOOKUP($A$4&amp;"-"&amp;$A9,ProjectTasks[[PRJTSKSEQ]:[Task]],2,0),"")</f>
        <v>Appframe configuration</v>
      </c>
      <c r="C9" s="133"/>
      <c r="D9" s="133"/>
      <c r="E9" s="133"/>
      <c r="F9" s="133"/>
      <c r="G9" s="142">
        <f>SUMIFS(TaskTimings[Total Minutes],TaskTimings[PRJ],$A$4,TaskTimings[TSK],$B9)</f>
        <v>0</v>
      </c>
      <c r="H9" s="14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33" t="str">
        <f>IFERROR(VLOOKUP($A$4&amp;"-"&amp;$A10,ProjectTasks[[PRJTSKSEQ]:[Task]],2,0),"")</f>
        <v>Inhouse Testing</v>
      </c>
      <c r="C10" s="133"/>
      <c r="D10" s="133"/>
      <c r="E10" s="133"/>
      <c r="F10" s="133"/>
      <c r="G10" s="142">
        <f>SUMIFS(TaskTimings[Total Minutes],TaskTimings[PRJ],$A$4,TaskTimings[TSK],$B10)</f>
        <v>239.99999999999994</v>
      </c>
      <c r="H10" s="14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33" t="str">
        <f>IFERROR(VLOOKUP($A$4&amp;"-"&amp;$A11,ProjectTasks[[PRJTSKSEQ]:[Task]],2,0),"")</f>
        <v>Client Demonstration</v>
      </c>
      <c r="C11" s="133"/>
      <c r="D11" s="133"/>
      <c r="E11" s="133"/>
      <c r="F11" s="133"/>
      <c r="G11" s="142">
        <f>SUMIFS(TaskTimings[Total Minutes],TaskTimings[PRJ],$A$4,TaskTimings[TSK],$B11)</f>
        <v>0</v>
      </c>
      <c r="H11" s="14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33" t="str">
        <f>IFERROR(VLOOKUP($A$4&amp;"-"&amp;$A12,ProjectTasks[[PRJTSKSEQ]:[Task]],2,0),"")</f>
        <v>Client Suggestion Implementation</v>
      </c>
      <c r="C12" s="133"/>
      <c r="D12" s="133"/>
      <c r="E12" s="133"/>
      <c r="F12" s="133"/>
      <c r="G12" s="142">
        <f>SUMIFS(TaskTimings[Total Minutes],TaskTimings[PRJ],$A$4,TaskTimings[TSK],$B12)</f>
        <v>1200</v>
      </c>
      <c r="H12" s="14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33" t="str">
        <f>IFERROR(VLOOKUP($A$4&amp;"-"&amp;$A13,ProjectTasks[[PRJTSKSEQ]:[Task]],2,0),"")</f>
        <v>Finalizing</v>
      </c>
      <c r="C13" s="133"/>
      <c r="D13" s="133"/>
      <c r="E13" s="133"/>
      <c r="F13" s="133"/>
      <c r="G13" s="142">
        <f>SUMIFS(TaskTimings[Total Minutes],TaskTimings[PRJ],$A$4,TaskTimings[TSK],$B13)</f>
        <v>839.99999999999989</v>
      </c>
      <c r="H13" s="14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33" t="str">
        <f>IFERROR(VLOOKUP($A$4&amp;"-"&amp;$A14,ProjectTasks[[PRJTSKSEQ]:[Task]],2,0),"")</f>
        <v>Synchronization Implementing</v>
      </c>
      <c r="C14" s="133"/>
      <c r="D14" s="133"/>
      <c r="E14" s="133"/>
      <c r="F14" s="133"/>
      <c r="G14" s="142">
        <f>SUMIFS(TaskTimings[Total Minutes],TaskTimings[PRJ],$A$4,TaskTimings[TSK],$B14)</f>
        <v>480.00000000000006</v>
      </c>
      <c r="H14" s="14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33" t="str">
        <f>IFERROR(VLOOKUP($A$4&amp;"-"&amp;$A15,ProjectTasks[[PRJTSKSEQ]:[Task]],2,0),"")</f>
        <v>Table synching</v>
      </c>
      <c r="C15" s="133"/>
      <c r="D15" s="133"/>
      <c r="E15" s="133"/>
      <c r="F15" s="133"/>
      <c r="G15" s="142">
        <f>SUMIFS(TaskTimings[Total Minutes],TaskTimings[PRJ],$A$4,TaskTimings[TSK],$B15)</f>
        <v>2582</v>
      </c>
      <c r="H15" s="14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2582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33" t="str">
        <f>IFERROR(VLOOKUP($A$4&amp;"-"&amp;$A16,ProjectTasks[[PRJTSKSEQ]:[Task]],2,0),"")</f>
        <v/>
      </c>
      <c r="C16" s="133"/>
      <c r="D16" s="133"/>
      <c r="E16" s="133"/>
      <c r="F16" s="133"/>
      <c r="G16" s="142">
        <f>SUMIFS(TaskTimings[Total Minutes],TaskTimings[PRJ],$A$4,TaskTimings[TSK],$B16)</f>
        <v>0</v>
      </c>
      <c r="H16" s="14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33" t="str">
        <f>IFERROR(VLOOKUP($A$4&amp;"-"&amp;$A17,ProjectTasks[[PRJTSKSEQ]:[Task]],2,0),"")</f>
        <v/>
      </c>
      <c r="C17" s="133"/>
      <c r="D17" s="133"/>
      <c r="E17" s="133"/>
      <c r="F17" s="133"/>
      <c r="G17" s="142">
        <f>SUMIFS(TaskTimings[Total Minutes],TaskTimings[PRJ],$A$4,TaskTimings[TSK],$B17)</f>
        <v>0</v>
      </c>
      <c r="H17" s="14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33" t="str">
        <f>IFERROR(VLOOKUP($A$4&amp;"-"&amp;$A18,ProjectTasks[[PRJTSKSEQ]:[Task]],2,0),"")</f>
        <v/>
      </c>
      <c r="C18" s="133"/>
      <c r="D18" s="133"/>
      <c r="E18" s="133"/>
      <c r="F18" s="133"/>
      <c r="G18" s="142">
        <f>SUMIFS(TaskTimings[Total Minutes],TaskTimings[PRJ],$A$4,TaskTimings[TSK],$B18)</f>
        <v>0</v>
      </c>
      <c r="H18" s="14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33" t="str">
        <f>IFERROR(VLOOKUP($A$4&amp;"-"&amp;$A19,ProjectTasks[[PRJTSKSEQ]:[Task]],2,0),"")</f>
        <v/>
      </c>
      <c r="C19" s="133"/>
      <c r="D19" s="133"/>
      <c r="E19" s="133"/>
      <c r="F19" s="133"/>
      <c r="G19" s="142">
        <f>SUMIFS(TaskTimings[Total Minutes],TaskTimings[PRJ],$A$4,TaskTimings[TSK],$B19)</f>
        <v>0</v>
      </c>
      <c r="H19" s="14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33" t="str">
        <f>IFERROR(VLOOKUP($A$4&amp;"-"&amp;$A20,ProjectTasks[[PRJTSKSEQ]:[Task]],2,0),"")</f>
        <v/>
      </c>
      <c r="C20" s="133"/>
      <c r="D20" s="133"/>
      <c r="E20" s="133"/>
      <c r="F20" s="133"/>
      <c r="G20" s="142">
        <f>SUMIFS(TaskTimings[Total Minutes],TaskTimings[PRJ],$A$4,TaskTimings[TSK],$B20)</f>
        <v>0</v>
      </c>
      <c r="H20" s="14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39" t="str">
        <f>IFERROR(VLOOKUP($A$4&amp;"-"&amp;$A21,ProjectTasks[[PRJTSKSEQ]:[Task]],2,0),"")</f>
        <v/>
      </c>
      <c r="C21" s="139"/>
      <c r="D21" s="139"/>
      <c r="E21" s="139"/>
      <c r="F21" s="139"/>
      <c r="G21" s="148">
        <f>SUMIFS(TaskTimings[Total Minutes],TaskTimings[PRJ],$A$4,TaskTimings[TSK],$B21)</f>
        <v>0</v>
      </c>
      <c r="H21" s="14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51" t="s">
        <v>24</v>
      </c>
      <c r="E23" s="152"/>
      <c r="F23" s="153"/>
      <c r="G23" s="151">
        <f>SUM(G7:H21)</f>
        <v>5342</v>
      </c>
      <c r="H23" s="153"/>
      <c r="J23" s="146">
        <f>SUM(J7:J21)</f>
        <v>0</v>
      </c>
      <c r="K23" s="146">
        <f t="shared" ref="K23:P23" si="0">SUM(K7:K21)</f>
        <v>0</v>
      </c>
      <c r="L23" s="146">
        <f t="shared" si="0"/>
        <v>2642</v>
      </c>
      <c r="M23" s="146">
        <f t="shared" si="0"/>
        <v>2700</v>
      </c>
      <c r="N23" s="146">
        <f t="shared" si="0"/>
        <v>0</v>
      </c>
      <c r="O23" s="146">
        <f t="shared" si="0"/>
        <v>0</v>
      </c>
      <c r="P23" s="146">
        <f t="shared" si="0"/>
        <v>0</v>
      </c>
    </row>
    <row r="24" spans="1:16" ht="15.75" thickBot="1" x14ac:dyDescent="0.3">
      <c r="D24" s="154"/>
      <c r="E24" s="155"/>
      <c r="F24" s="156"/>
      <c r="G24" s="154"/>
      <c r="H24" s="156"/>
      <c r="J24" s="147"/>
      <c r="K24" s="147"/>
      <c r="L24" s="147"/>
      <c r="M24" s="147"/>
      <c r="N24" s="147"/>
      <c r="O24" s="147"/>
      <c r="P24" s="147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76" t="s">
        <v>16</v>
      </c>
      <c r="B1" s="176"/>
      <c r="C1" s="176"/>
      <c r="D1" s="176"/>
      <c r="F1" s="178" t="s">
        <v>35</v>
      </c>
      <c r="G1" s="17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76"/>
      <c r="B2" s="176"/>
      <c r="C2" s="176"/>
      <c r="D2" s="176"/>
      <c r="F2" s="177">
        <v>43444</v>
      </c>
      <c r="G2" s="177"/>
      <c r="I2" s="157">
        <f>SUM(I7:I30)</f>
        <v>1792</v>
      </c>
      <c r="J2" s="159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76"/>
      <c r="B3" s="176"/>
      <c r="C3" s="176"/>
      <c r="D3" s="176"/>
      <c r="F3" s="177"/>
      <c r="G3" s="177"/>
      <c r="I3" s="158"/>
      <c r="J3" s="16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50" t="s">
        <v>44</v>
      </c>
      <c r="L4" s="150"/>
      <c r="M4" s="150"/>
    </row>
    <row r="5" spans="1:28" ht="15.75" thickBot="1" x14ac:dyDescent="0.3">
      <c r="B5" s="150" t="s">
        <v>45</v>
      </c>
      <c r="C5" s="150"/>
      <c r="D5" s="150"/>
      <c r="E5" s="150"/>
      <c r="F5" s="150"/>
      <c r="K5" s="174"/>
      <c r="L5" s="174"/>
      <c r="M5" s="174"/>
    </row>
    <row r="6" spans="1:28" ht="15.75" thickBot="1" x14ac:dyDescent="0.3">
      <c r="A6" s="14">
        <v>1</v>
      </c>
      <c r="B6" s="175"/>
      <c r="C6" s="175"/>
      <c r="D6" s="175"/>
      <c r="E6" s="175"/>
      <c r="F6" s="175"/>
      <c r="J6" s="25"/>
      <c r="K6" s="32" t="s">
        <v>0</v>
      </c>
      <c r="L6" s="167" t="s">
        <v>4</v>
      </c>
      <c r="M6" s="167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79">
        <f>$F$2</f>
        <v>43444</v>
      </c>
      <c r="C7" s="140"/>
      <c r="D7" s="180" t="str">
        <f>IFERROR(VLOOKUP($A$1&amp;"/"&amp;$B$7&amp;"/"&amp;$A6,TaskTimings[[EmployeeDateSeqCode]:[Task]],2,0),"")</f>
        <v>TKT/Package Creation-Stage1</v>
      </c>
      <c r="E7" s="180"/>
      <c r="F7" s="180"/>
      <c r="G7" s="180"/>
      <c r="H7" s="23">
        <f>IFERROR(VLOOKUP($A$1&amp;"/"&amp;$B$7&amp;"/"&amp;$A6,TaskTimings[[EmployeeDateSeqCode]:[Total Minutes]],7,0),0)</f>
        <v>164.99999999999997</v>
      </c>
      <c r="I7" s="169">
        <f>SUM(H7:H10)</f>
        <v>314.99999999999989</v>
      </c>
      <c r="J7" s="25"/>
      <c r="K7" s="70">
        <v>1</v>
      </c>
      <c r="L7" s="161" t="str">
        <f>IFERROR(VLOOKUP($K7,$X$7:$Y$30,2,0),"")</f>
        <v>TKT</v>
      </c>
      <c r="M7" s="161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41"/>
      <c r="D8" s="170" t="str">
        <f>IFERROR(VLOOKUP($A$1&amp;"/"&amp;$B$7&amp;"/"&amp;$A7,TaskTimings[[EmployeeDateSeqCode]:[Task]],2,0),"")</f>
        <v>TKT/Package Creation-Stage1</v>
      </c>
      <c r="E8" s="170"/>
      <c r="F8" s="170"/>
      <c r="G8" s="170"/>
      <c r="H8" s="22">
        <f>IFERROR(VLOOKUP($A$1&amp;"/"&amp;$B$7&amp;"/"&amp;$A7,TaskTimings[[EmployeeDateSeqCode]:[Total Minutes]],7,0),0)</f>
        <v>149.99999999999994</v>
      </c>
      <c r="I8" s="159"/>
      <c r="J8" s="25"/>
      <c r="K8" s="70">
        <v>2</v>
      </c>
      <c r="L8" s="161" t="str">
        <f>IFERROR(VLOOKUP($K8,$X$7:$Y$30,2,0),"")</f>
        <v/>
      </c>
      <c r="M8" s="16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41"/>
      <c r="D9" s="170" t="str">
        <f>IFERROR(VLOOKUP($A$1&amp;"/"&amp;$B$7&amp;"/"&amp;$A8,TaskTimings[[EmployeeDateSeqCode]:[Task]],2,0),"")</f>
        <v/>
      </c>
      <c r="E9" s="170"/>
      <c r="F9" s="170"/>
      <c r="G9" s="170"/>
      <c r="H9" s="22">
        <f>IFERROR(VLOOKUP($A$1&amp;"/"&amp;$B$7&amp;"/"&amp;$A8,TaskTimings[[EmployeeDateSeqCode]:[Total Minutes]],7,0),0)</f>
        <v>0</v>
      </c>
      <c r="I9" s="159"/>
      <c r="J9" s="25"/>
      <c r="K9" s="70">
        <v>3</v>
      </c>
      <c r="L9" s="161" t="str">
        <f>IFERROR(VLOOKUP($K9,$X$7:$Y$30,2,0),"")</f>
        <v/>
      </c>
      <c r="M9" s="16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41"/>
      <c r="D10" s="170" t="str">
        <f>IFERROR(VLOOKUP($A$1&amp;"/"&amp;$B$7&amp;"/"&amp;$A9,TaskTimings[[EmployeeDateSeqCode]:[Task]],2,0),"")</f>
        <v/>
      </c>
      <c r="E10" s="170"/>
      <c r="F10" s="170"/>
      <c r="G10" s="170"/>
      <c r="H10" s="22">
        <f>IFERROR(VLOOKUP($A$1&amp;"/"&amp;$B$7&amp;"/"&amp;$A9,TaskTimings[[EmployeeDateSeqCode]:[Total Minutes]],7,0),0)</f>
        <v>0</v>
      </c>
      <c r="I10" s="159"/>
      <c r="J10" s="25"/>
      <c r="K10" s="70">
        <v>4</v>
      </c>
      <c r="L10" s="161" t="str">
        <f>IFERROR(VLOOKUP($K10,$X$7:$Y$30,2,0),"")</f>
        <v/>
      </c>
      <c r="M10" s="16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71">
        <f>B7+1</f>
        <v>43445</v>
      </c>
      <c r="C11" s="141"/>
      <c r="D11" s="170" t="str">
        <f>IFERROR(VLOOKUP($A$1&amp;"/"&amp;$B$11&amp;"/"&amp;$A10,TaskTimings[[EmployeeDateSeqCode]:[Task]],2,0),"")</f>
        <v>TKT/Package Creation-Stage2(Resource creation)</v>
      </c>
      <c r="E11" s="170"/>
      <c r="F11" s="170"/>
      <c r="G11" s="170"/>
      <c r="H11" s="22">
        <f>IFERROR(VLOOKUP($A$1&amp;"/"&amp;$B$11&amp;"/"&amp;$A10,TaskTimings[[EmployeeDateSeqCode]:[Total Minutes]],7,0),0)</f>
        <v>164.99999999999997</v>
      </c>
      <c r="I11" s="159">
        <f t="shared" ref="I11" si="2">SUM(H11:H14)</f>
        <v>164.99999999999997</v>
      </c>
      <c r="J11" s="25"/>
      <c r="K11" s="71">
        <v>5</v>
      </c>
      <c r="L11" s="164" t="str">
        <f>IFERROR(VLOOKUP($K11,$X$7:$Y$30,2,0),"")</f>
        <v/>
      </c>
      <c r="M11" s="16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38"/>
      <c r="C12" s="141"/>
      <c r="D12" s="170" t="str">
        <f>IFERROR(VLOOKUP($A$1&amp;"/"&amp;$B$11&amp;"/"&amp;$A11,TaskTimings[[EmployeeDateSeqCode]:[Task]],2,0),"")</f>
        <v/>
      </c>
      <c r="E12" s="170"/>
      <c r="F12" s="170"/>
      <c r="G12" s="170"/>
      <c r="H12" s="22">
        <f>IFERROR(VLOOKUP($A$1&amp;"/"&amp;$B$11&amp;"/"&amp;$A11,TaskTimings[[EmployeeDateSeqCode]:[Total Minutes]],7,0),0)</f>
        <v>0</v>
      </c>
      <c r="I12" s="15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41"/>
      <c r="D13" s="170" t="str">
        <f>IFERROR(VLOOKUP($A$1&amp;"/"&amp;$B$11&amp;"/"&amp;$A12,TaskTimings[[EmployeeDateSeqCode]:[Task]],2,0),"")</f>
        <v/>
      </c>
      <c r="E13" s="170"/>
      <c r="F13" s="170"/>
      <c r="G13" s="170"/>
      <c r="H13" s="22">
        <f>IFERROR(VLOOKUP($A$1&amp;"/"&amp;$B$11&amp;"/"&amp;$A12,TaskTimings[[EmployeeDateSeqCode]:[Total Minutes]],7,0),0)</f>
        <v>0</v>
      </c>
      <c r="I13" s="159"/>
      <c r="J13" s="25"/>
      <c r="K13" s="174" t="s">
        <v>46</v>
      </c>
      <c r="L13" s="174"/>
      <c r="M13" s="174"/>
      <c r="N13" s="174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41"/>
      <c r="D14" s="170" t="str">
        <f>IFERROR(VLOOKUP($A$1&amp;"/"&amp;$B$11&amp;"/"&amp;$A13,TaskTimings[[EmployeeDateSeqCode]:[Task]],2,0),"")</f>
        <v/>
      </c>
      <c r="E14" s="170"/>
      <c r="F14" s="170"/>
      <c r="G14" s="170"/>
      <c r="H14" s="22">
        <f>IFERROR(VLOOKUP($A$1&amp;"/"&amp;$B$11&amp;"/"&amp;$A13,TaskTimings[[EmployeeDateSeqCode]:[Total Minutes]],7,0),0)</f>
        <v>0</v>
      </c>
      <c r="I14" s="159"/>
      <c r="J14" s="25"/>
      <c r="K14" s="175"/>
      <c r="L14" s="175"/>
      <c r="M14" s="175"/>
      <c r="N14" s="175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71">
        <f>B11+1</f>
        <v>43446</v>
      </c>
      <c r="C15" s="141"/>
      <c r="D15" s="170" t="str">
        <f>IFERROR(VLOOKUP($A$1&amp;"/"&amp;$B$15&amp;"/"&amp;$A14,TaskTimings[[EmployeeDateSeqCode]:[Task]],2,0),"")</f>
        <v>TEEBPD/Table syncing</v>
      </c>
      <c r="E15" s="170"/>
      <c r="F15" s="170"/>
      <c r="G15" s="170"/>
      <c r="H15" s="22">
        <f>IFERROR(VLOOKUP($A$1&amp;"/"&amp;$B$15&amp;"/"&amp;$A14,TaskTimings[[EmployeeDateSeqCode]:[Total Minutes]],7,0),0)</f>
        <v>69.999999999999915</v>
      </c>
      <c r="I15" s="159">
        <f t="shared" ref="I15" si="3">SUM(H15:H18)</f>
        <v>181.99999999999983</v>
      </c>
      <c r="J15" s="25"/>
      <c r="K15" s="166" t="s">
        <v>4</v>
      </c>
      <c r="L15" s="165"/>
      <c r="M15" s="165" t="s">
        <v>29</v>
      </c>
      <c r="N15" s="165"/>
      <c r="O15" s="165"/>
      <c r="P15" s="16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e">
        <f>IF($U15=0,"",VLOOKUP($D15,TaskTimings[[Task]:[PRJLST]],10,0))</f>
        <v>#N/A</v>
      </c>
      <c r="W15" s="84" t="e">
        <f>IF($V15="","",COUNTIF($V$7:$V15,$V15))</f>
        <v>#N/A</v>
      </c>
      <c r="X15" s="84" t="e">
        <f>IF($W15=1,MAX($X$6:$X14)+1,"")</f>
        <v>#N/A</v>
      </c>
      <c r="Y15" s="85" t="e">
        <f t="shared" si="0"/>
        <v>#N/A</v>
      </c>
      <c r="Z15" s="83" t="e">
        <f>IF($Y15="","",$Y15&amp;"/"&amp;COUNTIF($Y$7:$Y15,$Y15))</f>
        <v>#N/A</v>
      </c>
      <c r="AA15" s="83" t="e">
        <f>IF($Z15="","",VLOOKUP($D15,TaskTimings[[Task]:[TSKLST]],11,0))</f>
        <v>#N/A</v>
      </c>
      <c r="AB15" s="86" t="e">
        <f t="shared" si="1"/>
        <v>#N/A</v>
      </c>
    </row>
    <row r="16" spans="1:28" x14ac:dyDescent="0.25">
      <c r="A16" s="14">
        <v>3</v>
      </c>
      <c r="B16" s="138"/>
      <c r="C16" s="141"/>
      <c r="D16" s="170" t="str">
        <f>IFERROR(VLOOKUP($A$1&amp;"/"&amp;$B$15&amp;"/"&amp;$A15,TaskTimings[[EmployeeDateSeqCode]:[Task]],2,0),"")</f>
        <v>TEEBPD/Table synching</v>
      </c>
      <c r="E16" s="170"/>
      <c r="F16" s="170"/>
      <c r="G16" s="170"/>
      <c r="H16" s="22">
        <f>IFERROR(VLOOKUP($A$1&amp;"/"&amp;$B$15&amp;"/"&amp;$A15,TaskTimings[[EmployeeDateSeqCode]:[Total Minutes]],7,0),0)</f>
        <v>111.99999999999991</v>
      </c>
      <c r="I16" s="159"/>
      <c r="J16" s="26">
        <v>1</v>
      </c>
      <c r="K16" s="162" t="str">
        <f>VLOOKUP(1,$K$7:$M$11,2,0)</f>
        <v>TKT</v>
      </c>
      <c r="L16" s="142"/>
      <c r="M16" s="161" t="str">
        <f>IF($K$16="","",IFERROR(VLOOKUP($K$16&amp;"/"&amp;$J16,$Z$7:$AA$30,2,0),""))</f>
        <v>Package Creation-Stage1</v>
      </c>
      <c r="N16" s="161"/>
      <c r="O16" s="161"/>
      <c r="P16" s="161"/>
      <c r="Q16" s="22">
        <f>IF($M16="","",SUMIFS($H$7:$H$30,$D$7:$D$30,$K$16&amp;"/"&amp;$M16))</f>
        <v>314.99999999999989</v>
      </c>
      <c r="R16" s="159">
        <f>SUM(Q16:Q19)</f>
        <v>925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1</v>
      </c>
      <c r="X16" s="84" t="e">
        <f>IF($W16=1,MAX($X$6:$X15)+1,"")</f>
        <v>#N/A</v>
      </c>
      <c r="Y16" s="85" t="str">
        <f t="shared" si="0"/>
        <v>TEEBPD</v>
      </c>
      <c r="Z16" s="83" t="str">
        <f>IF($Y16="","",$Y16&amp;"/"&amp;COUNTIF($Y$7:$Y16,$Y16))</f>
        <v>TEEBPD/1</v>
      </c>
      <c r="AA16" s="83" t="str">
        <f>IF($Z16="","",VLOOKUP($D16,TaskTimings[[Task]:[TSKLST]],11,0))</f>
        <v>Table synching</v>
      </c>
      <c r="AB16" s="86">
        <f t="shared" si="1"/>
        <v>796.99999999999989</v>
      </c>
    </row>
    <row r="17" spans="1:28" x14ac:dyDescent="0.25">
      <c r="A17" s="14">
        <v>4</v>
      </c>
      <c r="B17" s="138"/>
      <c r="C17" s="141"/>
      <c r="D17" s="170" t="str">
        <f>IFERROR(VLOOKUP($A$1&amp;"/"&amp;$B$15&amp;"/"&amp;$A16,TaskTimings[[EmployeeDateSeqCode]:[Task]],2,0),"")</f>
        <v/>
      </c>
      <c r="E17" s="170"/>
      <c r="F17" s="170"/>
      <c r="G17" s="170"/>
      <c r="H17" s="22">
        <f>IFERROR(VLOOKUP($A$1&amp;"/"&amp;$B$15&amp;"/"&amp;$A16,TaskTimings[[EmployeeDateSeqCode]:[Total Minutes]],7,0),0)</f>
        <v>0</v>
      </c>
      <c r="I17" s="159"/>
      <c r="J17" s="26">
        <v>2</v>
      </c>
      <c r="K17" s="162"/>
      <c r="L17" s="142"/>
      <c r="M17" s="161" t="str">
        <f>IF($K$16="","",IFERROR(VLOOKUP($K$16&amp;"/"&amp;$J17,$Z$7:$AA$30,2,0),""))</f>
        <v>Package Creation-Stage2(Resource creation)</v>
      </c>
      <c r="N17" s="161"/>
      <c r="O17" s="161"/>
      <c r="P17" s="161"/>
      <c r="Q17" s="22">
        <f>IF($M17="","",SUMIFS($H$7:$H$30,$D$7:$D$30,$K$16&amp;"/"&amp;$M17))</f>
        <v>610.00000000000011</v>
      </c>
      <c r="R17" s="15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41"/>
      <c r="D18" s="170" t="str">
        <f>IFERROR(VLOOKUP($A$1&amp;"/"&amp;$B$15&amp;"/"&amp;$A17,TaskTimings[[EmployeeDateSeqCode]:[Task]],2,0),"")</f>
        <v/>
      </c>
      <c r="E18" s="170"/>
      <c r="F18" s="170"/>
      <c r="G18" s="170"/>
      <c r="H18" s="22">
        <f>IFERROR(VLOOKUP($A$1&amp;"/"&amp;$B$15&amp;"/"&amp;$A17,TaskTimings[[EmployeeDateSeqCode]:[Total Minutes]],7,0),0)</f>
        <v>0</v>
      </c>
      <c r="I18" s="159"/>
      <c r="J18" s="26">
        <v>3</v>
      </c>
      <c r="K18" s="162"/>
      <c r="L18" s="142"/>
      <c r="M18" s="161" t="str">
        <f>IF($K$16="","",IFERROR(VLOOKUP($K$16&amp;"/"&amp;$J18,$Z$7:$AA$30,2,0),""))</f>
        <v/>
      </c>
      <c r="N18" s="161"/>
      <c r="O18" s="161"/>
      <c r="P18" s="161"/>
      <c r="Q18" s="22" t="str">
        <f>IF($M18="","",SUMIFS($H$7:$H$30,$D$7:$D$30,$K$16&amp;"/"&amp;$M18))</f>
        <v/>
      </c>
      <c r="R18" s="15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71">
        <f>B15+1</f>
        <v>43447</v>
      </c>
      <c r="C19" s="141"/>
      <c r="D19" s="170" t="str">
        <f>IFERROR(VLOOKUP($A$1&amp;"/"&amp;$B$19&amp;"/"&amp;$A18,TaskTimings[[EmployeeDateSeqCode]:[Task]],2,0),"")</f>
        <v>TKT/Package Creation-Stage2(Resource creation)</v>
      </c>
      <c r="E19" s="170"/>
      <c r="F19" s="170"/>
      <c r="G19" s="170"/>
      <c r="H19" s="22">
        <f>IFERROR(VLOOKUP($A$1&amp;"/"&amp;$B$19&amp;"/"&amp;$A18,TaskTimings[[EmployeeDateSeqCode]:[Total Minutes]],7,0),0)</f>
        <v>445.00000000000011</v>
      </c>
      <c r="I19" s="159">
        <f t="shared" ref="I19" si="4">SUM(H19:H22)</f>
        <v>445.00000000000011</v>
      </c>
      <c r="J19" s="26">
        <v>4</v>
      </c>
      <c r="K19" s="162"/>
      <c r="L19" s="142"/>
      <c r="M19" s="161" t="str">
        <f>IF($K$16="","",IFERROR(VLOOKUP($K$16&amp;"/"&amp;$J19,$Z$7:$AA$30,2,0),""))</f>
        <v/>
      </c>
      <c r="N19" s="161"/>
      <c r="O19" s="161"/>
      <c r="P19" s="161"/>
      <c r="Q19" s="22" t="str">
        <f>IF($M19="","",SUMIFS($H$7:$H$30,$D$7:$D$30,$K$16&amp;"/"&amp;$M19))</f>
        <v/>
      </c>
      <c r="R19" s="15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41"/>
      <c r="D20" s="170" t="str">
        <f>IFERROR(VLOOKUP($A$1&amp;"/"&amp;$B$19&amp;"/"&amp;$A19,TaskTimings[[EmployeeDateSeqCode]:[Task]],2,0),"")</f>
        <v/>
      </c>
      <c r="E20" s="170"/>
      <c r="F20" s="170"/>
      <c r="G20" s="170"/>
      <c r="H20" s="22">
        <f>IFERROR(VLOOKUP($A$1&amp;"/"&amp;$B$19&amp;"/"&amp;$A19,TaskTimings[[EmployeeDateSeqCode]:[Total Minutes]],7,0),0)</f>
        <v>0</v>
      </c>
      <c r="I20" s="159"/>
      <c r="J20" s="26">
        <v>1</v>
      </c>
      <c r="K20" s="162" t="str">
        <f>VLOOKUP(2,$K$7:$M$11,2,0)</f>
        <v/>
      </c>
      <c r="L20" s="142"/>
      <c r="M20" s="161" t="str">
        <f>IF($K$20="","",IFERROR(VLOOKUP($K$20&amp;"/"&amp;$J20,$Z$7:$AA$30,2,0),""))</f>
        <v/>
      </c>
      <c r="N20" s="161"/>
      <c r="O20" s="161"/>
      <c r="P20" s="161"/>
      <c r="Q20" s="22" t="str">
        <f>IF($M20="","",SUMIFS($H$7:$H$30,$D$7:$D$30,$K$20&amp;"/"&amp;$M20))</f>
        <v/>
      </c>
      <c r="R20" s="15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41"/>
      <c r="D21" s="170" t="str">
        <f>IFERROR(VLOOKUP($A$1&amp;"/"&amp;$B$19&amp;"/"&amp;$A20,TaskTimings[[EmployeeDateSeqCode]:[Task]],2,0),"")</f>
        <v/>
      </c>
      <c r="E21" s="170"/>
      <c r="F21" s="170"/>
      <c r="G21" s="170"/>
      <c r="H21" s="22">
        <f>IFERROR(VLOOKUP($A$1&amp;"/"&amp;$B$19&amp;"/"&amp;$A20,TaskTimings[[EmployeeDateSeqCode]:[Total Minutes]],7,0),0)</f>
        <v>0</v>
      </c>
      <c r="I21" s="159"/>
      <c r="J21" s="26">
        <v>2</v>
      </c>
      <c r="K21" s="162"/>
      <c r="L21" s="142"/>
      <c r="M21" s="161" t="str">
        <f>IF($K$20="","",IFERROR(VLOOKUP($K$20&amp;"/"&amp;$J21,$Z$7:$AA$30,2,0),""))</f>
        <v/>
      </c>
      <c r="N21" s="161"/>
      <c r="O21" s="161"/>
      <c r="P21" s="161"/>
      <c r="Q21" s="22" t="str">
        <f>IF($M21="","",SUMIFS($H$7:$H$30,$D$7:$D$30,$K$20&amp;"/"&amp;$M21))</f>
        <v/>
      </c>
      <c r="R21" s="15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41"/>
      <c r="D22" s="170" t="str">
        <f>IFERROR(VLOOKUP($A$1&amp;"/"&amp;$B$19&amp;"/"&amp;$A21,TaskTimings[[EmployeeDateSeqCode]:[Task]],2,0),"")</f>
        <v/>
      </c>
      <c r="E22" s="170"/>
      <c r="F22" s="170"/>
      <c r="G22" s="170"/>
      <c r="H22" s="22">
        <f>IFERROR(VLOOKUP($A$1&amp;"/"&amp;$B$19&amp;"/"&amp;$A21,TaskTimings[[EmployeeDateSeqCode]:[Total Minutes]],7,0),0)</f>
        <v>0</v>
      </c>
      <c r="I22" s="159"/>
      <c r="J22" s="26">
        <v>3</v>
      </c>
      <c r="K22" s="162"/>
      <c r="L22" s="142"/>
      <c r="M22" s="161" t="str">
        <f>IF($K$20="","",IFERROR(VLOOKUP($K$20&amp;"/"&amp;$J22,$Z$7:$AA$30,2,0),""))</f>
        <v/>
      </c>
      <c r="N22" s="161"/>
      <c r="O22" s="161"/>
      <c r="P22" s="161"/>
      <c r="Q22" s="22" t="str">
        <f>IF($M22="","",SUMIFS($H$7:$H$30,$D$7:$D$30,$K$20&amp;"/"&amp;$M22))</f>
        <v/>
      </c>
      <c r="R22" s="15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71">
        <f>B19+1</f>
        <v>43448</v>
      </c>
      <c r="C23" s="141"/>
      <c r="D23" s="170" t="str">
        <f>IFERROR(VLOOKUP($A$1&amp;"/"&amp;$B$23&amp;"/"&amp;$A22,TaskTimings[[EmployeeDateSeqCode]:[Task]],2,0),"")</f>
        <v>TEEBPD/Table synching</v>
      </c>
      <c r="E23" s="170"/>
      <c r="F23" s="170"/>
      <c r="G23" s="170"/>
      <c r="H23" s="22">
        <f>IFERROR(VLOOKUP($A$1&amp;"/"&amp;$B$23&amp;"/"&amp;$A22,TaskTimings[[EmployeeDateSeqCode]:[Total Minutes]],7,0),0)</f>
        <v>89.999999999999915</v>
      </c>
      <c r="I23" s="159">
        <f t="shared" ref="I23" si="6">SUM(H23:H26)</f>
        <v>264.99999999999994</v>
      </c>
      <c r="J23" s="26">
        <v>4</v>
      </c>
      <c r="K23" s="162"/>
      <c r="L23" s="142"/>
      <c r="M23" s="161" t="str">
        <f>IF($K$20="","",IFERROR(VLOOKUP($K$20&amp;"/"&amp;$J23,$Z$7:$AA$30,2,0),""))</f>
        <v/>
      </c>
      <c r="N23" s="161"/>
      <c r="O23" s="161"/>
      <c r="P23" s="161"/>
      <c r="Q23" s="22" t="str">
        <f>IF($M23="","",SUMIFS($H$7:$H$30,$D$7:$D$30,$K$20&amp;"/"&amp;$M23))</f>
        <v/>
      </c>
      <c r="R23" s="15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41"/>
      <c r="D24" s="170" t="str">
        <f>IFERROR(VLOOKUP($A$1&amp;"/"&amp;$B$23&amp;"/"&amp;$A23,TaskTimings[[EmployeeDateSeqCode]:[Task]],2,0),"")</f>
        <v>TEEBPD/Table synching</v>
      </c>
      <c r="E24" s="170"/>
      <c r="F24" s="170"/>
      <c r="G24" s="170"/>
      <c r="H24" s="22">
        <f>IFERROR(VLOOKUP($A$1&amp;"/"&amp;$B$23&amp;"/"&amp;$A23,TaskTimings[[EmployeeDateSeqCode]:[Total Minutes]],7,0),0)</f>
        <v>175.00000000000003</v>
      </c>
      <c r="I24" s="159"/>
      <c r="J24" s="26">
        <v>1</v>
      </c>
      <c r="K24" s="162" t="str">
        <f>VLOOKUP(3,$K$7:$M$11,2,0)</f>
        <v/>
      </c>
      <c r="L24" s="142"/>
      <c r="M24" s="161" t="str">
        <f>IF($K$24="","",IFERROR(VLOOKUP($K$24&amp;"/"&amp;$J24,$Z$7:$AA$30,2,0),""))</f>
        <v/>
      </c>
      <c r="N24" s="161"/>
      <c r="O24" s="161"/>
      <c r="P24" s="161"/>
      <c r="Q24" s="22" t="str">
        <f>IF($M24="","",SUMIFS($H$7:$H$30,$D$7:$D$30,$K$24&amp;"/"&amp;$M24))</f>
        <v/>
      </c>
      <c r="R24" s="15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41"/>
      <c r="D25" s="170" t="str">
        <f>IFERROR(VLOOKUP($A$1&amp;"/"&amp;$B$23&amp;"/"&amp;$A24,TaskTimings[[EmployeeDateSeqCode]:[Task]],2,0),"")</f>
        <v/>
      </c>
      <c r="E25" s="170"/>
      <c r="F25" s="170"/>
      <c r="G25" s="170"/>
      <c r="H25" s="22">
        <f>IFERROR(VLOOKUP($A$1&amp;"/"&amp;$B$23&amp;"/"&amp;$A24,TaskTimings[[EmployeeDateSeqCode]:[Total Minutes]],7,0),0)</f>
        <v>0</v>
      </c>
      <c r="I25" s="159"/>
      <c r="J25" s="26">
        <v>2</v>
      </c>
      <c r="K25" s="162"/>
      <c r="L25" s="142"/>
      <c r="M25" s="161" t="str">
        <f>IF($K$24="","",IFERROR(VLOOKUP($K$24&amp;"/"&amp;$J25,$Z$7:$AA$30,2,0),""))</f>
        <v/>
      </c>
      <c r="N25" s="161"/>
      <c r="O25" s="161"/>
      <c r="P25" s="161"/>
      <c r="Q25" s="22" t="str">
        <f>IF($M25="","",SUMIFS($H$7:$H$30,$D$7:$D$30,$K$24&amp;"/"&amp;$M25))</f>
        <v/>
      </c>
      <c r="R25" s="159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41"/>
      <c r="D26" s="170" t="str">
        <f>IFERROR(VLOOKUP($A$1&amp;"/"&amp;$B$23&amp;"/"&amp;$A25,TaskTimings[[EmployeeDateSeqCode]:[Task]],2,0),"")</f>
        <v/>
      </c>
      <c r="E26" s="170"/>
      <c r="F26" s="170"/>
      <c r="G26" s="170"/>
      <c r="H26" s="22">
        <f>IFERROR(VLOOKUP($A$1&amp;"/"&amp;$B$23&amp;"/"&amp;$A25,TaskTimings[[EmployeeDateSeqCode]:[Total Minutes]],7,0),0)</f>
        <v>0</v>
      </c>
      <c r="I26" s="159"/>
      <c r="J26" s="26">
        <v>3</v>
      </c>
      <c r="K26" s="162"/>
      <c r="L26" s="142"/>
      <c r="M26" s="161" t="str">
        <f>IF($K$24="","",IFERROR(VLOOKUP($K$24&amp;"/"&amp;$J26,$Z$7:$AA$30,2,0),""))</f>
        <v/>
      </c>
      <c r="N26" s="161"/>
      <c r="O26" s="161"/>
      <c r="P26" s="161"/>
      <c r="Q26" s="22" t="str">
        <f>IF($M26="","",SUMIFS($H$7:$H$30,$D$7:$D$30,$K$24&amp;"/"&amp;$M26))</f>
        <v/>
      </c>
      <c r="R26" s="15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71">
        <f>B23+1</f>
        <v>43449</v>
      </c>
      <c r="C27" s="141"/>
      <c r="D27" s="170" t="str">
        <f>IFERROR(VLOOKUP($A$1&amp;"/"&amp;$B$27&amp;"/"&amp;$A26,TaskTimings[[EmployeeDateSeqCode]:[Task]],2,0),"")</f>
        <v>TEEBPD/Table synching</v>
      </c>
      <c r="E27" s="170"/>
      <c r="F27" s="170"/>
      <c r="G27" s="170"/>
      <c r="H27" s="22">
        <f>IFERROR(VLOOKUP($A$1&amp;"/"&amp;$B$27&amp;"/"&amp;$A26,TaskTimings[[EmployeeDateSeqCode]:[Total Minutes]],7,0),0)</f>
        <v>420</v>
      </c>
      <c r="I27" s="159">
        <f t="shared" ref="I27" si="8">SUM(H27:H30)</f>
        <v>420</v>
      </c>
      <c r="J27" s="26">
        <v>4</v>
      </c>
      <c r="K27" s="162"/>
      <c r="L27" s="142"/>
      <c r="M27" s="161" t="str">
        <f>IF($K$24="","",IFERROR(VLOOKUP($K$24&amp;"/"&amp;$J27,$Z$7:$AA$30,2,0),""))</f>
        <v/>
      </c>
      <c r="N27" s="161"/>
      <c r="O27" s="161"/>
      <c r="P27" s="161"/>
      <c r="Q27" s="22" t="str">
        <f>IF($M27="","",SUMIFS($H$7:$H$30,$D$7:$D$30,$K$24&amp;"/"&amp;$M27))</f>
        <v/>
      </c>
      <c r="R27" s="15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41"/>
      <c r="D28" s="170" t="str">
        <f>IFERROR(VLOOKUP($A$1&amp;"/"&amp;$B$27&amp;"/"&amp;$A27,TaskTimings[[EmployeeDateSeqCode]:[Task]],2,0),"")</f>
        <v/>
      </c>
      <c r="E28" s="170"/>
      <c r="F28" s="170"/>
      <c r="G28" s="170"/>
      <c r="H28" s="22">
        <f>IFERROR(VLOOKUP($A$1&amp;"/"&amp;$B$27&amp;"/"&amp;$A27,TaskTimings[[EmployeeDateSeqCode]:[Total Minutes]],7,0),0)</f>
        <v>0</v>
      </c>
      <c r="I28" s="159"/>
      <c r="J28" s="26">
        <v>1</v>
      </c>
      <c r="K28" s="162" t="str">
        <f>VLOOKUP(4,$K$7:$M$11,2,0)</f>
        <v/>
      </c>
      <c r="L28" s="142"/>
      <c r="M28" s="161" t="str">
        <f>IF($K$28="","",IFERROR(VLOOKUP($K$28&amp;"/"&amp;$J28,$Z$7:$AA$30,2,0),""))</f>
        <v/>
      </c>
      <c r="N28" s="161"/>
      <c r="O28" s="161"/>
      <c r="P28" s="161"/>
      <c r="Q28" s="22" t="str">
        <f>IF($M28="","",SUMIFS($H$7:$H$30,$D$7:$D$30,$K$28&amp;"/"&amp;$M28))</f>
        <v/>
      </c>
      <c r="R28" s="15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41"/>
      <c r="D29" s="170" t="str">
        <f>IFERROR(VLOOKUP($A$1&amp;"/"&amp;$B$27&amp;"/"&amp;$A28,TaskTimings[[EmployeeDateSeqCode]:[Task]],2,0),"")</f>
        <v/>
      </c>
      <c r="E29" s="170"/>
      <c r="F29" s="170"/>
      <c r="G29" s="170"/>
      <c r="H29" s="22">
        <f>IFERROR(VLOOKUP($A$1&amp;"/"&amp;$B$27&amp;"/"&amp;$A28,TaskTimings[[EmployeeDateSeqCode]:[Total Minutes]],7,0),0)</f>
        <v>0</v>
      </c>
      <c r="I29" s="159"/>
      <c r="J29" s="26">
        <v>2</v>
      </c>
      <c r="K29" s="162"/>
      <c r="L29" s="142"/>
      <c r="M29" s="161" t="str">
        <f>IF($K$28="","",IFERROR(VLOOKUP($K$28&amp;"/"&amp;$J29,$Z$7:$AA$30,2,0),""))</f>
        <v/>
      </c>
      <c r="N29" s="161"/>
      <c r="O29" s="161"/>
      <c r="P29" s="161"/>
      <c r="Q29" s="22" t="str">
        <f>IF($M29="","",SUMIFS($H$7:$H$30,$D$7:$D$30,$K$28&amp;"/"&amp;$M29))</f>
        <v/>
      </c>
      <c r="R29" s="15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72"/>
      <c r="C30" s="173"/>
      <c r="D30" s="168" t="str">
        <f>IFERROR(VLOOKUP($A$1&amp;"/"&amp;$B$27&amp;"/"&amp;$A29,TaskTimings[[EmployeeDateSeqCode]:[Task]],2,0),"")</f>
        <v/>
      </c>
      <c r="E30" s="168"/>
      <c r="F30" s="168"/>
      <c r="G30" s="168"/>
      <c r="H30" s="24">
        <f>IFERROR(VLOOKUP($A$1&amp;"/"&amp;$B$27&amp;"/"&amp;$A29,TaskTimings[[EmployeeDateSeqCode]:[Total Minutes]],7,0),0)</f>
        <v>0</v>
      </c>
      <c r="I30" s="160"/>
      <c r="J30" s="26">
        <v>3</v>
      </c>
      <c r="K30" s="162"/>
      <c r="L30" s="142"/>
      <c r="M30" s="161" t="str">
        <f>IF($K$28="","",IFERROR(VLOOKUP($K$28&amp;"/"&amp;$J30,$Z$7:$AA$30,2,0),""))</f>
        <v/>
      </c>
      <c r="N30" s="161"/>
      <c r="O30" s="161"/>
      <c r="P30" s="161"/>
      <c r="Q30" s="22" t="str">
        <f>IF($M30="","",SUMIFS($H$7:$H$30,$D$7:$D$30,$K$28&amp;"/"&amp;$M30))</f>
        <v/>
      </c>
      <c r="R30" s="15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62"/>
      <c r="L31" s="142"/>
      <c r="M31" s="161" t="str">
        <f>IF($K$28="","",IFERROR(VLOOKUP($K$28&amp;"/"&amp;$J31,$Z$7:$AA$30,2,0),""))</f>
        <v/>
      </c>
      <c r="N31" s="161"/>
      <c r="O31" s="161"/>
      <c r="P31" s="161"/>
      <c r="Q31" s="22" t="str">
        <f>IF($M31="","",SUMIFS($H$7:$H$30,$D$7:$D$30,$K$28&amp;"/"&amp;$M31))</f>
        <v/>
      </c>
      <c r="R31" s="159"/>
    </row>
    <row r="32" spans="1:28" x14ac:dyDescent="0.25">
      <c r="J32" s="26">
        <v>1</v>
      </c>
      <c r="K32" s="162" t="str">
        <f>VLOOKUP(5,$K$7:$M$11,2,0)</f>
        <v/>
      </c>
      <c r="L32" s="142"/>
      <c r="M32" s="161" t="str">
        <f>IF($K$32="","",IFERROR(VLOOKUP($K$32&amp;"/"&amp;$J32,$Z$7:$AA$30,2,0),""))</f>
        <v/>
      </c>
      <c r="N32" s="161"/>
      <c r="O32" s="161"/>
      <c r="P32" s="161"/>
      <c r="Q32" s="22" t="str">
        <f>IF($M32="","",SUMIFS($H$7:$H$30,$D$7:$D$30,$K$32&amp;"/"&amp;$M32))</f>
        <v/>
      </c>
      <c r="R32" s="159">
        <f t="shared" ref="R32" si="10">SUM(Q32:Q35)</f>
        <v>0</v>
      </c>
    </row>
    <row r="33" spans="10:18" x14ac:dyDescent="0.25">
      <c r="J33" s="26">
        <v>2</v>
      </c>
      <c r="K33" s="162"/>
      <c r="L33" s="142"/>
      <c r="M33" s="161" t="str">
        <f>IF($K$32="","",IFERROR(VLOOKUP($K$32&amp;"/"&amp;$J33,$Z$7:$AA$30,2,0),""))</f>
        <v/>
      </c>
      <c r="N33" s="161"/>
      <c r="O33" s="161"/>
      <c r="P33" s="161"/>
      <c r="Q33" s="22" t="str">
        <f>IF($M33="","",SUMIFS($H$7:$H$30,$D$7:$D$30,$K$32&amp;"/"&amp;$M33))</f>
        <v/>
      </c>
      <c r="R33" s="159"/>
    </row>
    <row r="34" spans="10:18" x14ac:dyDescent="0.25">
      <c r="J34" s="26">
        <v>3</v>
      </c>
      <c r="K34" s="162"/>
      <c r="L34" s="142"/>
      <c r="M34" s="161" t="str">
        <f>IF($K$32="","",IFERROR(VLOOKUP($K$32&amp;"/"&amp;$J34,$Z$7:$AA$30,2,0),""))</f>
        <v/>
      </c>
      <c r="N34" s="161"/>
      <c r="O34" s="161"/>
      <c r="P34" s="161"/>
      <c r="Q34" s="22" t="str">
        <f>IF($M34="","",SUMIFS($H$7:$H$30,$D$7:$D$30,$K$32&amp;"/"&amp;$M34))</f>
        <v/>
      </c>
      <c r="R34" s="159"/>
    </row>
    <row r="35" spans="10:18" ht="15.75" thickBot="1" x14ac:dyDescent="0.3">
      <c r="J35" s="26">
        <v>4</v>
      </c>
      <c r="K35" s="163"/>
      <c r="L35" s="148"/>
      <c r="M35" s="164" t="str">
        <f>IF($K$32="","",IFERROR(VLOOKUP($K$32&amp;"/"&amp;$J35,$Z$7:$AA$30,2,0),""))</f>
        <v/>
      </c>
      <c r="N35" s="164"/>
      <c r="O35" s="164"/>
      <c r="P35" s="164"/>
      <c r="Q35" s="24" t="str">
        <f>IF($M35="","",SUMIFS($H$7:$H$30,$D$7:$D$30,$K$32&amp;"/"&amp;$M35))</f>
        <v/>
      </c>
      <c r="R35" s="160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2019-01-05T04:41:55Z</dcterms:modified>
</cp:coreProperties>
</file>