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wathy M S\Desktop\Project-Development\"/>
    </mc:Choice>
  </mc:AlternateContent>
  <bookViews>
    <workbookView xWindow="0" yWindow="0" windowWidth="20400" windowHeight="6855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73" i="4" l="1"/>
  <c r="B73" i="4"/>
  <c r="P73" i="4" s="1"/>
  <c r="C73" i="4"/>
  <c r="Q73" i="4" s="1"/>
  <c r="D73" i="4"/>
  <c r="L73" i="4"/>
  <c r="M73" i="4"/>
  <c r="N73" i="4"/>
  <c r="O73" i="4" s="1"/>
  <c r="M72" i="4" l="1"/>
  <c r="A72" i="4" l="1"/>
  <c r="B72" i="4"/>
  <c r="P72" i="4" s="1"/>
  <c r="C72" i="4"/>
  <c r="Q72" i="4" s="1"/>
  <c r="D72" i="4"/>
  <c r="L72" i="4"/>
  <c r="A71" i="4" l="1"/>
  <c r="B71" i="4"/>
  <c r="P71" i="4" s="1"/>
  <c r="C71" i="4"/>
  <c r="Q71" i="4" s="1"/>
  <c r="D71" i="4"/>
  <c r="L71" i="4"/>
  <c r="M71" i="4"/>
  <c r="A70" i="4" l="1"/>
  <c r="B70" i="4"/>
  <c r="P70" i="4" s="1"/>
  <c r="C70" i="4"/>
  <c r="Q70" i="4" s="1"/>
  <c r="D70" i="4"/>
  <c r="L70" i="4"/>
  <c r="N72" i="4" s="1"/>
  <c r="O72" i="4" s="1"/>
  <c r="M70" i="4"/>
  <c r="N70" i="4"/>
  <c r="O70" i="4" s="1"/>
  <c r="A29" i="2" l="1"/>
  <c r="C29" i="2"/>
  <c r="E29" i="2"/>
  <c r="F29" i="2"/>
  <c r="G29" i="2"/>
  <c r="A69" i="4"/>
  <c r="D69" i="4"/>
  <c r="L69" i="4"/>
  <c r="N71" i="4" s="1"/>
  <c r="O71" i="4" s="1"/>
  <c r="M69" i="4"/>
  <c r="N69" i="4"/>
  <c r="O69" i="4" s="1"/>
  <c r="A68" i="4" l="1"/>
  <c r="D68" i="4"/>
  <c r="L68" i="4"/>
  <c r="M68" i="4"/>
  <c r="A67" i="4" l="1"/>
  <c r="D67" i="4"/>
  <c r="L67" i="4"/>
  <c r="N68" i="4" s="1"/>
  <c r="O68" i="4" s="1"/>
  <c r="M67" i="4"/>
  <c r="N67" i="4"/>
  <c r="O67" i="4" s="1"/>
  <c r="M65" i="4" l="1"/>
  <c r="D66" i="4" l="1"/>
  <c r="L66" i="4"/>
  <c r="M66" i="4"/>
  <c r="N66" i="4"/>
  <c r="O66" i="4" s="1"/>
  <c r="M64" i="4" l="1"/>
  <c r="D64" i="4"/>
  <c r="L64" i="4"/>
  <c r="D65" i="4"/>
  <c r="L65" i="4"/>
  <c r="N65" i="4"/>
  <c r="O65" i="4" s="1"/>
  <c r="C28" i="2"/>
  <c r="E28" i="2"/>
  <c r="F28" i="2"/>
  <c r="G28" i="2"/>
  <c r="M63" i="4" l="1"/>
  <c r="D63" i="4" l="1"/>
  <c r="L63" i="4"/>
  <c r="N64" i="4" s="1"/>
  <c r="O64" i="4" s="1"/>
  <c r="N63" i="4"/>
  <c r="O63" i="4" s="1"/>
  <c r="M62" i="4" l="1"/>
  <c r="M61" i="4"/>
  <c r="D62" i="4" l="1"/>
  <c r="L62" i="4"/>
  <c r="D61" i="4" l="1"/>
  <c r="L61" i="4"/>
  <c r="D60" i="4" l="1"/>
  <c r="L60" i="4"/>
  <c r="N60" i="4" s="1"/>
  <c r="O60" i="4" s="1"/>
  <c r="M60" i="4"/>
  <c r="D59" i="4"/>
  <c r="L59" i="4"/>
  <c r="N59" i="4" s="1"/>
  <c r="O59" i="4" s="1"/>
  <c r="M59" i="4"/>
  <c r="N61" i="4" l="1"/>
  <c r="O61" i="4" s="1"/>
  <c r="N62" i="4"/>
  <c r="O62" i="4" s="1"/>
  <c r="C27" i="2"/>
  <c r="E27" i="2"/>
  <c r="F27" i="2"/>
  <c r="G27" i="2"/>
  <c r="D58" i="4"/>
  <c r="L58" i="4"/>
  <c r="M58" i="4"/>
  <c r="D57" i="4"/>
  <c r="L57" i="4"/>
  <c r="N57" i="4" s="1"/>
  <c r="O57" i="4" s="1"/>
  <c r="M57" i="4"/>
  <c r="D56" i="4"/>
  <c r="L56" i="4"/>
  <c r="M56" i="4"/>
  <c r="D55" i="4"/>
  <c r="L55" i="4"/>
  <c r="M55" i="4"/>
  <c r="D54" i="4"/>
  <c r="L54" i="4"/>
  <c r="N54" i="4" s="1"/>
  <c r="O54" i="4" s="1"/>
  <c r="M54" i="4"/>
  <c r="N55" i="4" l="1"/>
  <c r="O55" i="4" s="1"/>
  <c r="N56" i="4"/>
  <c r="O56" i="4" s="1"/>
  <c r="D53" i="4"/>
  <c r="L53" i="4"/>
  <c r="N53" i="4" s="1"/>
  <c r="O53" i="4" s="1"/>
  <c r="M53" i="4"/>
  <c r="D52" i="4"/>
  <c r="L52" i="4"/>
  <c r="M52" i="4"/>
  <c r="N52" i="4" l="1"/>
  <c r="O52" i="4" s="1"/>
  <c r="N58" i="4"/>
  <c r="O58" i="4" s="1"/>
  <c r="D51" i="4"/>
  <c r="L51" i="4"/>
  <c r="N51" i="4" s="1"/>
  <c r="O51" i="4" s="1"/>
  <c r="M51" i="4"/>
  <c r="D50" i="4" l="1"/>
  <c r="L50" i="4"/>
  <c r="M50" i="4"/>
  <c r="D49" i="4"/>
  <c r="L49" i="4"/>
  <c r="M49" i="4"/>
  <c r="N49" i="4" l="1"/>
  <c r="O49" i="4" s="1"/>
  <c r="N50" i="4"/>
  <c r="O50" i="4" s="1"/>
  <c r="C26" i="2"/>
  <c r="E26" i="2"/>
  <c r="F26" i="2"/>
  <c r="G26" i="2"/>
  <c r="D48" i="4"/>
  <c r="L48" i="4"/>
  <c r="M48" i="4"/>
  <c r="N48" i="4"/>
  <c r="O48" i="4" s="1"/>
  <c r="D47" i="4" l="1"/>
  <c r="L47" i="4"/>
  <c r="N47" i="4" s="1"/>
  <c r="O47" i="4" s="1"/>
  <c r="M47" i="4"/>
  <c r="D46" i="4" l="1"/>
  <c r="L46" i="4"/>
  <c r="N46" i="4" s="1"/>
  <c r="O46" i="4" s="1"/>
  <c r="M46" i="4"/>
  <c r="D45" i="4"/>
  <c r="L45" i="4"/>
  <c r="N45" i="4" s="1"/>
  <c r="O45" i="4" s="1"/>
  <c r="M45" i="4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D39" i="4"/>
  <c r="L39" i="4"/>
  <c r="M39" i="4"/>
  <c r="N40" i="4" l="1"/>
  <c r="O40" i="4" s="1"/>
  <c r="N39" i="4"/>
  <c r="O39" i="4" s="1"/>
  <c r="N43" i="4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 l="1"/>
  <c r="O34" i="4" s="1"/>
  <c r="N35" i="4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N25" i="4" s="1"/>
  <c r="O25" i="4" s="1"/>
  <c r="M25" i="4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 l="1"/>
  <c r="O22" i="4" s="1"/>
  <c r="D21" i="4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D2" i="4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E72" i="4" l="1"/>
  <c r="F72" i="4" s="1"/>
  <c r="E73" i="4"/>
  <c r="F73" i="4" s="1"/>
  <c r="E71" i="4"/>
  <c r="F71" i="4" s="1"/>
  <c r="E69" i="4"/>
  <c r="F69" i="4" s="1"/>
  <c r="E70" i="4"/>
  <c r="F70" i="4" s="1"/>
  <c r="C69" i="4"/>
  <c r="Q69" i="4" s="1"/>
  <c r="B69" i="4"/>
  <c r="P69" i="4" s="1"/>
  <c r="B68" i="4"/>
  <c r="P68" i="4" s="1"/>
  <c r="C68" i="4"/>
  <c r="Q68" i="4" s="1"/>
  <c r="B67" i="4"/>
  <c r="P67" i="4" s="1"/>
  <c r="C67" i="4"/>
  <c r="Q67" i="4" s="1"/>
  <c r="E67" i="4"/>
  <c r="F67" i="4" s="1"/>
  <c r="E68" i="4"/>
  <c r="F68" i="4" s="1"/>
  <c r="B66" i="4"/>
  <c r="P66" i="4" s="1"/>
  <c r="C66" i="4"/>
  <c r="Q66" i="4" s="1"/>
  <c r="B64" i="4"/>
  <c r="P64" i="4" s="1"/>
  <c r="C64" i="4"/>
  <c r="Q64" i="4" s="1"/>
  <c r="C65" i="4"/>
  <c r="Q65" i="4" s="1"/>
  <c r="B65" i="4"/>
  <c r="P65" i="4" s="1"/>
  <c r="E64" i="4"/>
  <c r="F64" i="4" s="1"/>
  <c r="E66" i="4"/>
  <c r="F66" i="4" s="1"/>
  <c r="A64" i="4"/>
  <c r="A65" i="4" s="1"/>
  <c r="A66" i="4" s="1"/>
  <c r="E63" i="4"/>
  <c r="F63" i="4" s="1"/>
  <c r="E65" i="4"/>
  <c r="F65" i="4" s="1"/>
  <c r="C63" i="4"/>
  <c r="Q63" i="4" s="1"/>
  <c r="B63" i="4"/>
  <c r="P63" i="4" s="1"/>
  <c r="B62" i="4"/>
  <c r="P62" i="4" s="1"/>
  <c r="C62" i="4"/>
  <c r="Q62" i="4" s="1"/>
  <c r="B61" i="4"/>
  <c r="P61" i="4" s="1"/>
  <c r="C61" i="4"/>
  <c r="Q61" i="4" s="1"/>
  <c r="B60" i="4"/>
  <c r="P60" i="4" s="1"/>
  <c r="C60" i="4"/>
  <c r="Q60" i="4" s="1"/>
  <c r="B59" i="4"/>
  <c r="P59" i="4" s="1"/>
  <c r="C59" i="4"/>
  <c r="Q59" i="4" s="1"/>
  <c r="E62" i="4"/>
  <c r="F62" i="4" s="1"/>
  <c r="E60" i="4"/>
  <c r="F60" i="4" s="1"/>
  <c r="E61" i="4"/>
  <c r="F61" i="4" s="1"/>
  <c r="E58" i="4"/>
  <c r="F58" i="4" s="1"/>
  <c r="E59" i="4"/>
  <c r="F59" i="4" s="1"/>
  <c r="C58" i="4"/>
  <c r="Q58" i="4" s="1"/>
  <c r="B58" i="4"/>
  <c r="P58" i="4" s="1"/>
  <c r="B57" i="4"/>
  <c r="P57" i="4" s="1"/>
  <c r="C54" i="4"/>
  <c r="Q54" i="4" s="1"/>
  <c r="C55" i="4"/>
  <c r="Q55" i="4" s="1"/>
  <c r="C57" i="4"/>
  <c r="Q57" i="4" s="1"/>
  <c r="B55" i="4"/>
  <c r="P55" i="4" s="1"/>
  <c r="B56" i="4"/>
  <c r="P56" i="4" s="1"/>
  <c r="C56" i="4"/>
  <c r="Q56" i="4" s="1"/>
  <c r="B54" i="4"/>
  <c r="P54" i="4" s="1"/>
  <c r="B53" i="4"/>
  <c r="P53" i="4" s="1"/>
  <c r="C53" i="4"/>
  <c r="Q53" i="4" s="1"/>
  <c r="C52" i="4"/>
  <c r="Q52" i="4" s="1"/>
  <c r="B52" i="4"/>
  <c r="P52" i="4" s="1"/>
  <c r="C51" i="4"/>
  <c r="Q51" i="4" s="1"/>
  <c r="B51" i="4"/>
  <c r="P51" i="4" s="1"/>
  <c r="B50" i="4"/>
  <c r="P50" i="4" s="1"/>
  <c r="C50" i="4"/>
  <c r="Q50" i="4" s="1"/>
  <c r="B49" i="4"/>
  <c r="P49" i="4" s="1"/>
  <c r="C49" i="4"/>
  <c r="Q49" i="4" s="1"/>
  <c r="E56" i="4"/>
  <c r="F56" i="4" s="1"/>
  <c r="E57" i="4"/>
  <c r="F57" i="4" s="1"/>
  <c r="E54" i="4"/>
  <c r="F54" i="4" s="1"/>
  <c r="E55" i="4"/>
  <c r="F55" i="4" s="1"/>
  <c r="E52" i="4"/>
  <c r="F52" i="4" s="1"/>
  <c r="E53" i="4"/>
  <c r="F53" i="4" s="1"/>
  <c r="E50" i="4"/>
  <c r="F50" i="4" s="1"/>
  <c r="E51" i="4"/>
  <c r="F51" i="4" s="1"/>
  <c r="E48" i="4"/>
  <c r="F48" i="4" s="1"/>
  <c r="E49" i="4"/>
  <c r="F49" i="4" s="1"/>
  <c r="B48" i="4"/>
  <c r="P48" i="4" s="1"/>
  <c r="C48" i="4"/>
  <c r="Q48" i="4" s="1"/>
  <c r="B47" i="4"/>
  <c r="P47" i="4" s="1"/>
  <c r="C47" i="4"/>
  <c r="Q47" i="4" s="1"/>
  <c r="B46" i="4"/>
  <c r="P46" i="4" s="1"/>
  <c r="C46" i="4"/>
  <c r="Q46" i="4" s="1"/>
  <c r="E46" i="4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D8" i="6" l="1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X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W10" i="6" l="1"/>
  <c r="X10" i="6" s="1"/>
  <c r="W11" i="6"/>
  <c r="X11" i="6" s="1"/>
  <c r="W15" i="6"/>
  <c r="W12" i="6"/>
  <c r="X12" i="6" s="1"/>
  <c r="W9" i="6"/>
  <c r="X9" i="6" s="1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15" i="6" l="1"/>
  <c r="Y10" i="6"/>
  <c r="Y11" i="6"/>
  <c r="Y12" i="6"/>
  <c r="Y15" i="6"/>
  <c r="W17" i="6"/>
  <c r="X17" i="6" s="1"/>
  <c r="Y9" i="6"/>
  <c r="Z8" i="6"/>
  <c r="AA8" i="6" s="1"/>
  <c r="Y16" i="6"/>
  <c r="Y18" i="6"/>
  <c r="Z18" i="6" s="1"/>
  <c r="AA18" i="6" s="1"/>
  <c r="AB18" i="6" s="1"/>
  <c r="W19" i="6"/>
  <c r="X19" i="6" s="1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Z11" i="6" l="1"/>
  <c r="AA11" i="6" s="1"/>
  <c r="Y17" i="6"/>
  <c r="Z17" i="6" s="1"/>
  <c r="AA17" i="6" s="1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X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L7" i="6"/>
  <c r="L9" i="6"/>
  <c r="L11" i="6"/>
  <c r="L10" i="6"/>
  <c r="L8" i="6"/>
  <c r="Z30" i="6" l="1"/>
  <c r="AA30" i="6" s="1"/>
  <c r="AB30" i="6" s="1"/>
  <c r="N8" i="6" s="1"/>
  <c r="K16" i="6"/>
  <c r="K24" i="6"/>
  <c r="K20" i="6"/>
  <c r="K32" i="6"/>
  <c r="K28" i="6"/>
  <c r="N7" i="6" l="1"/>
  <c r="N11" i="6"/>
  <c r="N9" i="6"/>
  <c r="N10" i="6"/>
  <c r="M30" i="6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<sst xmlns="http://schemas.openxmlformats.org/spreadsheetml/2006/main" count="279" uniqueCount="102">
  <si>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</si>
  <si>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</si>
  <si>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</si>
  <si>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</si>
  <si>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</si>
  <si>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</si>
  <si>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</si>
  <si>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</si>
  <si>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</si>
  <si>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</si>
  <si>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</si>
  <si>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</si>
  <si>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</si>
  <si>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</si>
  <si>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</si>
  <si>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</si>
  <si>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</si>
  <si>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</si>
  <si>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</si>
  <si>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</si>
  <si>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</si>
  <si>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</si>
  <si>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</si>
  <si>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</si>
  <si>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</si>
  <si>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</si>
  <si>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</si>
  <si>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</si>
  <si>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</si>
  <si>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</si>
  <si>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</si>
  <si>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</si>
  <si>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</si>
  <si>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</si>
  <si>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</si>
  <si>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</si>
  <si>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</si>
  <si>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</si>
  <si>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</si>
  <si>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</si>
  <si>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</si>
  <si>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</si>
  <si>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</si>
  <si>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</si>
  <si>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</si>
  <si>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</si>
  <si>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</si>
  <si>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</si>
  <si>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</si>
  <si>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</si>
  <si>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</si>
  <si>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</si>
  <si>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</si>
  <si>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</si>
  <si>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</si>
  <si>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</si>
  <si>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</si>
  <si>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</si>
  <si>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</si>
  <si>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</si>
  <si>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</si>
  <si>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</si>
  <si>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</si>
  <si>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</si>
  <si>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</si>
  <si>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</si>
  <si>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</si>
  <si>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</si>
  <si>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</si>
  <si>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</si>
  <si>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</si>
  <si>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</si>
  <si>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</si>
  <si>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</si>
  <si>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</si>
  <si>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</si>
  <si>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</si>
  <si>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</si>
  <si>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</si>
  <si>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</si>
  <si>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</si>
  <si>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</si>
  <si>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</si>
  <si>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</si>
  <si>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</si>
  <si>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</si>
  <si>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</si>
  <si>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</si>
  <si>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</si>
  <si>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</si>
  <si>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</si>
  <si>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</si>
  <si>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</si>
  <si>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</si>
  <si>
    <t>SDS/Modification</t>
  </si>
  <si>
    <t>Package Creation-Stage1</t>
  </si>
  <si>
    <t>Package Creation-Stage2(Resource creation)</t>
  </si>
  <si>
    <t>TKT/Package Creation-Stage1</t>
  </si>
  <si>
    <t>TKT/Package Creation-Stage2(Resource creation)</t>
  </si>
  <si>
    <t>APPFRAME/Development</t>
  </si>
  <si>
    <t>Table syncing</t>
  </si>
  <si>
    <t>TEEBPD/Table syncing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</si>
</sst>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/>
    <xf numFmtId="0" fontId="6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left"/>
    </xf>
    <xf numFmtId="0" fontId="6" fillId="0" borderId="21" xfId="0" applyFont="1" applyBorder="1"/>
    <xf numFmtId="0" fontId="6" fillId="0" borderId="22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23" xfId="0" applyFont="1" applyBorder="1"/>
    <xf numFmtId="0" fontId="6" fillId="0" borderId="24" xfId="0" applyFont="1" applyBorder="1" applyAlignment="1">
      <alignment horizontal="center"/>
    </xf>
    <xf numFmtId="0" fontId="6" fillId="0" borderId="25" xfId="0" applyFont="1" applyBorder="1"/>
    <xf numFmtId="0" fontId="6" fillId="0" borderId="25" xfId="0" applyFont="1" applyBorder="1" applyAlignment="1">
      <alignment horizontal="center"/>
    </xf>
    <xf numFmtId="0" fontId="6" fillId="0" borderId="25" xfId="0" applyFont="1" applyBorder="1" applyAlignment="1">
      <alignment horizontal="left"/>
    </xf>
    <xf numFmtId="0" fontId="6" fillId="0" borderId="26" xfId="0" applyFont="1" applyBorder="1"/>
    <xf numFmtId="18" fontId="12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Font="1"/>
    <xf numFmtId="164" fontId="13" fillId="0" borderId="0" xfId="0" applyNumberFormat="1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  <xf numFmtId="0" fontId="14" fillId="0" borderId="0" xfId="0" applyFont="1"/>
    <xf numFmtId="164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9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Border="1" applyAlignment="1">
      <alignment horizontal="left"/>
    </xf>
    <xf numFmtId="0" fontId="14" fillId="0" borderId="0" xfId="0" applyFont="1" applyBorder="1"/>
    <xf numFmtId="164" fontId="14" fillId="0" borderId="0" xfId="0" applyNumberFormat="1" applyFont="1" applyBorder="1" applyAlignment="1">
      <alignment horizontal="center"/>
    </xf>
    <xf numFmtId="18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20" fontId="14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left"/>
    </xf>
    <xf numFmtId="0" fontId="15" fillId="0" borderId="0" xfId="0" applyFont="1"/>
    <xf numFmtId="164" fontId="15" fillId="0" borderId="0" xfId="0" applyNumberFormat="1" applyFont="1" applyAlignment="1">
      <alignment horizontal="center"/>
    </xf>
    <xf numFmtId="166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8" fontId="15" fillId="0" borderId="0" xfId="0" applyNumberFormat="1" applyFont="1" applyAlignment="1">
      <alignment horizontal="center"/>
    </xf>
    <xf numFmtId="0" fontId="15" fillId="0" borderId="0" xfId="0" applyNumberFormat="1" applyFont="1"/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181.99999999999983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225493808"/>
        <c:axId val="-1225490544"/>
      </c:barChart>
      <c:catAx>
        <c:axId val="-1225493808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225490544"/>
        <c:crosses val="autoZero"/>
        <c:auto val="1"/>
        <c:lblAlgn val="ctr"/>
        <c:lblOffset val="100"/>
        <c:noMultiLvlLbl val="0"/>
      </c:catAx>
      <c:valAx>
        <c:axId val="-12254905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225493808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59.999999999999943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181.99999999999983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180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1225489456"/>
        <c:axId val="-1225494896"/>
      </c:barChart>
      <c:catAx>
        <c:axId val="-1225489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225494896"/>
        <c:crosses val="autoZero"/>
        <c:auto val="1"/>
        <c:lblAlgn val="ctr"/>
        <c:lblOffset val="100"/>
        <c:noMultiLvlLbl val="0"/>
      </c:catAx>
      <c:valAx>
        <c:axId val="-122549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22548945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181.99999999999983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59.999999999999943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181.99999999999983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180</c:v>
                </c:pt>
                <c:pt idx="5">
                  <c:v>0</c:v>
                </c:pt>
                <c:pt idx="6">
                  <c:v>1200</c:v>
                </c:pt>
                <c:pt idx="7">
                  <c:v>839.99999999999989</c:v>
                </c:pt>
                <c:pt idx="8">
                  <c:v>480.00000000000006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25487824"/>
        <c:axId val="-1225491632"/>
      </c:areaChart>
      <c:catAx>
        <c:axId val="-1225487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225491632"/>
        <c:crosses val="autoZero"/>
        <c:auto val="1"/>
        <c:lblAlgn val="ctr"/>
        <c:lblOffset val="100"/>
        <c:noMultiLvlLbl val="0"/>
      </c:catAx>
      <c:valAx>
        <c:axId val="-12254916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225487824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18E-2"/>
          <c:y val="0"/>
          <c:w val="0.70026343258816959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241.99999999999977</c:v>
                </c:pt>
                <c:pt idx="3">
                  <c:v>2700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479.99999999999989</c:v>
                </c:pt>
                <c:pt idx="1">
                  <c:v>181.99999999999983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314.99999999999989</c:v>
                </c:pt>
                <c:pt idx="1">
                  <c:v>181.99999999999983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164.99999999999997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1225488368"/>
        <c:axId val="-1221076784"/>
      </c:barChart>
      <c:catAx>
        <c:axId val="-1225488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221076784"/>
        <c:crosses val="autoZero"/>
        <c:auto val="1"/>
        <c:lblAlgn val="ctr"/>
        <c:lblOffset val="100"/>
        <c:noMultiLvlLbl val="0"/>
      </c:catAx>
      <c:valAx>
        <c:axId val="-1221076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225488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314.99999999999989</c:v>
                </c:pt>
                <c:pt idx="1">
                  <c:v>164.99999999999997</c:v>
                </c:pt>
                <c:pt idx="2">
                  <c:v>181.99999999999983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-1221082768"/>
        <c:axId val="-1221078416"/>
      </c:barChart>
      <c:dateAx>
        <c:axId val="-1221082768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221078416"/>
        <c:crosses val="autoZero"/>
        <c:auto val="1"/>
        <c:lblOffset val="100"/>
        <c:baseTimeUnit val="days"/>
      </c:dateAx>
      <c:valAx>
        <c:axId val="-1221078416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221082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29" totalsRowShown="0" headerRowDxfId="31" dataDxfId="30">
  <autoFilter ref="A1:G29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73" totalsRowShown="0" headerRowDxfId="18" dataDxfId="17">
  <autoFilter ref="A1:Q73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8" sqref="E8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4">
        <f t="shared" si="0"/>
        <v>3</v>
      </c>
      <c r="E4" s="35" t="s">
        <v>51</v>
      </c>
      <c r="F4" s="36" t="s">
        <v>52</v>
      </c>
      <c r="G4" s="36" t="s">
        <v>3</v>
      </c>
    </row>
    <row r="5" spans="1:7" x14ac:dyDescent="0.25">
      <c r="D5" s="34">
        <f t="shared" si="0"/>
        <v>4</v>
      </c>
      <c r="E5" s="36" t="s">
        <v>59</v>
      </c>
      <c r="F5" s="36" t="s">
        <v>60</v>
      </c>
      <c r="G5" s="36" t="s">
        <v>3</v>
      </c>
    </row>
    <row r="6" spans="1:7" x14ac:dyDescent="0.25">
      <c r="D6" s="45">
        <f t="shared" si="0"/>
        <v>5</v>
      </c>
      <c r="E6" s="35" t="s">
        <v>62</v>
      </c>
      <c r="F6" s="35" t="s">
        <v>63</v>
      </c>
      <c r="G6" s="35" t="s">
        <v>2</v>
      </c>
    </row>
    <row r="7" spans="1:7" x14ac:dyDescent="0.25">
      <c r="D7" s="45">
        <f t="shared" si="0"/>
        <v>6</v>
      </c>
      <c r="E7" s="35" t="s">
        <v>66</v>
      </c>
      <c r="F7" s="35" t="s">
        <v>67</v>
      </c>
      <c r="G7" s="35" t="s">
        <v>2</v>
      </c>
    </row>
    <row r="8" spans="1:7" x14ac:dyDescent="0.25">
      <c r="D8" s="45">
        <f t="shared" si="0"/>
        <v>7</v>
      </c>
      <c r="E8" s="35" t="s">
        <v>72</v>
      </c>
      <c r="F8" s="35" t="s">
        <v>73</v>
      </c>
      <c r="G8" s="35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3" workbookViewId="0">
      <selection activeCell="D24" sqref="D24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29" t="str">
        <f>CONCATENATE(ProjectTasks[Project],"/",ProjectTasks[Task])</f>
        <v>TKT/Database Analysis from Old Project</v>
      </c>
      <c r="F8" s="29" t="str">
        <f>ProjectTasks[Project]</f>
        <v>TKT</v>
      </c>
      <c r="G8" s="29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29" t="str">
        <f>CONCATENATE(ProjectTasks[Project],"/",ProjectTasks[Task])</f>
        <v>TKT/DB Designing</v>
      </c>
      <c r="F9" s="29" t="str">
        <f>ProjectTasks[Project]</f>
        <v>TKT</v>
      </c>
      <c r="G9" s="29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29" t="str">
        <f>CONCATENATE(ProjectTasks[Project],"/",ProjectTasks[Task])</f>
        <v>TKT/Appframe configuration</v>
      </c>
      <c r="F10" s="29" t="str">
        <f>ProjectTasks[Project]</f>
        <v>TKT</v>
      </c>
      <c r="G10" s="29" t="str">
        <f>ProjectTasks[Task]</f>
        <v>Appframe configuration</v>
      </c>
    </row>
    <row r="11" spans="1:7" x14ac:dyDescent="0.25">
      <c r="A11" s="37">
        <f t="shared" si="1"/>
        <v>10</v>
      </c>
      <c r="B11" s="36" t="s">
        <v>48</v>
      </c>
      <c r="C11" s="11" t="str">
        <f>ProjectTasks[[#This Row],[Project]]&amp;"-"&amp;COUNTIF($B$1:ProjectTasks[[#This Row],[Project]],ProjectTasks[[#This Row],[Project]])</f>
        <v>TKT-4</v>
      </c>
      <c r="D11" s="36" t="s">
        <v>53</v>
      </c>
      <c r="E11" s="39" t="str">
        <f>CONCATENATE(ProjectTasks[Project],"/",ProjectTasks[Task])</f>
        <v>TKT/Discussion for ticketing modification</v>
      </c>
      <c r="F11" s="39" t="str">
        <f>ProjectTasks[Project]</f>
        <v>TKT</v>
      </c>
      <c r="G11" s="39" t="str">
        <f>ProjectTasks[Task]</f>
        <v>Discussion for ticketing modification</v>
      </c>
    </row>
    <row r="12" spans="1:7" x14ac:dyDescent="0.25">
      <c r="A12" s="37">
        <f t="shared" si="1"/>
        <v>11</v>
      </c>
      <c r="B12" s="36" t="s">
        <v>52</v>
      </c>
      <c r="C12" s="11" t="str">
        <f>ProjectTasks[[#This Row],[Project]]&amp;"-"&amp;COUNTIF($B$1:ProjectTasks[[#This Row],[Project]],ProjectTasks[[#This Row],[Project]])</f>
        <v>SDS-1</v>
      </c>
      <c r="D12" s="36" t="s">
        <v>56</v>
      </c>
      <c r="E12" s="39" t="str">
        <f>CONCATENATE(ProjectTasks[Project],"/",ProjectTasks[Task])</f>
        <v>SDS/Decryption</v>
      </c>
      <c r="F12" s="39" t="str">
        <f>ProjectTasks[Project]</f>
        <v>SDS</v>
      </c>
      <c r="G12" s="39" t="str">
        <f>ProjectTasks[Task]</f>
        <v>Decryption</v>
      </c>
    </row>
    <row r="13" spans="1:7" x14ac:dyDescent="0.25">
      <c r="A13" s="37">
        <f t="shared" si="1"/>
        <v>12</v>
      </c>
      <c r="B13" s="36" t="s">
        <v>60</v>
      </c>
      <c r="C13" s="38" t="str">
        <f>ProjectTasks[[#This Row],[Project]]&amp;"-"&amp;COUNTIF($B$1:ProjectTasks[[#This Row],[Project]],ProjectTasks[[#This Row],[Project]])</f>
        <v>RTM-1</v>
      </c>
      <c r="D13" s="36" t="s">
        <v>61</v>
      </c>
      <c r="E13" s="39" t="str">
        <f>CONCATENATE(ProjectTasks[Project],"/",ProjectTasks[Task])</f>
        <v>RTM/Solving the issue of repeating icon in tray</v>
      </c>
      <c r="F13" s="39" t="str">
        <f>ProjectTasks[Project]</f>
        <v>RTM</v>
      </c>
      <c r="G13" s="39" t="str">
        <f>ProjectTasks[Task]</f>
        <v>Solving the issue of repeating icon in tray</v>
      </c>
    </row>
    <row r="14" spans="1:7" x14ac:dyDescent="0.25">
      <c r="A14" s="37">
        <f t="shared" ref="A14:A20" si="2">IFERROR($A13+1,1)</f>
        <v>13</v>
      </c>
      <c r="B14" s="35" t="s">
        <v>63</v>
      </c>
      <c r="C14" s="46" t="str">
        <f>ProjectTasks[[#This Row],[Project]]&amp;"-"&amp;COUNTIF($B$1:ProjectTasks[[#This Row],[Project]],ProjectTasks[[#This Row],[Project]])</f>
        <v>PPOIO-1</v>
      </c>
      <c r="D14" s="35" t="s">
        <v>64</v>
      </c>
      <c r="E14" s="47" t="str">
        <f>CONCATENATE(ProjectTasks[Project],"/",ProjectTasks[Task])</f>
        <v>PPOIO/Project Study</v>
      </c>
      <c r="F14" s="47" t="str">
        <f>ProjectTasks[Project]</f>
        <v>PPOIO</v>
      </c>
      <c r="G14" s="47" t="str">
        <f>ProjectTasks[Task]</f>
        <v>Project Study</v>
      </c>
    </row>
    <row r="15" spans="1:7" x14ac:dyDescent="0.25">
      <c r="A15" s="37">
        <f t="shared" si="2"/>
        <v>14</v>
      </c>
      <c r="B15" s="35" t="s">
        <v>63</v>
      </c>
      <c r="C15" s="46" t="str">
        <f>ProjectTasks[[#This Row],[Project]]&amp;"-"&amp;COUNTIF($B$1:ProjectTasks[[#This Row],[Project]],ProjectTasks[[#This Row],[Project]])</f>
        <v>PPOIO-2</v>
      </c>
      <c r="D15" s="35" t="s">
        <v>65</v>
      </c>
      <c r="E15" s="47" t="str">
        <f>CONCATENATE(ProjectTasks[Project],"/",ProjectTasks[Task])</f>
        <v>PPOIO/Business Plan</v>
      </c>
      <c r="F15" s="47" t="str">
        <f>ProjectTasks[Project]</f>
        <v>PPOIO</v>
      </c>
      <c r="G15" s="47" t="str">
        <f>ProjectTasks[Task]</f>
        <v>Business Plan</v>
      </c>
    </row>
    <row r="16" spans="1:7" x14ac:dyDescent="0.25">
      <c r="A16" s="37">
        <f t="shared" si="2"/>
        <v>15</v>
      </c>
      <c r="B16" s="35" t="s">
        <v>67</v>
      </c>
      <c r="C16" s="46" t="str">
        <f>ProjectTasks[[#This Row],[Project]]&amp;"-"&amp;COUNTIF($B$1:ProjectTasks[[#This Row],[Project]],ProjectTasks[[#This Row],[Project]])</f>
        <v>APPFRAME-1</v>
      </c>
      <c r="D16" s="35" t="s">
        <v>68</v>
      </c>
      <c r="E16" s="47" t="str">
        <f>CONCATENATE(ProjectTasks[Project],"/",ProjectTasks[Task])</f>
        <v>APPFRAME/Development</v>
      </c>
      <c r="F16" s="47" t="str">
        <f>ProjectTasks[Project]</f>
        <v>APPFRAME</v>
      </c>
      <c r="G16" s="47" t="str">
        <f>ProjectTasks[Task]</f>
        <v>Development</v>
      </c>
    </row>
    <row r="17" spans="1:7" x14ac:dyDescent="0.25">
      <c r="A17" s="37">
        <f t="shared" si="2"/>
        <v>16</v>
      </c>
      <c r="B17" s="35" t="s">
        <v>73</v>
      </c>
      <c r="C17" s="46" t="str">
        <f>ProjectTasks[[#This Row],[Project]]&amp;"-"&amp;COUNTIF($B$1:ProjectTasks[[#This Row],[Project]],ProjectTasks[[#This Row],[Project]])</f>
        <v>MITWEB-1</v>
      </c>
      <c r="D17" s="35" t="s">
        <v>74</v>
      </c>
      <c r="E17" s="47" t="str">
        <f>CONCATENATE(ProjectTasks[Project],"/",ProjectTasks[Task])</f>
        <v>MITWEB/Modification</v>
      </c>
      <c r="F17" s="47" t="str">
        <f>ProjectTasks[Project]</f>
        <v>MITWEB</v>
      </c>
      <c r="G17" s="47" t="str">
        <f>ProjectTasks[Task]</f>
        <v>Modification</v>
      </c>
    </row>
    <row r="18" spans="1:7" x14ac:dyDescent="0.25">
      <c r="A18" s="41">
        <f t="shared" si="2"/>
        <v>17</v>
      </c>
      <c r="B18" s="36" t="s">
        <v>60</v>
      </c>
      <c r="C18" s="38" t="str">
        <f>ProjectTasks[[#This Row],[Project]]&amp;"-"&amp;COUNTIF($B$1:ProjectTasks[[#This Row],[Project]],ProjectTasks[[#This Row],[Project]])</f>
        <v>RTM-2</v>
      </c>
      <c r="D18" s="35" t="s">
        <v>76</v>
      </c>
      <c r="E18" s="39" t="str">
        <f>CONCATENATE(ProjectTasks[Project],"/",ProjectTasks[Task])</f>
        <v>RTM/Getting branchname into tool</v>
      </c>
      <c r="F18" s="39" t="str">
        <f>ProjectTasks[Project]</f>
        <v>RTM</v>
      </c>
      <c r="G18" s="39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3">
        <f t="shared" ref="A21:A27" si="3">IFERROR($A20+1,1)</f>
        <v>20</v>
      </c>
      <c r="B21" s="55" t="s">
        <v>52</v>
      </c>
      <c r="C21" s="54" t="str">
        <f>ProjectTasks[[#This Row],[Project]]&amp;"-"&amp;COUNTIF($B$1:ProjectTasks[[#This Row],[Project]],ProjectTasks[[#This Row],[Project]])</f>
        <v>SDS-2</v>
      </c>
      <c r="D21" s="55" t="s">
        <v>82</v>
      </c>
      <c r="E21" s="59" t="str">
        <f>CONCATENATE(ProjectTasks[Project],"/",ProjectTasks[Task])</f>
        <v>SDS/Request and get Response from  web</v>
      </c>
      <c r="F21" s="59" t="str">
        <f>ProjectTasks[Project]</f>
        <v>SDS</v>
      </c>
      <c r="G21" s="59" t="str">
        <f>ProjectTasks[Task]</f>
        <v>Request and get Response from  web</v>
      </c>
    </row>
    <row r="22" spans="1:7" x14ac:dyDescent="0.25">
      <c r="A22" s="61">
        <f t="shared" si="3"/>
        <v>21</v>
      </c>
      <c r="B22" s="63" t="s">
        <v>10</v>
      </c>
      <c r="C22" s="62" t="str">
        <f>ProjectTasks[[#This Row],[Project]]&amp;"-"&amp;COUNTIF($B$1:ProjectTasks[[#This Row],[Project]],ProjectTasks[[#This Row],[Project]])</f>
        <v>TEEBPD-7</v>
      </c>
      <c r="D22" s="63" t="s">
        <v>86</v>
      </c>
      <c r="E22" s="67" t="str">
        <f>CONCATENATE(ProjectTasks[Project],"/",ProjectTasks[Task])</f>
        <v>TEEBPD/Finalizing</v>
      </c>
      <c r="F22" s="67" t="str">
        <f>ProjectTasks[Project]</f>
        <v>TEEBPD</v>
      </c>
      <c r="G22" s="67" t="str">
        <f>ProjectTasks[Task]</f>
        <v>Finalizing</v>
      </c>
    </row>
    <row r="23" spans="1:7" x14ac:dyDescent="0.25">
      <c r="A23" s="61">
        <f t="shared" si="3"/>
        <v>22</v>
      </c>
      <c r="B23" s="55" t="s">
        <v>52</v>
      </c>
      <c r="C23" s="54" t="str">
        <f>ProjectTasks[[#This Row],[Project]]&amp;"-"&amp;COUNTIF($B$1:ProjectTasks[[#This Row],[Project]],ProjectTasks[[#This Row],[Project]])</f>
        <v>SDS-3</v>
      </c>
      <c r="D23" s="55" t="s">
        <v>88</v>
      </c>
      <c r="E23" s="59" t="str">
        <f>CONCATENATE(ProjectTasks[Project],"/",ProjectTasks[Task])</f>
        <v>SDS/Testing</v>
      </c>
      <c r="F23" s="59" t="str">
        <f>ProjectTasks[Project]</f>
        <v>SDS</v>
      </c>
      <c r="G23" s="59" t="str">
        <f>ProjectTasks[Task]</f>
        <v>Testing</v>
      </c>
    </row>
    <row r="24" spans="1:7" x14ac:dyDescent="0.25">
      <c r="A24" s="53">
        <f t="shared" si="3"/>
        <v>23</v>
      </c>
      <c r="B24" s="55" t="s">
        <v>52</v>
      </c>
      <c r="C24" s="54" t="str">
        <f>ProjectTasks[[#This Row],[Project]]&amp;"-"&amp;COUNTIF($B$1:ProjectTasks[[#This Row],[Project]],ProjectTasks[[#This Row],[Project]])</f>
        <v>SDS-4</v>
      </c>
      <c r="D24" s="55" t="s">
        <v>90</v>
      </c>
      <c r="E24" s="59" t="str">
        <f>CONCATENATE(ProjectTasks[Project],"/",ProjectTasks[Task])</f>
        <v>SDS/Stage 2</v>
      </c>
      <c r="F24" s="59" t="str">
        <f>ProjectTasks[Project]</f>
        <v>SDS</v>
      </c>
      <c r="G24" s="59" t="str">
        <f>ProjectTasks[Task]</f>
        <v>Stage 2</v>
      </c>
    </row>
    <row r="25" spans="1:7" x14ac:dyDescent="0.25">
      <c r="A25" s="61">
        <f t="shared" si="3"/>
        <v>24</v>
      </c>
      <c r="B25" s="63" t="s">
        <v>10</v>
      </c>
      <c r="C25" s="62" t="str">
        <f>ProjectTasks[[#This Row],[Project]]&amp;"-"&amp;COUNTIF($B$1:ProjectTasks[[#This Row],[Project]],ProjectTasks[[#This Row],[Project]])</f>
        <v>TEEBPD-8</v>
      </c>
      <c r="D25" s="63" t="s">
        <v>92</v>
      </c>
      <c r="E25" s="67" t="str">
        <f>CONCATENATE(ProjectTasks[Project],"/",ProjectTasks[Task])</f>
        <v>TEEBPD/Synchronization Implementing</v>
      </c>
      <c r="F25" s="67" t="str">
        <f>ProjectTasks[Project]</f>
        <v>TEEBPD</v>
      </c>
      <c r="G25" s="67" t="str">
        <f>ProjectTasks[Task]</f>
        <v>Synchronization Implementing</v>
      </c>
    </row>
    <row r="26" spans="1:7" x14ac:dyDescent="0.25">
      <c r="A26" s="53">
        <f t="shared" si="3"/>
        <v>25</v>
      </c>
      <c r="B26" s="63" t="s">
        <v>48</v>
      </c>
      <c r="C26" s="54" t="str">
        <f>ProjectTasks[[#This Row],[Project]]&amp;"-"&amp;COUNTIF($B$1:ProjectTasks[[#This Row],[Project]],ProjectTasks[[#This Row],[Project]])</f>
        <v>TKT-7</v>
      </c>
      <c r="D26" s="1" t="s">
        <v>95</v>
      </c>
      <c r="E26" s="59" t="str">
        <f>CONCATENATE(ProjectTasks[Project],"/",ProjectTasks[Task])</f>
        <v>TKT/Package Creation-Stage1</v>
      </c>
      <c r="F26" s="59" t="str">
        <f>ProjectTasks[Project]</f>
        <v>TKT</v>
      </c>
      <c r="G26" s="59" t="str">
        <f>ProjectTasks[Task]</f>
        <v>Package Creation-Stage1</v>
      </c>
    </row>
    <row r="27" spans="1:7" x14ac:dyDescent="0.25">
      <c r="A27" s="53">
        <f t="shared" si="3"/>
        <v>26</v>
      </c>
      <c r="B27" s="55" t="s">
        <v>52</v>
      </c>
      <c r="C27" s="54" t="str">
        <f>ProjectTasks[[#This Row],[Project]]&amp;"-"&amp;COUNTIF($B$1:ProjectTasks[[#This Row],[Project]],ProjectTasks[[#This Row],[Project]])</f>
        <v>SDS-5</v>
      </c>
      <c r="D27" s="55" t="s">
        <v>74</v>
      </c>
      <c r="E27" s="59" t="str">
        <f>CONCATENATE(ProjectTasks[Project],"/",ProjectTasks[Task])</f>
        <v>SDS/Modification</v>
      </c>
      <c r="F27" s="59" t="str">
        <f>ProjectTasks[Project]</f>
        <v>SDS</v>
      </c>
      <c r="G27" s="59" t="str">
        <f>ProjectTasks[Task]</f>
        <v>Modification</v>
      </c>
    </row>
    <row r="28" spans="1:7" x14ac:dyDescent="0.25">
      <c r="A28" s="101">
        <f>IFERROR($A27+1,1)</f>
        <v>27</v>
      </c>
      <c r="B28" s="103" t="s">
        <v>48</v>
      </c>
      <c r="C28" s="102" t="str">
        <f>ProjectTasks[[#This Row],[Project]]&amp;"-"&amp;COUNTIF($B$1:ProjectTasks[[#This Row],[Project]],ProjectTasks[[#This Row],[Project]])</f>
        <v>TKT-8</v>
      </c>
      <c r="D28" s="1" t="s">
        <v>96</v>
      </c>
      <c r="E28" s="109" t="str">
        <f>CONCATENATE(ProjectTasks[Project],"/",ProjectTasks[Task])</f>
        <v>TKT/Package Creation-Stage2(Resource creation)</v>
      </c>
      <c r="F28" s="109" t="str">
        <f>ProjectTasks[Project]</f>
        <v>TKT</v>
      </c>
      <c r="G28" s="109" t="str">
        <f>ProjectTasks[Task]</f>
        <v>Package Creation-Stage2(Resource creation)</v>
      </c>
    </row>
    <row r="29" spans="1:7" x14ac:dyDescent="0.25">
      <c r="A29" s="116">
        <f>IFERROR($A28+1,1)</f>
        <v>28</v>
      </c>
      <c r="B29" s="118" t="s">
        <v>10</v>
      </c>
      <c r="C29" s="117" t="str">
        <f>ProjectTasks[[#This Row],[Project]]&amp;"-"&amp;COUNTIF($B$1:ProjectTasks[[#This Row],[Project]],ProjectTasks[[#This Row],[Project]])</f>
        <v>TEEBPD-9</v>
      </c>
      <c r="D29" s="118" t="s">
        <v>100</v>
      </c>
      <c r="E29" s="123" t="str">
        <f>CONCATENATE(ProjectTasks[Project],"/",ProjectTasks[Task])</f>
        <v>TEEBPD/Table syncing</v>
      </c>
      <c r="F29" s="123" t="str">
        <f>ProjectTasks[Project]</f>
        <v>TEEBPD</v>
      </c>
      <c r="G29" s="123" t="str">
        <f>ProjectTasks[Task]</f>
        <v>Table syncing</v>
      </c>
    </row>
  </sheetData>
  <dataValidations count="1">
    <dataValidation type="list" allowBlank="1" showInputMessage="1" showErrorMessage="1" sqref="B2:B29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abSelected="1" topLeftCell="A58" workbookViewId="0">
      <selection activeCell="R74" sqref="R74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0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38" t="str">
        <f>VLOOKUP(TaskTimings[Task],ProjectTasks[[TaskProjectCode]:[TSK]],2,0)</f>
        <v>TKT</v>
      </c>
      <c r="C3" s="38" t="str">
        <f>VLOOKUP(TaskTimings[Task],ProjectTasks[[TaskProjectCode]:[TSK]],3,0)</f>
        <v>Discussion for ticketing modification</v>
      </c>
      <c r="D3" s="38" t="str">
        <f>TaskTimings[Employee]&amp;"/"&amp;TaskTimings[Date]</f>
        <v>Shareena/43430</v>
      </c>
      <c r="E3" s="40">
        <f>COUNTIF($D$1:TaskTimings[[#This Row],[EmployeeDate]],TaskTimings[[#This Row],[EmployeeDate]])</f>
        <v>1</v>
      </c>
      <c r="F3" s="38" t="str">
        <f>TaskTimings[[#This Row],[EmployeeDate]]&amp;"/"&amp;TaskTimings[[#This Row],[EmployeeDateSeq]]</f>
        <v>Shareena/43430/1</v>
      </c>
      <c r="G3" s="36" t="s">
        <v>55</v>
      </c>
      <c r="H3" s="36" t="s">
        <v>16</v>
      </c>
      <c r="I3" s="42">
        <v>43430</v>
      </c>
      <c r="J3" s="43">
        <v>0.39583333333333331</v>
      </c>
      <c r="K3" s="44">
        <v>0.45833333333333331</v>
      </c>
      <c r="L3" s="34">
        <f>(TaskTimings[End Time]-TaskTimings[Start Time])*1440</f>
        <v>90</v>
      </c>
      <c r="M3" s="34" t="str">
        <f>TEXT(TaskTimings[End Time]-TaskTimings[Start Time],"HH:mm")</f>
        <v>01:30</v>
      </c>
      <c r="N3" s="34">
        <f>SUMIFS(TaskTimings[Total Minutes],TaskTimings[Date],TaskTimings[Date],TaskTimings[Employee],TaskTimings[Employee])</f>
        <v>330.99999999999994</v>
      </c>
      <c r="O3" s="34" t="str">
        <f>TEXT(TaskTimings[Day Total Minutes]/1440,"HH:mm")</f>
        <v>05:31</v>
      </c>
      <c r="P3" s="38" t="str">
        <f>TaskTimings[PRJ]</f>
        <v>TKT</v>
      </c>
      <c r="Q3" s="38" t="str">
        <f>TaskTimings[TSK]</f>
        <v>Discussion for ticketing modification</v>
      </c>
    </row>
    <row r="4" spans="1:17" x14ac:dyDescent="0.25">
      <c r="A4" s="5">
        <f t="shared" si="0"/>
        <v>3</v>
      </c>
      <c r="B4" s="38" t="str">
        <f>VLOOKUP(TaskTimings[Task],ProjectTasks[[TaskProjectCode]:[TSK]],2,0)</f>
        <v>SDS</v>
      </c>
      <c r="C4" s="38" t="str">
        <f>VLOOKUP(TaskTimings[Task],ProjectTasks[[TaskProjectCode]:[TSK]],3,0)</f>
        <v>Decryption</v>
      </c>
      <c r="D4" s="38" t="str">
        <f>TaskTimings[Employee]&amp;"/"&amp;TaskTimings[Date]</f>
        <v>Aswathy/43430</v>
      </c>
      <c r="E4" s="38">
        <f>COUNTIF($D$1:TaskTimings[[#This Row],[EmployeeDate]],TaskTimings[[#This Row],[EmployeeDate]])</f>
        <v>2</v>
      </c>
      <c r="F4" s="38" t="str">
        <f>TaskTimings[[#This Row],[EmployeeDate]]&amp;"/"&amp;TaskTimings[[#This Row],[EmployeeDateSeq]]</f>
        <v>Aswathy/43430/2</v>
      </c>
      <c r="G4" s="36" t="s">
        <v>57</v>
      </c>
      <c r="H4" s="36" t="s">
        <v>54</v>
      </c>
      <c r="I4" s="42">
        <v>43430</v>
      </c>
      <c r="J4" s="43">
        <v>0.45833333333333331</v>
      </c>
      <c r="K4" s="44">
        <v>0.47916666666666669</v>
      </c>
      <c r="L4" s="34">
        <f>(TaskTimings[End Time]-TaskTimings[Start Time])*1440</f>
        <v>30.000000000000053</v>
      </c>
      <c r="M4" s="34" t="str">
        <f>TEXT(TaskTimings[End Time]-TaskTimings[Start Time],"HH:mm")</f>
        <v>00:30</v>
      </c>
      <c r="N4" s="34">
        <f>SUMIFS(TaskTimings[Total Minutes],TaskTimings[Date],TaskTimings[Date],TaskTimings[Employee],TaskTimings[Employee])</f>
        <v>330</v>
      </c>
      <c r="O4" s="34" t="str">
        <f>TEXT(TaskTimings[Day Total Minutes]/1440,"HH:mm")</f>
        <v>05:30</v>
      </c>
      <c r="P4" s="38" t="str">
        <f>TaskTimings[PRJ]</f>
        <v>SDS</v>
      </c>
      <c r="Q4" s="38" t="str">
        <f>TaskTimings[TSK]</f>
        <v>Decryption</v>
      </c>
    </row>
    <row r="5" spans="1:17" x14ac:dyDescent="0.25">
      <c r="A5" s="5">
        <f t="shared" si="0"/>
        <v>4</v>
      </c>
      <c r="B5" s="38" t="str">
        <f>VLOOKUP(TaskTimings[Task],ProjectTasks[[TaskProjectCode]:[TSK]],2,0)</f>
        <v>TKT</v>
      </c>
      <c r="C5" s="38" t="str">
        <f>VLOOKUP(TaskTimings[Task],ProjectTasks[[TaskProjectCode]:[TSK]],3,0)</f>
        <v>Database Analysis from Old Project</v>
      </c>
      <c r="D5" s="38" t="str">
        <f>TaskTimings[Employee]&amp;"/"&amp;TaskTimings[Date]</f>
        <v>Shareena/43430</v>
      </c>
      <c r="E5" s="38">
        <f>COUNTIF($D$1:TaskTimings[[#This Row],[EmployeeDate]],TaskTimings[[#This Row],[EmployeeDate]])</f>
        <v>2</v>
      </c>
      <c r="F5" s="38" t="str">
        <f>TaskTimings[[#This Row],[EmployeeDate]]&amp;"/"&amp;TaskTimings[[#This Row],[EmployeeDateSeq]]</f>
        <v>Shareena/43430/2</v>
      </c>
      <c r="G5" s="36" t="s">
        <v>58</v>
      </c>
      <c r="H5" s="36" t="s">
        <v>16</v>
      </c>
      <c r="I5" s="42">
        <v>43430</v>
      </c>
      <c r="J5" s="43">
        <v>0.47569444444444442</v>
      </c>
      <c r="K5" s="44">
        <v>0.55972222222222223</v>
      </c>
      <c r="L5" s="34">
        <f>(TaskTimings[End Time]-TaskTimings[Start Time])*1440</f>
        <v>121.00000000000006</v>
      </c>
      <c r="M5" s="34" t="str">
        <f>TEXT(TaskTimings[End Time]-TaskTimings[Start Time],"HH:mm")</f>
        <v>02:01</v>
      </c>
      <c r="N5" s="34">
        <f>SUMIFS(TaskTimings[Total Minutes],TaskTimings[Date],TaskTimings[Date],TaskTimings[Employee],TaskTimings[Employee])</f>
        <v>330.99999999999994</v>
      </c>
      <c r="O5" s="34" t="str">
        <f>TEXT(TaskTimings[Day Total Minutes]/1440,"HH:mm")</f>
        <v>05:31</v>
      </c>
      <c r="P5" s="38" t="str">
        <f>TaskTimings[PRJ]</f>
        <v>TKT</v>
      </c>
      <c r="Q5" s="38" t="str">
        <f>TaskTimings[TSK]</f>
        <v>Database Analysis from Old Project</v>
      </c>
    </row>
    <row r="6" spans="1:17" x14ac:dyDescent="0.25">
      <c r="A6" s="5">
        <f t="shared" si="0"/>
        <v>5</v>
      </c>
      <c r="B6" s="38" t="str">
        <f>VLOOKUP(TaskTimings[Task],ProjectTasks[[TaskProjectCode]:[TSK]],2,0)</f>
        <v>RTM</v>
      </c>
      <c r="C6" s="38" t="str">
        <f>VLOOKUP(TaskTimings[Task],ProjectTasks[[TaskProjectCode]:[TSK]],3,0)</f>
        <v>Solving the issue of repeating icon in tray</v>
      </c>
      <c r="D6" s="38" t="str">
        <f>TaskTimings[Employee]&amp;"/"&amp;TaskTimings[Date]</f>
        <v>Aswathy/43430</v>
      </c>
      <c r="E6" s="38">
        <f>COUNTIF($D$1:TaskTimings[[#This Row],[EmployeeDate]],TaskTimings[[#This Row],[EmployeeDate]])</f>
        <v>3</v>
      </c>
      <c r="F6" s="38" t="str">
        <f>TaskTimings[[#This Row],[EmployeeDate]]&amp;"/"&amp;TaskTimings[[#This Row],[EmployeeDateSeq]]</f>
        <v>Aswathy/43430/3</v>
      </c>
      <c r="G6" s="36" t="s">
        <v>84</v>
      </c>
      <c r="H6" s="36" t="s">
        <v>54</v>
      </c>
      <c r="I6" s="42">
        <v>43430</v>
      </c>
      <c r="J6" s="43">
        <v>0.47916666666666669</v>
      </c>
      <c r="K6" s="44">
        <v>0.54166666666666663</v>
      </c>
      <c r="L6" s="34">
        <f>(TaskTimings[End Time]-TaskTimings[Start Time])*1440</f>
        <v>89.999999999999915</v>
      </c>
      <c r="M6" s="34" t="str">
        <f>TEXT(TaskTimings[End Time]-TaskTimings[Start Time],"HH:mm")</f>
        <v>01:30</v>
      </c>
      <c r="N6" s="34">
        <f>SUMIFS(TaskTimings[Total Minutes],TaskTimings[Date],TaskTimings[Date],TaskTimings[Employee],TaskTimings[Employee])</f>
        <v>330</v>
      </c>
      <c r="O6" s="34" t="str">
        <f>TEXT(TaskTimings[Day Total Minutes]/1440,"HH:mm")</f>
        <v>05:30</v>
      </c>
      <c r="P6" s="38" t="str">
        <f>TaskTimings[PRJ]</f>
        <v>RTM</v>
      </c>
      <c r="Q6" s="38" t="str">
        <f>TaskTimings[TSK]</f>
        <v>Solving the issue of repeating icon in tray</v>
      </c>
    </row>
    <row r="7" spans="1:17" x14ac:dyDescent="0.25">
      <c r="A7" s="5">
        <f t="shared" si="0"/>
        <v>6</v>
      </c>
      <c r="B7" s="38" t="str">
        <f>VLOOKUP(TaskTimings[Task],ProjectTasks[[TaskProjectCode]:[TSK]],2,0)</f>
        <v>TKT</v>
      </c>
      <c r="C7" s="38" t="str">
        <f>VLOOKUP(TaskTimings[Task],ProjectTasks[[TaskProjectCode]:[TSK]],3,0)</f>
        <v>Database Analysis from Old Project</v>
      </c>
      <c r="D7" s="38" t="str">
        <f>TaskTimings[Employee]&amp;"/"&amp;TaskTimings[Date]</f>
        <v>Shareena/43430</v>
      </c>
      <c r="E7" s="38">
        <f>COUNTIF($D$1:TaskTimings[[#This Row],[EmployeeDate]],TaskTimings[[#This Row],[EmployeeDate]])</f>
        <v>3</v>
      </c>
      <c r="F7" s="38" t="str">
        <f>TaskTimings[[#This Row],[EmployeeDate]]&amp;"/"&amp;TaskTimings[[#This Row],[EmployeeDateSeq]]</f>
        <v>Shareena/43430/3</v>
      </c>
      <c r="G7" s="36" t="s">
        <v>58</v>
      </c>
      <c r="H7" s="36" t="s">
        <v>16</v>
      </c>
      <c r="I7" s="42">
        <v>43430</v>
      </c>
      <c r="J7" s="43">
        <v>0.58333333333333337</v>
      </c>
      <c r="K7" s="44">
        <v>0.66666666666666663</v>
      </c>
      <c r="L7" s="34">
        <f>(TaskTimings[End Time]-TaskTimings[Start Time])*1440</f>
        <v>119.99999999999989</v>
      </c>
      <c r="M7" s="34" t="str">
        <f>TEXT(TaskTimings[End Time]-TaskTimings[Start Time],"HH:mm")</f>
        <v>02:00</v>
      </c>
      <c r="N7" s="34">
        <f>SUMIFS(TaskTimings[Total Minutes],TaskTimings[Date],TaskTimings[Date],TaskTimings[Employee],TaskTimings[Employee])</f>
        <v>330.99999999999994</v>
      </c>
      <c r="O7" s="34" t="str">
        <f>TEXT(TaskTimings[Day Total Minutes]/1440,"HH:mm")</f>
        <v>05:31</v>
      </c>
      <c r="P7" s="38" t="str">
        <f>TaskTimings[PRJ]</f>
        <v>TKT</v>
      </c>
      <c r="Q7" s="38" t="str">
        <f>TaskTimings[TSK]</f>
        <v>Database Analysis from Old Project</v>
      </c>
    </row>
    <row r="8" spans="1:17" x14ac:dyDescent="0.25">
      <c r="A8" s="5">
        <f t="shared" si="0"/>
        <v>7</v>
      </c>
      <c r="B8" s="38" t="str">
        <f>VLOOKUP(TaskTimings[Task],ProjectTasks[[TaskProjectCode]:[TSK]],2,0)</f>
        <v>RTM</v>
      </c>
      <c r="C8" s="38" t="str">
        <f>VLOOKUP(TaskTimings[Task],ProjectTasks[[TaskProjectCode]:[TSK]],3,0)</f>
        <v>Solving the issue of repeating icon in tray</v>
      </c>
      <c r="D8" s="38" t="str">
        <f>TaskTimings[Employee]&amp;"/"&amp;TaskTimings[Date]</f>
        <v>Aswathy/43430</v>
      </c>
      <c r="E8" s="38">
        <f>COUNTIF($D$1:TaskTimings[[#This Row],[EmployeeDate]],TaskTimings[[#This Row],[EmployeeDate]])</f>
        <v>4</v>
      </c>
      <c r="F8" s="38" t="str">
        <f>TaskTimings[[#This Row],[EmployeeDate]]&amp;"/"&amp;TaskTimings[[#This Row],[EmployeeDateSeq]]</f>
        <v>Aswathy/43430/4</v>
      </c>
      <c r="G8" s="36" t="s">
        <v>84</v>
      </c>
      <c r="H8" s="36" t="s">
        <v>54</v>
      </c>
      <c r="I8" s="42">
        <v>43430</v>
      </c>
      <c r="J8" s="43">
        <v>0.625</v>
      </c>
      <c r="K8" s="44">
        <v>0.70833333333333337</v>
      </c>
      <c r="L8" s="34">
        <f>(TaskTimings[End Time]-TaskTimings[Start Time])*1440</f>
        <v>120.00000000000006</v>
      </c>
      <c r="M8" s="34" t="str">
        <f>TEXT(TaskTimings[End Time]-TaskTimings[Start Time],"HH:mm")</f>
        <v>02:00</v>
      </c>
      <c r="N8" s="34">
        <f>SUMIFS(TaskTimings[Total Minutes],TaskTimings[Date],TaskTimings[Date],TaskTimings[Employee],TaskTimings[Employee])</f>
        <v>330</v>
      </c>
      <c r="O8" s="34" t="str">
        <f>TEXT(TaskTimings[Day Total Minutes]/1440,"HH:mm")</f>
        <v>05:30</v>
      </c>
      <c r="P8" s="38" t="str">
        <f>TaskTimings[PRJ]</f>
        <v>RTM</v>
      </c>
      <c r="Q8" s="38" t="str">
        <f>TaskTimings[TSK]</f>
        <v>Solving the issue of repeating icon in tray</v>
      </c>
    </row>
    <row r="9" spans="1:17" x14ac:dyDescent="0.25">
      <c r="A9" s="5">
        <f t="shared" si="0"/>
        <v>8</v>
      </c>
      <c r="B9" s="46" t="str">
        <f>VLOOKUP(TaskTimings[Task],ProjectTasks[[TaskProjectCode]:[TSK]],2,0)</f>
        <v>TKT</v>
      </c>
      <c r="C9" s="46" t="str">
        <f>VLOOKUP(TaskTimings[Task],ProjectTasks[[TaskProjectCode]:[TSK]],3,0)</f>
        <v>Discussion for ticketing modification</v>
      </c>
      <c r="D9" s="46" t="str">
        <f>TaskTimings[Employee]&amp;"/"&amp;TaskTimings[Date]</f>
        <v>Firose/43430</v>
      </c>
      <c r="E9" s="46">
        <f>COUNTIF($D$1:TaskTimings[[#This Row],[EmployeeDate]],TaskTimings[[#This Row],[EmployeeDate]])</f>
        <v>1</v>
      </c>
      <c r="F9" s="46" t="str">
        <f>TaskTimings[[#This Row],[EmployeeDate]]&amp;"/"&amp;TaskTimings[[#This Row],[EmployeeDateSeq]]</f>
        <v>Firose/43430/1</v>
      </c>
      <c r="G9" s="35" t="s">
        <v>55</v>
      </c>
      <c r="H9" s="35" t="s">
        <v>34</v>
      </c>
      <c r="I9" s="48">
        <v>43430</v>
      </c>
      <c r="J9" s="49">
        <v>0.41666666666666669</v>
      </c>
      <c r="K9" s="49">
        <v>0.45833333333333331</v>
      </c>
      <c r="L9" s="45">
        <f>(TaskTimings[End Time]-TaskTimings[Start Time])*1440</f>
        <v>59.999999999999943</v>
      </c>
      <c r="M9" s="45" t="str">
        <f>TEXT(TaskTimings[End Time]-TaskTimings[Start Time],"HH:mm")</f>
        <v>01:00</v>
      </c>
      <c r="N9" s="45">
        <f>SUMIFS(TaskTimings[Total Minutes],TaskTimings[Date],TaskTimings[Date],TaskTimings[Employee],TaskTimings[Employee])</f>
        <v>419.99999999999989</v>
      </c>
      <c r="O9" s="45" t="str">
        <f>TEXT(TaskTimings[Day Total Minutes]/1440,"HH:mm")</f>
        <v>07:00</v>
      </c>
      <c r="P9" s="46" t="str">
        <f>TaskTimings[PRJ]</f>
        <v>TKT</v>
      </c>
      <c r="Q9" s="46" t="str">
        <f>TaskTimings[TSK]</f>
        <v>Discussion for ticketing modification</v>
      </c>
    </row>
    <row r="10" spans="1:17" x14ac:dyDescent="0.25">
      <c r="A10" s="5">
        <f t="shared" si="0"/>
        <v>9</v>
      </c>
      <c r="B10" s="46" t="str">
        <f>VLOOKUP(TaskTimings[Task],ProjectTasks[[TaskProjectCode]:[TSK]],2,0)</f>
        <v>PPOIO</v>
      </c>
      <c r="C10" s="46" t="str">
        <f>VLOOKUP(TaskTimings[Task],ProjectTasks[[TaskProjectCode]:[TSK]],3,0)</f>
        <v>Project Study</v>
      </c>
      <c r="D10" s="46" t="str">
        <f>TaskTimings[Employee]&amp;"/"&amp;TaskTimings[Date]</f>
        <v>Firose/43430</v>
      </c>
      <c r="E10" s="46">
        <f>COUNTIF($D$1:TaskTimings[[#This Row],[EmployeeDate]],TaskTimings[[#This Row],[EmployeeDate]])</f>
        <v>2</v>
      </c>
      <c r="F10" s="46" t="str">
        <f>TaskTimings[[#This Row],[EmployeeDate]]&amp;"/"&amp;TaskTimings[[#This Row],[EmployeeDateSeq]]</f>
        <v>Firose/43430/2</v>
      </c>
      <c r="G10" s="35" t="s">
        <v>69</v>
      </c>
      <c r="H10" s="35" t="s">
        <v>34</v>
      </c>
      <c r="I10" s="48">
        <v>43430</v>
      </c>
      <c r="J10" s="49">
        <v>0.45833333333333331</v>
      </c>
      <c r="K10" s="49">
        <v>0.54166666666666663</v>
      </c>
      <c r="L10" s="45">
        <f>(TaskTimings[End Time]-TaskTimings[Start Time])*1440</f>
        <v>119.99999999999997</v>
      </c>
      <c r="M10" s="45" t="str">
        <f>TEXT(TaskTimings[End Time]-TaskTimings[Start Time],"HH:mm")</f>
        <v>02:00</v>
      </c>
      <c r="N10" s="45">
        <f>SUMIFS(TaskTimings[Total Minutes],TaskTimings[Date],TaskTimings[Date],TaskTimings[Employee],TaskTimings[Employee])</f>
        <v>419.99999999999989</v>
      </c>
      <c r="O10" s="45" t="str">
        <f>TEXT(TaskTimings[Day Total Minutes]/1440,"HH:mm")</f>
        <v>07:00</v>
      </c>
      <c r="P10" s="46" t="str">
        <f>TaskTimings[PRJ]</f>
        <v>PPOIO</v>
      </c>
      <c r="Q10" s="46" t="str">
        <f>TaskTimings[TSK]</f>
        <v>Project Study</v>
      </c>
    </row>
    <row r="11" spans="1:17" x14ac:dyDescent="0.25">
      <c r="A11" s="5">
        <f t="shared" si="0"/>
        <v>10</v>
      </c>
      <c r="B11" s="46" t="str">
        <f>VLOOKUP(TaskTimings[Task],ProjectTasks[[TaskProjectCode]:[TSK]],2,0)</f>
        <v>PPOIO</v>
      </c>
      <c r="C11" s="46" t="str">
        <f>VLOOKUP(TaskTimings[Task],ProjectTasks[[TaskProjectCode]:[TSK]],3,0)</f>
        <v>Business Plan</v>
      </c>
      <c r="D11" s="46" t="str">
        <f>TaskTimings[Employee]&amp;"/"&amp;TaskTimings[Date]</f>
        <v>Firose/43430</v>
      </c>
      <c r="E11" s="46">
        <f>COUNTIF($D$1:TaskTimings[[#This Row],[EmployeeDate]],TaskTimings[[#This Row],[EmployeeDate]])</f>
        <v>3</v>
      </c>
      <c r="F11" s="46" t="str">
        <f>TaskTimings[[#This Row],[EmployeeDate]]&amp;"/"&amp;TaskTimings[[#This Row],[EmployeeDateSeq]]</f>
        <v>Firose/43430/3</v>
      </c>
      <c r="G11" s="35" t="s">
        <v>70</v>
      </c>
      <c r="H11" s="35" t="s">
        <v>34</v>
      </c>
      <c r="I11" s="48">
        <v>43430</v>
      </c>
      <c r="J11" s="49">
        <v>0.58333333333333337</v>
      </c>
      <c r="K11" s="49">
        <v>0.75</v>
      </c>
      <c r="L11" s="45">
        <f>(TaskTimings[End Time]-TaskTimings[Start Time])*1440</f>
        <v>239.99999999999994</v>
      </c>
      <c r="M11" s="45" t="str">
        <f>TEXT(TaskTimings[End Time]-TaskTimings[Start Time],"HH:mm")</f>
        <v>04:00</v>
      </c>
      <c r="N11" s="45">
        <f>SUMIFS(TaskTimings[Total Minutes],TaskTimings[Date],TaskTimings[Date],TaskTimings[Employee],TaskTimings[Employee])</f>
        <v>419.99999999999989</v>
      </c>
      <c r="O11" s="45" t="str">
        <f>TEXT(TaskTimings[Day Total Minutes]/1440,"HH:mm")</f>
        <v>07:00</v>
      </c>
      <c r="P11" s="46" t="str">
        <f>TaskTimings[PRJ]</f>
        <v>PPOIO</v>
      </c>
      <c r="Q11" s="46" t="str">
        <f>TaskTimings[TSK]</f>
        <v>Business Plan</v>
      </c>
    </row>
    <row r="12" spans="1:17" x14ac:dyDescent="0.25">
      <c r="A12" s="5">
        <f t="shared" si="0"/>
        <v>11</v>
      </c>
      <c r="B12" s="46" t="str">
        <f>VLOOKUP(TaskTimings[Task],ProjectTasks[[TaskProjectCode]:[TSK]],2,0)</f>
        <v>TEEBPD</v>
      </c>
      <c r="C12" s="46" t="str">
        <f>VLOOKUP(TaskTimings[Task],ProjectTasks[[TaskProjectCode]:[TSK]],3,0)</f>
        <v>Client Suggestion Implementation</v>
      </c>
      <c r="D12" s="46" t="str">
        <f>TaskTimings[Employee]&amp;"/"&amp;TaskTimings[Date]</f>
        <v>Firose/43431</v>
      </c>
      <c r="E12" s="46">
        <f>COUNTIF($D$1:TaskTimings[[#This Row],[EmployeeDate]],TaskTimings[[#This Row],[EmployeeDate]])</f>
        <v>1</v>
      </c>
      <c r="F12" s="46" t="str">
        <f>TaskTimings[[#This Row],[EmployeeDate]]&amp;"/"&amp;TaskTimings[[#This Row],[EmployeeDateSeq]]</f>
        <v>Firose/43431/1</v>
      </c>
      <c r="G12" s="35" t="s">
        <v>71</v>
      </c>
      <c r="H12" s="35" t="s">
        <v>34</v>
      </c>
      <c r="I12" s="48">
        <v>43431</v>
      </c>
      <c r="J12" s="49">
        <v>0.375</v>
      </c>
      <c r="K12" s="49">
        <v>0.70833333333333337</v>
      </c>
      <c r="L12" s="45">
        <f>(TaskTimings[End Time]-TaskTimings[Start Time])*1440</f>
        <v>480.00000000000006</v>
      </c>
      <c r="M12" s="45" t="str">
        <f>TEXT(TaskTimings[End Time]-TaskTimings[Start Time],"HH:mm")</f>
        <v>08:00</v>
      </c>
      <c r="N12" s="45">
        <f>SUMIFS(TaskTimings[Total Minutes],TaskTimings[Date],TaskTimings[Date],TaskTimings[Employee],TaskTimings[Employee])</f>
        <v>480.00000000000006</v>
      </c>
      <c r="O12" s="45" t="str">
        <f>TEXT(TaskTimings[Day Total Minutes]/1440,"HH:mm")</f>
        <v>08:00</v>
      </c>
      <c r="P12" s="46" t="str">
        <f>TaskTimings[PRJ]</f>
        <v>TEEBPD</v>
      </c>
      <c r="Q12" s="46" t="str">
        <f>TaskTimings[TSK]</f>
        <v>Client Suggestion Implementation</v>
      </c>
    </row>
    <row r="13" spans="1:17" x14ac:dyDescent="0.25">
      <c r="A13" s="5">
        <f t="shared" si="0"/>
        <v>12</v>
      </c>
      <c r="B13" s="46" t="str">
        <f>VLOOKUP(TaskTimings[Task],ProjectTasks[[TaskProjectCode]:[TSK]],2,0)</f>
        <v>TKT</v>
      </c>
      <c r="C13" s="46" t="str">
        <f>VLOOKUP(TaskTimings[Task],ProjectTasks[[TaskProjectCode]:[TSK]],3,0)</f>
        <v>Database Analysis from Old Project</v>
      </c>
      <c r="D13" s="46" t="str">
        <f>TaskTimings[Employee]&amp;"/"&amp;TaskTimings[Date]</f>
        <v>Shareena/43431</v>
      </c>
      <c r="E13" s="46">
        <f>COUNTIF($D$1:TaskTimings[[#This Row],[EmployeeDate]],TaskTimings[[#This Row],[EmployeeDate]])</f>
        <v>1</v>
      </c>
      <c r="F13" s="46" t="str">
        <f>TaskTimings[[#This Row],[EmployeeDate]]&amp;"/"&amp;TaskTimings[[#This Row],[EmployeeDateSeq]]</f>
        <v>Shareena/43431/1</v>
      </c>
      <c r="G13" s="35" t="s">
        <v>58</v>
      </c>
      <c r="H13" s="35" t="s">
        <v>16</v>
      </c>
      <c r="I13" s="48">
        <v>43431</v>
      </c>
      <c r="J13" s="50">
        <v>0.38541666666666669</v>
      </c>
      <c r="K13" s="49">
        <v>0.47916666666666669</v>
      </c>
      <c r="L13" s="45">
        <f>(TaskTimings[End Time]-TaskTimings[Start Time])*1440</f>
        <v>135</v>
      </c>
      <c r="M13" s="45" t="str">
        <f>TEXT(TaskTimings[End Time]-TaskTimings[Start Time],"HH:mm")</f>
        <v>02:15</v>
      </c>
      <c r="N13" s="45">
        <f>SUMIFS(TaskTimings[Total Minutes],TaskTimings[Date],TaskTimings[Date],TaskTimings[Employee],TaskTimings[Employee])</f>
        <v>135</v>
      </c>
      <c r="O13" s="45" t="str">
        <f>TEXT(TaskTimings[Day Total Minutes]/1440,"HH:mm")</f>
        <v>02:15</v>
      </c>
      <c r="P13" s="46" t="str">
        <f>TaskTimings[PRJ]</f>
        <v>TKT</v>
      </c>
      <c r="Q13" s="46" t="str">
        <f>TaskTimings[TSK]</f>
        <v>Database Analysis from Old Project</v>
      </c>
    </row>
    <row r="14" spans="1:17" x14ac:dyDescent="0.25">
      <c r="A14" s="5">
        <f t="shared" si="0"/>
        <v>13</v>
      </c>
      <c r="B14" s="46" t="str">
        <f>VLOOKUP(TaskTimings[Task],ProjectTasks[[TaskProjectCode]:[TSK]],2,0)</f>
        <v>RTM</v>
      </c>
      <c r="C14" s="46" t="str">
        <f>VLOOKUP(TaskTimings[Task],ProjectTasks[[TaskProjectCode]:[TSK]],3,0)</f>
        <v>Solving the issue of repeating icon in tray</v>
      </c>
      <c r="D14" s="46" t="str">
        <f>TaskTimings[Employee]&amp;"/"&amp;TaskTimings[Date]</f>
        <v>Aswathy/43431</v>
      </c>
      <c r="E14" s="46">
        <f>COUNTIF($D$1:TaskTimings[[#This Row],[EmployeeDate]],TaskTimings[[#This Row],[EmployeeDate]])</f>
        <v>1</v>
      </c>
      <c r="F14" s="46" t="str">
        <f>TaskTimings[[#This Row],[EmployeeDate]]&amp;"/"&amp;TaskTimings[[#This Row],[EmployeeDateSeq]]</f>
        <v>Aswathy/43431/1</v>
      </c>
      <c r="G14" s="35" t="s">
        <v>84</v>
      </c>
      <c r="H14" s="35" t="s">
        <v>54</v>
      </c>
      <c r="I14" s="48">
        <v>43431</v>
      </c>
      <c r="J14" s="50">
        <v>0.38541666666666669</v>
      </c>
      <c r="K14" s="49">
        <v>0.41666666666666669</v>
      </c>
      <c r="L14" s="45">
        <f>(TaskTimings[End Time]-TaskTimings[Start Time])*1440</f>
        <v>45</v>
      </c>
      <c r="M14" s="45" t="str">
        <f>TEXT(TaskTimings[End Time]-TaskTimings[Start Time],"HH:mm")</f>
        <v>00:45</v>
      </c>
      <c r="N14" s="45">
        <f>SUMIFS(TaskTimings[Total Minutes],TaskTimings[Date],TaskTimings[Date],TaskTimings[Employee],TaskTimings[Employee])</f>
        <v>144.99999999999989</v>
      </c>
      <c r="O14" s="45" t="str">
        <f>TEXT(TaskTimings[Day Total Minutes]/1440,"HH:mm")</f>
        <v>02:25</v>
      </c>
      <c r="P14" s="46" t="str">
        <f>TaskTimings[PRJ]</f>
        <v>RTM</v>
      </c>
      <c r="Q14" s="46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6" t="str">
        <f>VLOOKUP(TaskTimings[Task],ProjectTasks[[TaskProjectCode]:[TSK]],2,0)</f>
        <v>RTM</v>
      </c>
      <c r="C15" s="46" t="str">
        <f>VLOOKUP(TaskTimings[Task],ProjectTasks[[TaskProjectCode]:[TSK]],3,0)</f>
        <v>Solving the issue of repeating icon in tray</v>
      </c>
      <c r="D15" s="46" t="str">
        <f>TaskTimings[Employee]&amp;"/"&amp;TaskTimings[Date]</f>
        <v>Aswathy/43431</v>
      </c>
      <c r="E15" s="46">
        <f>COUNTIF($D$1:TaskTimings[[#This Row],[EmployeeDate]],TaskTimings[[#This Row],[EmployeeDate]])</f>
        <v>2</v>
      </c>
      <c r="F15" s="46" t="str">
        <f>TaskTimings[[#This Row],[EmployeeDate]]&amp;"/"&amp;TaskTimings[[#This Row],[EmployeeDateSeq]]</f>
        <v>Aswathy/43431/2</v>
      </c>
      <c r="G15" s="35" t="s">
        <v>84</v>
      </c>
      <c r="H15" s="35" t="s">
        <v>54</v>
      </c>
      <c r="I15" s="48">
        <v>43431</v>
      </c>
      <c r="J15" s="50">
        <v>0.47222222222222227</v>
      </c>
      <c r="K15" s="49">
        <v>0.54166666666666663</v>
      </c>
      <c r="L15" s="45">
        <f>(TaskTimings[End Time]-TaskTimings[Start Time])*1440</f>
        <v>99.999999999999886</v>
      </c>
      <c r="M15" s="45" t="str">
        <f>TEXT(TaskTimings[End Time]-TaskTimings[Start Time],"HH:mm")</f>
        <v>01:40</v>
      </c>
      <c r="N15" s="45">
        <f>SUMIFS(TaskTimings[Total Minutes],TaskTimings[Date],TaskTimings[Date],TaskTimings[Employee],TaskTimings[Employee])</f>
        <v>144.99999999999989</v>
      </c>
      <c r="O15" s="45" t="str">
        <f>TEXT(TaskTimings[Day Total Minutes]/1440,"HH:mm")</f>
        <v>02:25</v>
      </c>
      <c r="P15" s="46" t="str">
        <f>TaskTimings[PRJ]</f>
        <v>RTM</v>
      </c>
      <c r="Q15" s="46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6" t="str">
        <f>VLOOKUP(TaskTimings[Task],ProjectTasks[[TaskProjectCode]:[TSK]],2,0)</f>
        <v>MITWEB</v>
      </c>
      <c r="C16" s="46" t="str">
        <f>VLOOKUP(TaskTimings[Task],ProjectTasks[[TaskProjectCode]:[TSK]],3,0)</f>
        <v>Modification</v>
      </c>
      <c r="D16" s="46" t="str">
        <f>TaskTimings[Employee]&amp;"/"&amp;TaskTimings[Date]</f>
        <v>Firose/43432</v>
      </c>
      <c r="E16" s="46">
        <f>COUNTIF($D$1:TaskTimings[[#This Row],[EmployeeDate]],TaskTimings[[#This Row],[EmployeeDate]])</f>
        <v>1</v>
      </c>
      <c r="F16" s="46" t="str">
        <f>TaskTimings[[#This Row],[EmployeeDate]]&amp;"/"&amp;TaskTimings[[#This Row],[EmployeeDateSeq]]</f>
        <v>Firose/43432/1</v>
      </c>
      <c r="G16" s="35" t="s">
        <v>75</v>
      </c>
      <c r="H16" s="35" t="s">
        <v>34</v>
      </c>
      <c r="I16" s="48">
        <v>43432</v>
      </c>
      <c r="J16" s="49">
        <v>0.375</v>
      </c>
      <c r="K16" s="49">
        <v>0.41666666666666669</v>
      </c>
      <c r="L16" s="45">
        <f>(TaskTimings[End Time]-TaskTimings[Start Time])*1440</f>
        <v>60.000000000000028</v>
      </c>
      <c r="M16" s="45" t="str">
        <f>TEXT(TaskTimings[End Time]-TaskTimings[Start Time],"HH:mm")</f>
        <v>01:00</v>
      </c>
      <c r="N16" s="45">
        <f>SUMIFS(TaskTimings[Total Minutes],TaskTimings[Date],TaskTimings[Date],TaskTimings[Employee],TaskTimings[Employee])</f>
        <v>210.00000000000006</v>
      </c>
      <c r="O16" s="45" t="str">
        <f>TEXT(TaskTimings[Day Total Minutes]/1440,"HH:mm")</f>
        <v>03:30</v>
      </c>
      <c r="P16" s="46" t="str">
        <f>TaskTimings[PRJ]</f>
        <v>MITWEB</v>
      </c>
      <c r="Q16" s="46" t="str">
        <f>TaskTimings[TSK]</f>
        <v>Modification</v>
      </c>
    </row>
    <row r="17" spans="1:17" x14ac:dyDescent="0.25">
      <c r="A17" s="5">
        <f t="shared" si="0"/>
        <v>16</v>
      </c>
      <c r="B17" s="46" t="str">
        <f>VLOOKUP(TaskTimings[Task],ProjectTasks[[TaskProjectCode]:[TSK]],2,0)</f>
        <v>TKT</v>
      </c>
      <c r="C17" s="46" t="str">
        <f>VLOOKUP(TaskTimings[Task],ProjectTasks[[TaskProjectCode]:[TSK]],3,0)</f>
        <v>Discussion for ticketing modification</v>
      </c>
      <c r="D17" s="46" t="str">
        <f>TaskTimings[Employee]&amp;"/"&amp;TaskTimings[Date]</f>
        <v>Firose/43432</v>
      </c>
      <c r="E17" s="46">
        <f>COUNTIF($D$1:TaskTimings[[#This Row],[EmployeeDate]],TaskTimings[[#This Row],[EmployeeDate]])</f>
        <v>2</v>
      </c>
      <c r="F17" s="46" t="str">
        <f>TaskTimings[[#This Row],[EmployeeDate]]&amp;"/"&amp;TaskTimings[[#This Row],[EmployeeDateSeq]]</f>
        <v>Firose/43432/2</v>
      </c>
      <c r="G17" s="35" t="s">
        <v>55</v>
      </c>
      <c r="H17" s="35" t="s">
        <v>34</v>
      </c>
      <c r="I17" s="48">
        <v>43432</v>
      </c>
      <c r="J17" s="49">
        <v>0.41666666666666669</v>
      </c>
      <c r="K17" s="49">
        <v>0.4375</v>
      </c>
      <c r="L17" s="45">
        <f>(TaskTimings[End Time]-TaskTimings[Start Time])*1440</f>
        <v>29.999999999999972</v>
      </c>
      <c r="M17" s="45" t="str">
        <f>TEXT(TaskTimings[End Time]-TaskTimings[Start Time],"HH:mm")</f>
        <v>00:30</v>
      </c>
      <c r="N17" s="45">
        <f>SUMIFS(TaskTimings[Total Minutes],TaskTimings[Date],TaskTimings[Date],TaskTimings[Employee],TaskTimings[Employee])</f>
        <v>210.00000000000006</v>
      </c>
      <c r="O17" s="45" t="str">
        <f>TEXT(TaskTimings[Day Total Minutes]/1440,"HH:mm")</f>
        <v>03:30</v>
      </c>
      <c r="P17" s="46" t="str">
        <f>TaskTimings[PRJ]</f>
        <v>TKT</v>
      </c>
      <c r="Q17" s="46" t="str">
        <f>TaskTimings[TSK]</f>
        <v>Discussion for ticketing modification</v>
      </c>
    </row>
    <row r="18" spans="1:17" x14ac:dyDescent="0.25">
      <c r="A18" s="5">
        <f t="shared" si="0"/>
        <v>17</v>
      </c>
      <c r="B18" s="38" t="str">
        <f>VLOOKUP(TaskTimings[Task],ProjectTasks[[TaskProjectCode]:[TSK]],2,0)</f>
        <v>TKT</v>
      </c>
      <c r="C18" s="38" t="str">
        <f>VLOOKUP(TaskTimings[Task],ProjectTasks[[TaskProjectCode]:[TSK]],3,0)</f>
        <v>Note down table relations</v>
      </c>
      <c r="D18" s="38" t="str">
        <f>TaskTimings[Employee]&amp;"/"&amp;TaskTimings[Date]</f>
        <v>Shareena/43432</v>
      </c>
      <c r="E18" s="38">
        <f>COUNTIF($D$1:TaskTimings[[#This Row],[EmployeeDate]],TaskTimings[[#This Row],[EmployeeDate]])</f>
        <v>1</v>
      </c>
      <c r="F18" s="38" t="str">
        <f>TaskTimings[[#This Row],[EmployeeDate]]&amp;"/"&amp;TaskTimings[[#This Row],[EmployeeDateSeq]]</f>
        <v>Shareena/43432/1</v>
      </c>
      <c r="G18" s="35" t="s">
        <v>81</v>
      </c>
      <c r="H18" s="36" t="s">
        <v>16</v>
      </c>
      <c r="I18" s="48">
        <v>43432</v>
      </c>
      <c r="J18" s="51">
        <v>0.43888888888888888</v>
      </c>
      <c r="K18" s="44">
        <v>0.70277777777777783</v>
      </c>
      <c r="L18" s="34">
        <f>(TaskTimings[End Time]-TaskTimings[Start Time])*1440</f>
        <v>380.00000000000011</v>
      </c>
      <c r="M18" s="34" t="str">
        <f>TEXT(TaskTimings[End Time]-TaskTimings[Start Time],"HH:mm")</f>
        <v>06:20</v>
      </c>
      <c r="N18" s="34">
        <f>SUMIFS(TaskTimings[Total Minutes],TaskTimings[Date],TaskTimings[Date],TaskTimings[Employee],TaskTimings[Employee])</f>
        <v>380.00000000000011</v>
      </c>
      <c r="O18" s="34" t="str">
        <f>TEXT(TaskTimings[Day Total Minutes]/1440,"HH:mm")</f>
        <v>06:20</v>
      </c>
      <c r="P18" s="38" t="str">
        <f>TaskTimings[PRJ]</f>
        <v>TKT</v>
      </c>
      <c r="Q18" s="38" t="str">
        <f>TaskTimings[TSK]</f>
        <v>Note down table relations</v>
      </c>
    </row>
    <row r="19" spans="1:17" x14ac:dyDescent="0.25">
      <c r="A19" s="5">
        <f t="shared" si="0"/>
        <v>18</v>
      </c>
      <c r="B19" s="38" t="str">
        <f>VLOOKUP(TaskTimings[Task],ProjectTasks[[TaskProjectCode]:[TSK]],2,0)</f>
        <v>SDS</v>
      </c>
      <c r="C19" s="38" t="str">
        <f>VLOOKUP(TaskTimings[Task],ProjectTasks[[TaskProjectCode]:[TSK]],3,0)</f>
        <v>Decryption</v>
      </c>
      <c r="D19" s="38" t="str">
        <f>TaskTimings[Employee]&amp;"/"&amp;TaskTimings[Date]</f>
        <v>Aswathy/43432</v>
      </c>
      <c r="E19" s="38">
        <f>COUNTIF($D$1:TaskTimings[[#This Row],[EmployeeDate]],TaskTimings[[#This Row],[EmployeeDate]])</f>
        <v>1</v>
      </c>
      <c r="F19" s="38" t="str">
        <f>TaskTimings[[#This Row],[EmployeeDate]]&amp;"/"&amp;TaskTimings[[#This Row],[EmployeeDateSeq]]</f>
        <v>Aswathy/43432/1</v>
      </c>
      <c r="G19" s="35" t="s">
        <v>57</v>
      </c>
      <c r="H19" s="36" t="s">
        <v>54</v>
      </c>
      <c r="I19" s="48">
        <v>43432</v>
      </c>
      <c r="J19" s="51">
        <v>0.44097222222222227</v>
      </c>
      <c r="K19" s="44">
        <v>0.48958333333333331</v>
      </c>
      <c r="L19" s="34">
        <f>(TaskTimings[End Time]-TaskTimings[Start Time])*1440</f>
        <v>69.999999999999915</v>
      </c>
      <c r="M19" s="34" t="str">
        <f>TEXT(TaskTimings[End Time]-TaskTimings[Start Time],"HH:mm")</f>
        <v>01:10</v>
      </c>
      <c r="N19" s="34">
        <f>SUMIFS(TaskTimings[Total Minutes],TaskTimings[Date],TaskTimings[Date],TaskTimings[Employee],TaskTimings[Employee])</f>
        <v>320</v>
      </c>
      <c r="O19" s="34" t="str">
        <f>TEXT(TaskTimings[Day Total Minutes]/1440,"HH:mm")</f>
        <v>05:20</v>
      </c>
      <c r="P19" s="38" t="str">
        <f>TaskTimings[PRJ]</f>
        <v>SDS</v>
      </c>
      <c r="Q19" s="38" t="str">
        <f>TaskTimings[TSK]</f>
        <v>Decryption</v>
      </c>
    </row>
    <row r="20" spans="1:17" x14ac:dyDescent="0.25">
      <c r="A20" s="5">
        <f t="shared" si="0"/>
        <v>19</v>
      </c>
      <c r="B20" s="38" t="str">
        <f>VLOOKUP(TaskTimings[Task],ProjectTasks[[TaskProjectCode]:[TSK]],2,0)</f>
        <v>RTM</v>
      </c>
      <c r="C20" s="38" t="str">
        <f>VLOOKUP(TaskTimings[Task],ProjectTasks[[TaskProjectCode]:[TSK]],3,0)</f>
        <v>Getting branchname into tool</v>
      </c>
      <c r="D20" s="38" t="str">
        <f>TaskTimings[Employee]&amp;"/"&amp;TaskTimings[Date]</f>
        <v>Aswathy/43432</v>
      </c>
      <c r="E20" s="38">
        <f>COUNTIF($D$1:TaskTimings[[#This Row],[EmployeeDate]],TaskTimings[[#This Row],[EmployeeDate]])</f>
        <v>2</v>
      </c>
      <c r="F20" s="38" t="str">
        <f>TaskTimings[[#This Row],[EmployeeDate]]&amp;"/"&amp;TaskTimings[[#This Row],[EmployeeDateSeq]]</f>
        <v>Aswathy/43432/2</v>
      </c>
      <c r="G20" s="35" t="s">
        <v>77</v>
      </c>
      <c r="H20" s="36" t="s">
        <v>54</v>
      </c>
      <c r="I20" s="48">
        <v>43432</v>
      </c>
      <c r="J20" s="51">
        <v>0.51041666666666663</v>
      </c>
      <c r="K20" s="44">
        <v>0.53125</v>
      </c>
      <c r="L20" s="34">
        <f>(TaskTimings[End Time]-TaskTimings[Start Time])*1440</f>
        <v>30.000000000000053</v>
      </c>
      <c r="M20" s="34" t="str">
        <f>TEXT(TaskTimings[End Time]-TaskTimings[Start Time],"HH:mm")</f>
        <v>00:30</v>
      </c>
      <c r="N20" s="34">
        <f>SUMIFS(TaskTimings[Total Minutes],TaskTimings[Date],TaskTimings[Date],TaskTimings[Employee],TaskTimings[Employee])</f>
        <v>320</v>
      </c>
      <c r="O20" s="34" t="str">
        <f>TEXT(TaskTimings[Day Total Minutes]/1440,"HH:mm")</f>
        <v>05:20</v>
      </c>
      <c r="P20" s="38" t="str">
        <f>TaskTimings[PRJ]</f>
        <v>RTM</v>
      </c>
      <c r="Q20" s="38" t="str">
        <f>TaskTimings[TSK]</f>
        <v>Getting branchname into tool</v>
      </c>
    </row>
    <row r="21" spans="1:17" x14ac:dyDescent="0.25">
      <c r="A21" s="5">
        <f t="shared" si="0"/>
        <v>20</v>
      </c>
      <c r="B21" s="38" t="str">
        <f>VLOOKUP(TaskTimings[Task],ProjectTasks[[TaskProjectCode]:[TSK]],2,0)</f>
        <v>SDS</v>
      </c>
      <c r="C21" s="38" t="str">
        <f>VLOOKUP(TaskTimings[Task],ProjectTasks[[TaskProjectCode]:[TSK]],3,0)</f>
        <v>Decryption</v>
      </c>
      <c r="D21" s="38" t="str">
        <f>TaskTimings[Employee]&amp;"/"&amp;TaskTimings[Date]</f>
        <v>Aswathy/43432</v>
      </c>
      <c r="E21" s="38">
        <f>COUNTIF($D$1:TaskTimings[[#This Row],[EmployeeDate]],TaskTimings[[#This Row],[EmployeeDate]])</f>
        <v>3</v>
      </c>
      <c r="F21" s="38" t="str">
        <f>TaskTimings[[#This Row],[EmployeeDate]]&amp;"/"&amp;TaskTimings[[#This Row],[EmployeeDateSeq]]</f>
        <v>Aswathy/43432/3</v>
      </c>
      <c r="G21" s="35" t="s">
        <v>57</v>
      </c>
      <c r="H21" s="36" t="s">
        <v>54</v>
      </c>
      <c r="I21" s="48">
        <v>43432</v>
      </c>
      <c r="J21" s="51">
        <v>0.53125</v>
      </c>
      <c r="K21" s="44">
        <v>0.68402777777777779</v>
      </c>
      <c r="L21" s="34">
        <f>(TaskTimings[End Time]-TaskTimings[Start Time])*1440</f>
        <v>220.00000000000003</v>
      </c>
      <c r="M21" s="34" t="str">
        <f>TEXT(TaskTimings[End Time]-TaskTimings[Start Time],"HH:mm")</f>
        <v>03:40</v>
      </c>
      <c r="N21" s="34">
        <f>SUMIFS(TaskTimings[Total Minutes],TaskTimings[Date],TaskTimings[Date],TaskTimings[Employee],TaskTimings[Employee])</f>
        <v>320</v>
      </c>
      <c r="O21" s="34" t="str">
        <f>TEXT(TaskTimings[Day Total Minutes]/1440,"HH:mm")</f>
        <v>05:20</v>
      </c>
      <c r="P21" s="38" t="str">
        <f>TaskTimings[PRJ]</f>
        <v>SDS</v>
      </c>
      <c r="Q21" s="38" t="str">
        <f>TaskTimings[TSK]</f>
        <v>Decryption</v>
      </c>
    </row>
    <row r="22" spans="1:17" x14ac:dyDescent="0.25">
      <c r="A22" s="5">
        <f t="shared" si="0"/>
        <v>21</v>
      </c>
      <c r="B22" s="38" t="str">
        <f>VLOOKUP(TaskTimings[Task],ProjectTasks[[TaskProjectCode]:[TSK]],2,0)</f>
        <v>TKT</v>
      </c>
      <c r="C22" s="38" t="str">
        <f>VLOOKUP(TaskTimings[Task],ProjectTasks[[TaskProjectCode]:[TSK]],3,0)</f>
        <v>Note down table relations</v>
      </c>
      <c r="D22" s="38" t="str">
        <f>TaskTimings[Employee]&amp;"/"&amp;TaskTimings[Date]</f>
        <v>Shareena/43433</v>
      </c>
      <c r="E22" s="38">
        <f>COUNTIF($D$1:TaskTimings[[#This Row],[EmployeeDate]],TaskTimings[[#This Row],[EmployeeDate]])</f>
        <v>1</v>
      </c>
      <c r="F22" s="38" t="str">
        <f>TaskTimings[[#This Row],[EmployeeDate]]&amp;"/"&amp;TaskTimings[[#This Row],[EmployeeDateSeq]]</f>
        <v>Shareena/43433/1</v>
      </c>
      <c r="G22" s="35" t="s">
        <v>81</v>
      </c>
      <c r="H22" s="36" t="s">
        <v>16</v>
      </c>
      <c r="I22" s="42">
        <v>43433</v>
      </c>
      <c r="J22" s="51">
        <v>0.46180555555555558</v>
      </c>
      <c r="K22" s="44">
        <v>0.55208333333333337</v>
      </c>
      <c r="L22" s="34">
        <f>(TaskTimings[End Time]-TaskTimings[Start Time])*1440</f>
        <v>130.00000000000003</v>
      </c>
      <c r="M22" s="34" t="str">
        <f>TEXT(TaskTimings[End Time]-TaskTimings[Start Time],"HH:mm")</f>
        <v>02:10</v>
      </c>
      <c r="N22" s="34">
        <f>SUMIFS(TaskTimings[Total Minutes],TaskTimings[Date],TaskTimings[Date],TaskTimings[Employee],TaskTimings[Employee])</f>
        <v>250.00000000000009</v>
      </c>
      <c r="O22" s="34" t="str">
        <f>TEXT(TaskTimings[Day Total Minutes]/1440,"HH:mm")</f>
        <v>04:10</v>
      </c>
      <c r="P22" s="38" t="str">
        <f>TaskTimings[PRJ]</f>
        <v>TKT</v>
      </c>
      <c r="Q22" s="38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2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4" t="str">
        <f>VLOOKUP(TaskTimings[Task],ProjectTasks[[TaskProjectCode]:[TSK]],2,0)</f>
        <v>SDS</v>
      </c>
      <c r="C24" s="54" t="str">
        <f>VLOOKUP(TaskTimings[Task],ProjectTasks[[TaskProjectCode]:[TSK]],3,0)</f>
        <v>Request and get Response from  web</v>
      </c>
      <c r="D24" s="54" t="str">
        <f>TaskTimings[Employee]&amp;"/"&amp;TaskTimings[Date]</f>
        <v>Aswathy/43434</v>
      </c>
      <c r="E24" s="54">
        <f>COUNTIF($D$1:TaskTimings[[#This Row],[EmployeeDate]],TaskTimings[[#This Row],[EmployeeDate]])</f>
        <v>1</v>
      </c>
      <c r="F24" s="54" t="str">
        <f>TaskTimings[[#This Row],[EmployeeDate]]&amp;"/"&amp;TaskTimings[[#This Row],[EmployeeDateSeq]]</f>
        <v>Aswathy/43434/1</v>
      </c>
      <c r="G24" s="55" t="s">
        <v>83</v>
      </c>
      <c r="H24" s="55" t="s">
        <v>54</v>
      </c>
      <c r="I24" s="56">
        <v>43434</v>
      </c>
      <c r="J24" s="57">
        <v>0.3888888888888889</v>
      </c>
      <c r="K24" s="60">
        <v>0.54722222222222217</v>
      </c>
      <c r="L24" s="58">
        <f>(TaskTimings[End Time]-TaskTimings[Start Time])*1440</f>
        <v>227.99999999999991</v>
      </c>
      <c r="M24" s="58" t="str">
        <f>TEXT(TaskTimings[End Time]-TaskTimings[Start Time],"HH:mm")</f>
        <v>03:48</v>
      </c>
      <c r="N24" s="58">
        <f>SUMIFS(TaskTimings[Total Minutes],TaskTimings[Date],TaskTimings[Date],TaskTimings[Employee],TaskTimings[Employee])</f>
        <v>423</v>
      </c>
      <c r="O24" s="58" t="str">
        <f>TEXT(TaskTimings[Day Total Minutes]/1440,"HH:mm")</f>
        <v>07:03</v>
      </c>
      <c r="P24" s="54" t="str">
        <f>TaskTimings[PRJ]</f>
        <v>SDS</v>
      </c>
      <c r="Q24" s="54" t="str">
        <f>TaskTimings[TSK]</f>
        <v>Request and get Response from  web</v>
      </c>
    </row>
    <row r="25" spans="1:17" x14ac:dyDescent="0.25">
      <c r="A25" s="5">
        <f t="shared" si="0"/>
        <v>24</v>
      </c>
      <c r="B25" s="54" t="str">
        <f>VLOOKUP(TaskTimings[Task],ProjectTasks[[TaskProjectCode]:[TSK]],2,0)</f>
        <v>TKT</v>
      </c>
      <c r="C25" s="54" t="str">
        <f>VLOOKUP(TaskTimings[Task],ProjectTasks[[TaskProjectCode]:[TSK]],3,0)</f>
        <v>Entering table details into excel sheet</v>
      </c>
      <c r="D25" s="54" t="str">
        <f>TaskTimings[Employee]&amp;"/"&amp;TaskTimings[Date]</f>
        <v>Shareena/43434</v>
      </c>
      <c r="E25" s="54">
        <f>COUNTIF($D$1:TaskTimings[[#This Row],[EmployeeDate]],TaskTimings[[#This Row],[EmployeeDate]])</f>
        <v>1</v>
      </c>
      <c r="F25" s="54" t="str">
        <f>TaskTimings[[#This Row],[EmployeeDate]]&amp;"/"&amp;TaskTimings[[#This Row],[EmployeeDateSeq]]</f>
        <v>Shareena/43434/1</v>
      </c>
      <c r="G25" s="55" t="s">
        <v>79</v>
      </c>
      <c r="H25" s="55" t="s">
        <v>16</v>
      </c>
      <c r="I25" s="56">
        <v>43434</v>
      </c>
      <c r="J25" s="57">
        <v>0.40625</v>
      </c>
      <c r="K25" s="60">
        <v>0.54861111111111105</v>
      </c>
      <c r="L25" s="58">
        <f>(TaskTimings[End Time]-TaskTimings[Start Time])*1440</f>
        <v>204.99999999999991</v>
      </c>
      <c r="M25" s="58" t="str">
        <f>TEXT(TaskTimings[End Time]-TaskTimings[Start Time],"HH:mm")</f>
        <v>03:25</v>
      </c>
      <c r="N25" s="58">
        <f>SUMIFS(TaskTimings[Total Minutes],TaskTimings[Date],TaskTimings[Date],TaskTimings[Employee],TaskTimings[Employee])</f>
        <v>389.99999999999989</v>
      </c>
      <c r="O25" s="58" t="str">
        <f>TEXT(TaskTimings[Day Total Minutes]/1440,"HH:mm")</f>
        <v>06:30</v>
      </c>
      <c r="P25" s="54" t="str">
        <f>TaskTimings[PRJ]</f>
        <v>TKT</v>
      </c>
      <c r="Q25" s="54" t="str">
        <f>TaskTimings[TSK]</f>
        <v>Entering table details into excel sheet</v>
      </c>
    </row>
    <row r="26" spans="1:17" x14ac:dyDescent="0.25">
      <c r="A26" s="5">
        <f t="shared" si="0"/>
        <v>25</v>
      </c>
      <c r="B26" s="54" t="str">
        <f>VLOOKUP(TaskTimings[Task],ProjectTasks[[TaskProjectCode]:[TSK]],2,0)</f>
        <v>SDS</v>
      </c>
      <c r="C26" s="54" t="str">
        <f>VLOOKUP(TaskTimings[Task],ProjectTasks[[TaskProjectCode]:[TSK]],3,0)</f>
        <v>Request and get Response from  web</v>
      </c>
      <c r="D26" s="54" t="str">
        <f>TaskTimings[Employee]&amp;"/"&amp;TaskTimings[Date]</f>
        <v>Aswathy/43434</v>
      </c>
      <c r="E26" s="54">
        <f>COUNTIF($D$1:TaskTimings[[#This Row],[EmployeeDate]],TaskTimings[[#This Row],[EmployeeDate]])</f>
        <v>2</v>
      </c>
      <c r="F26" s="54" t="str">
        <f>TaskTimings[[#This Row],[EmployeeDate]]&amp;"/"&amp;TaskTimings[[#This Row],[EmployeeDateSeq]]</f>
        <v>Aswathy/43434/2</v>
      </c>
      <c r="G26" s="55" t="s">
        <v>83</v>
      </c>
      <c r="H26" s="55" t="s">
        <v>54</v>
      </c>
      <c r="I26" s="56">
        <v>43434</v>
      </c>
      <c r="J26" s="57">
        <v>0.57291666666666663</v>
      </c>
      <c r="K26" s="60">
        <v>0.70833333333333337</v>
      </c>
      <c r="L26" s="58">
        <f>(TaskTimings[End Time]-TaskTimings[Start Time])*1440</f>
        <v>195.00000000000011</v>
      </c>
      <c r="M26" s="58" t="str">
        <f>TEXT(TaskTimings[End Time]-TaskTimings[Start Time],"HH:mm")</f>
        <v>03:15</v>
      </c>
      <c r="N26" s="58">
        <f>SUMIFS(TaskTimings[Total Minutes],TaskTimings[Date],TaskTimings[Date],TaskTimings[Employee],TaskTimings[Employee])</f>
        <v>423</v>
      </c>
      <c r="O26" s="58" t="str">
        <f>TEXT(TaskTimings[Day Total Minutes]/1440,"HH:mm")</f>
        <v>07:03</v>
      </c>
      <c r="P26" s="54" t="str">
        <f>TaskTimings[PRJ]</f>
        <v>SDS</v>
      </c>
      <c r="Q26" s="54" t="str">
        <f>TaskTimings[TSK]</f>
        <v>Request and get Response from  web</v>
      </c>
    </row>
    <row r="27" spans="1:17" x14ac:dyDescent="0.25">
      <c r="A27" s="5">
        <f t="shared" si="0"/>
        <v>26</v>
      </c>
      <c r="B27" s="54" t="str">
        <f>VLOOKUP(TaskTimings[Task],ProjectTasks[[TaskProjectCode]:[TSK]],2,0)</f>
        <v>TKT</v>
      </c>
      <c r="C27" s="54" t="str">
        <f>VLOOKUP(TaskTimings[Task],ProjectTasks[[TaskProjectCode]:[TSK]],3,0)</f>
        <v>Entering table details into excel sheet</v>
      </c>
      <c r="D27" s="54" t="str">
        <f>TaskTimings[Employee]&amp;"/"&amp;TaskTimings[Date]</f>
        <v>Shareena/43434</v>
      </c>
      <c r="E27" s="54">
        <f>COUNTIF($D$1:TaskTimings[[#This Row],[EmployeeDate]],TaskTimings[[#This Row],[EmployeeDate]])</f>
        <v>2</v>
      </c>
      <c r="F27" s="54" t="str">
        <f>TaskTimings[[#This Row],[EmployeeDate]]&amp;"/"&amp;TaskTimings[[#This Row],[EmployeeDateSeq]]</f>
        <v>Shareena/43434/2</v>
      </c>
      <c r="G27" s="55" t="s">
        <v>79</v>
      </c>
      <c r="H27" s="55" t="s">
        <v>16</v>
      </c>
      <c r="I27" s="56">
        <v>43434</v>
      </c>
      <c r="J27" s="57">
        <v>0.57291666666666663</v>
      </c>
      <c r="K27" s="60">
        <v>0.65972222222222221</v>
      </c>
      <c r="L27" s="58">
        <f>(TaskTimings[End Time]-TaskTimings[Start Time])*1440</f>
        <v>125.00000000000003</v>
      </c>
      <c r="M27" s="58" t="str">
        <f>TEXT(TaskTimings[End Time]-TaskTimings[Start Time],"HH:mm")</f>
        <v>02:05</v>
      </c>
      <c r="N27" s="58">
        <f>SUMIFS(TaskTimings[Total Minutes],TaskTimings[Date],TaskTimings[Date],TaskTimings[Employee],TaskTimings[Employee])</f>
        <v>389.99999999999989</v>
      </c>
      <c r="O27" s="58" t="str">
        <f>TEXT(TaskTimings[Day Total Minutes]/1440,"HH:mm")</f>
        <v>06:30</v>
      </c>
      <c r="P27" s="54" t="str">
        <f>TaskTimings[PRJ]</f>
        <v>TKT</v>
      </c>
      <c r="Q27" s="54" t="str">
        <f>TaskTimings[TSK]</f>
        <v>Entering table details into excel sheet</v>
      </c>
    </row>
    <row r="28" spans="1:17" x14ac:dyDescent="0.25">
      <c r="A28" s="5">
        <f t="shared" si="0"/>
        <v>27</v>
      </c>
      <c r="B28" s="54" t="str">
        <f>VLOOKUP(TaskTimings[Task],ProjectTasks[[TaskProjectCode]:[TSK]],2,0)</f>
        <v>TEEBPD</v>
      </c>
      <c r="C28" s="54" t="str">
        <f>VLOOKUP(TaskTimings[Task],ProjectTasks[[TaskProjectCode]:[TSK]],3,0)</f>
        <v>Inhouse Testing</v>
      </c>
      <c r="D28" s="54" t="str">
        <f>TaskTimings[Employee]&amp;"/"&amp;TaskTimings[Date]</f>
        <v>Shareena/43434</v>
      </c>
      <c r="E28" s="54">
        <f>COUNTIF($D$1:TaskTimings[[#This Row],[EmployeeDate]],TaskTimings[[#This Row],[EmployeeDate]])</f>
        <v>3</v>
      </c>
      <c r="F28" s="54" t="str">
        <f>TaskTimings[[#This Row],[EmployeeDate]]&amp;"/"&amp;TaskTimings[[#This Row],[EmployeeDateSeq]]</f>
        <v>Shareena/43434/3</v>
      </c>
      <c r="G28" s="55" t="s">
        <v>85</v>
      </c>
      <c r="H28" s="55" t="s">
        <v>16</v>
      </c>
      <c r="I28" s="56">
        <v>43434</v>
      </c>
      <c r="J28" s="57">
        <v>0.66180555555555554</v>
      </c>
      <c r="K28" s="60">
        <v>0.70347222222222217</v>
      </c>
      <c r="L28" s="58">
        <f>(TaskTimings[End Time]-TaskTimings[Start Time])*1440</f>
        <v>59.999999999999943</v>
      </c>
      <c r="M28" s="58" t="str">
        <f>TEXT(TaskTimings[End Time]-TaskTimings[Start Time],"HH:mm")</f>
        <v>01:00</v>
      </c>
      <c r="N28" s="58">
        <f>SUMIFS(TaskTimings[Total Minutes],TaskTimings[Date],TaskTimings[Date],TaskTimings[Employee],TaskTimings[Employee])</f>
        <v>389.99999999999989</v>
      </c>
      <c r="O28" s="58" t="str">
        <f>TEXT(TaskTimings[Day Total Minutes]/1440,"HH:mm")</f>
        <v>06:30</v>
      </c>
      <c r="P28" s="54" t="str">
        <f>TaskTimings[PRJ]</f>
        <v>TEEBPD</v>
      </c>
      <c r="Q28" s="54" t="str">
        <f>TaskTimings[TSK]</f>
        <v>Inhouse Testing</v>
      </c>
    </row>
    <row r="29" spans="1:17" x14ac:dyDescent="0.25">
      <c r="A29" s="61">
        <f t="shared" ref="A29:A37" si="1">IFERROR($A28+1,1)</f>
        <v>28</v>
      </c>
      <c r="B29" s="62" t="str">
        <f>VLOOKUP(TaskTimings[Task],ProjectTasks[[TaskProjectCode]:[TSK]],2,0)</f>
        <v>TEEBPD</v>
      </c>
      <c r="C29" s="62" t="str">
        <f>VLOOKUP(TaskTimings[Task],ProjectTasks[[TaskProjectCode]:[TSK]],3,0)</f>
        <v>Finalizing</v>
      </c>
      <c r="D29" s="62" t="str">
        <f>TaskTimings[Employee]&amp;"/"&amp;TaskTimings[Date]</f>
        <v>Firose/43432</v>
      </c>
      <c r="E29" s="62">
        <f>COUNTIF($D$1:TaskTimings[[#This Row],[EmployeeDate]],TaskTimings[[#This Row],[EmployeeDate]])</f>
        <v>3</v>
      </c>
      <c r="F29" s="62" t="str">
        <f>TaskTimings[[#This Row],[EmployeeDate]]&amp;"/"&amp;TaskTimings[[#This Row],[EmployeeDateSeq]]</f>
        <v>Firose/43432/3</v>
      </c>
      <c r="G29" s="63" t="s">
        <v>87</v>
      </c>
      <c r="H29" s="63" t="s">
        <v>34</v>
      </c>
      <c r="I29" s="64">
        <v>43432</v>
      </c>
      <c r="J29" s="65">
        <v>0.625</v>
      </c>
      <c r="K29" s="65">
        <v>0.70833333333333337</v>
      </c>
      <c r="L29" s="66">
        <f>(TaskTimings[End Time]-TaskTimings[Start Time])*1440</f>
        <v>120.00000000000006</v>
      </c>
      <c r="M29" s="66" t="str">
        <f>TEXT(TaskTimings[End Time]-TaskTimings[Start Time],"HH:mm")</f>
        <v>02:00</v>
      </c>
      <c r="N29" s="66">
        <f>SUMIFS(TaskTimings[Total Minutes],TaskTimings[Date],TaskTimings[Date],TaskTimings[Employee],TaskTimings[Employee])</f>
        <v>210.00000000000006</v>
      </c>
      <c r="O29" s="66" t="str">
        <f>TEXT(TaskTimings[Day Total Minutes]/1440,"HH:mm")</f>
        <v>03:30</v>
      </c>
      <c r="P29" s="62" t="str">
        <f>TaskTimings[PRJ]</f>
        <v>TEEBPD</v>
      </c>
      <c r="Q29" s="62" t="str">
        <f>TaskTimings[TSK]</f>
        <v>Finalizing</v>
      </c>
    </row>
    <row r="30" spans="1:17" x14ac:dyDescent="0.25">
      <c r="A30" s="61">
        <f t="shared" si="1"/>
        <v>29</v>
      </c>
      <c r="B30" s="62" t="str">
        <f>VLOOKUP(TaskTimings[Task],ProjectTasks[[TaskProjectCode]:[TSK]],2,0)</f>
        <v>TEEBPD</v>
      </c>
      <c r="C30" s="62" t="str">
        <f>VLOOKUP(TaskTimings[Task],ProjectTasks[[TaskProjectCode]:[TSK]],3,0)</f>
        <v>Finalizing</v>
      </c>
      <c r="D30" s="62" t="str">
        <f>TaskTimings[Employee]&amp;"/"&amp;TaskTimings[Date]</f>
        <v>Firose/43433</v>
      </c>
      <c r="E30" s="62">
        <f>COUNTIF($D$1:TaskTimings[[#This Row],[EmployeeDate]],TaskTimings[[#This Row],[EmployeeDate]])</f>
        <v>1</v>
      </c>
      <c r="F30" s="62" t="str">
        <f>TaskTimings[[#This Row],[EmployeeDate]]&amp;"/"&amp;TaskTimings[[#This Row],[EmployeeDateSeq]]</f>
        <v>Firose/43433/1</v>
      </c>
      <c r="G30" s="63" t="s">
        <v>87</v>
      </c>
      <c r="H30" s="63" t="s">
        <v>34</v>
      </c>
      <c r="I30" s="64">
        <v>43433</v>
      </c>
      <c r="J30" s="65">
        <v>0.41666666666666669</v>
      </c>
      <c r="K30" s="65">
        <v>0.70833333333333337</v>
      </c>
      <c r="L30" s="66">
        <f>(TaskTimings[End Time]-TaskTimings[Start Time])*1440</f>
        <v>420</v>
      </c>
      <c r="M30" s="66" t="str">
        <f>TEXT(TaskTimings[End Time]-TaskTimings[Start Time],"HH:mm")</f>
        <v>07:00</v>
      </c>
      <c r="N30" s="66">
        <f>SUMIFS(TaskTimings[Total Minutes],TaskTimings[Date],TaskTimings[Date],TaskTimings[Employee],TaskTimings[Employee])</f>
        <v>420</v>
      </c>
      <c r="O30" s="66" t="str">
        <f>TEXT(TaskTimings[Day Total Minutes]/1440,"HH:mm")</f>
        <v>07:00</v>
      </c>
      <c r="P30" s="62" t="str">
        <f>TaskTimings[PRJ]</f>
        <v>TEEBPD</v>
      </c>
      <c r="Q30" s="62" t="str">
        <f>TaskTimings[TSK]</f>
        <v>Finalizing</v>
      </c>
    </row>
    <row r="31" spans="1:17" x14ac:dyDescent="0.25">
      <c r="A31" s="61">
        <f t="shared" si="1"/>
        <v>30</v>
      </c>
      <c r="B31" s="62" t="str">
        <f>VLOOKUP(TaskTimings[Task],ProjectTasks[[TaskProjectCode]:[TSK]],2,0)</f>
        <v>TEEBPD</v>
      </c>
      <c r="C31" s="62" t="str">
        <f>VLOOKUP(TaskTimings[Task],ProjectTasks[[TaskProjectCode]:[TSK]],3,0)</f>
        <v>Finalizing</v>
      </c>
      <c r="D31" s="62" t="str">
        <f>TaskTimings[Employee]&amp;"/"&amp;TaskTimings[Date]</f>
        <v>Firose/43434</v>
      </c>
      <c r="E31" s="62">
        <f>COUNTIF($D$1:TaskTimings[[#This Row],[EmployeeDate]],TaskTimings[[#This Row],[EmployeeDate]])</f>
        <v>1</v>
      </c>
      <c r="F31" s="62" t="str">
        <f>TaskTimings[[#This Row],[EmployeeDate]]&amp;"/"&amp;TaskTimings[[#This Row],[EmployeeDateSeq]]</f>
        <v>Firose/43434/1</v>
      </c>
      <c r="G31" s="63" t="s">
        <v>87</v>
      </c>
      <c r="H31" s="63" t="s">
        <v>34</v>
      </c>
      <c r="I31" s="64">
        <v>43434</v>
      </c>
      <c r="J31" s="65">
        <v>0.375</v>
      </c>
      <c r="K31" s="65">
        <v>0.5</v>
      </c>
      <c r="L31" s="66">
        <f>(TaskTimings[End Time]-TaskTimings[Start Time])*1440</f>
        <v>180</v>
      </c>
      <c r="M31" s="66" t="str">
        <f>TEXT(TaskTimings[End Time]-TaskTimings[Start Time],"HH:mm")</f>
        <v>03:00</v>
      </c>
      <c r="N31" s="66">
        <f>SUMIFS(TaskTimings[Total Minutes],TaskTimings[Date],TaskTimings[Date],TaskTimings[Employee],TaskTimings[Employee])</f>
        <v>360</v>
      </c>
      <c r="O31" s="66" t="str">
        <f>TEXT(TaskTimings[Day Total Minutes]/1440,"HH:mm")</f>
        <v>06:00</v>
      </c>
      <c r="P31" s="62" t="str">
        <f>TaskTimings[PRJ]</f>
        <v>TEEBPD</v>
      </c>
      <c r="Q31" s="62" t="str">
        <f>TaskTimings[TSK]</f>
        <v>Finalizing</v>
      </c>
    </row>
    <row r="32" spans="1:17" x14ac:dyDescent="0.25">
      <c r="A32" s="61">
        <f t="shared" si="1"/>
        <v>31</v>
      </c>
      <c r="B32" s="62" t="str">
        <f>VLOOKUP(TaskTimings[Task],ProjectTasks[[TaskProjectCode]:[TSK]],2,0)</f>
        <v>TEEBPD</v>
      </c>
      <c r="C32" s="62" t="str">
        <f>VLOOKUP(TaskTimings[Task],ProjectTasks[[TaskProjectCode]:[TSK]],3,0)</f>
        <v>Inhouse Testing</v>
      </c>
      <c r="D32" s="62" t="str">
        <f>TaskTimings[Employee]&amp;"/"&amp;TaskTimings[Date]</f>
        <v>Firose/43434</v>
      </c>
      <c r="E32" s="62">
        <f>COUNTIF($D$1:TaskTimings[[#This Row],[EmployeeDate]],TaskTimings[[#This Row],[EmployeeDate]])</f>
        <v>2</v>
      </c>
      <c r="F32" s="62" t="str">
        <f>TaskTimings[[#This Row],[EmployeeDate]]&amp;"/"&amp;TaskTimings[[#This Row],[EmployeeDateSeq]]</f>
        <v>Firose/43434/2</v>
      </c>
      <c r="G32" s="63" t="s">
        <v>85</v>
      </c>
      <c r="H32" s="63" t="s">
        <v>34</v>
      </c>
      <c r="I32" s="64">
        <v>43434</v>
      </c>
      <c r="J32" s="65">
        <v>0.58333333333333337</v>
      </c>
      <c r="K32" s="65">
        <v>0.70833333333333337</v>
      </c>
      <c r="L32" s="66">
        <f>(TaskTimings[End Time]-TaskTimings[Start Time])*1440</f>
        <v>180</v>
      </c>
      <c r="M32" s="66" t="str">
        <f>TEXT(TaskTimings[End Time]-TaskTimings[Start Time],"HH:mm")</f>
        <v>03:00</v>
      </c>
      <c r="N32" s="66">
        <f>SUMIFS(TaskTimings[Total Minutes],TaskTimings[Date],TaskTimings[Date],TaskTimings[Employee],TaskTimings[Employee])</f>
        <v>360</v>
      </c>
      <c r="O32" s="66" t="str">
        <f>TEXT(TaskTimings[Day Total Minutes]/1440,"HH:mm")</f>
        <v>06:00</v>
      </c>
      <c r="P32" s="62" t="str">
        <f>TaskTimings[PRJ]</f>
        <v>TEEBPD</v>
      </c>
      <c r="Q32" s="62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68">
        <v>0.45833333333333331</v>
      </c>
      <c r="K33" s="52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3">
        <f t="shared" si="1"/>
        <v>33</v>
      </c>
      <c r="B34" s="54" t="str">
        <f>VLOOKUP(TaskTimings[Task],ProjectTasks[[TaskProjectCode]:[TSK]],2,0)</f>
        <v>SDS</v>
      </c>
      <c r="C34" s="54" t="str">
        <f>VLOOKUP(TaskTimings[Task],ProjectTasks[[TaskProjectCode]:[TSK]],3,0)</f>
        <v>Request and get Response from  web</v>
      </c>
      <c r="D34" s="54" t="str">
        <f>TaskTimings[Employee]&amp;"/"&amp;TaskTimings[Date]</f>
        <v>Aswathy/43435</v>
      </c>
      <c r="E34" s="54">
        <f>COUNTIF($D$1:TaskTimings[[#This Row],[EmployeeDate]],TaskTimings[[#This Row],[EmployeeDate]])</f>
        <v>1</v>
      </c>
      <c r="F34" s="54" t="str">
        <f>TaskTimings[[#This Row],[EmployeeDate]]&amp;"/"&amp;TaskTimings[[#This Row],[EmployeeDateSeq]]</f>
        <v>Aswathy/43435/1</v>
      </c>
      <c r="G34" s="63" t="s">
        <v>83</v>
      </c>
      <c r="H34" s="55" t="s">
        <v>54</v>
      </c>
      <c r="I34" s="56">
        <v>43435</v>
      </c>
      <c r="J34" s="69">
        <v>0.40625</v>
      </c>
      <c r="K34" s="60">
        <v>0.55208333333333337</v>
      </c>
      <c r="L34" s="58">
        <f>(TaskTimings[End Time]-TaskTimings[Start Time])*1440</f>
        <v>210.00000000000006</v>
      </c>
      <c r="M34" s="58" t="str">
        <f>TEXT(TaskTimings[End Time]-TaskTimings[Start Time],"HH:mm")</f>
        <v>03:30</v>
      </c>
      <c r="N34" s="58">
        <f>SUMIFS(TaskTimings[Total Minutes],TaskTimings[Date],TaskTimings[Date],TaskTimings[Employee],TaskTimings[Employee])</f>
        <v>375.00000000000011</v>
      </c>
      <c r="O34" s="58" t="str">
        <f>TEXT(TaskTimings[Day Total Minutes]/1440,"HH:mm")</f>
        <v>06:15</v>
      </c>
      <c r="P34" s="54" t="str">
        <f>TaskTimings[PRJ]</f>
        <v>SDS</v>
      </c>
      <c r="Q34" s="54" t="str">
        <f>TaskTimings[TSK]</f>
        <v>Request and get Response from  web</v>
      </c>
    </row>
    <row r="35" spans="1:17" x14ac:dyDescent="0.25">
      <c r="A35" s="53">
        <f t="shared" si="1"/>
        <v>34</v>
      </c>
      <c r="B35" s="54" t="str">
        <f>VLOOKUP(TaskTimings[Task],ProjectTasks[[TaskProjectCode]:[TSK]],2,0)</f>
        <v>SDS</v>
      </c>
      <c r="C35" s="54" t="str">
        <f>VLOOKUP(TaskTimings[Task],ProjectTasks[[TaskProjectCode]:[TSK]],3,0)</f>
        <v>Testing</v>
      </c>
      <c r="D35" s="54" t="str">
        <f>TaskTimings[Employee]&amp;"/"&amp;TaskTimings[Date]</f>
        <v>Aswathy/43435</v>
      </c>
      <c r="E35" s="54">
        <f>COUNTIF($D$1:TaskTimings[[#This Row],[EmployeeDate]],TaskTimings[[#This Row],[EmployeeDate]])</f>
        <v>2</v>
      </c>
      <c r="F35" s="54" t="str">
        <f>TaskTimings[[#This Row],[EmployeeDate]]&amp;"/"&amp;TaskTimings[[#This Row],[EmployeeDateSeq]]</f>
        <v>Aswathy/43435/2</v>
      </c>
      <c r="G35" s="55" t="s">
        <v>89</v>
      </c>
      <c r="H35" s="55" t="s">
        <v>54</v>
      </c>
      <c r="I35" s="56">
        <v>43435</v>
      </c>
      <c r="J35" s="69">
        <v>0.56944444444444442</v>
      </c>
      <c r="K35" s="60">
        <v>0.58333333333333337</v>
      </c>
      <c r="L35" s="58">
        <f>(TaskTimings[End Time]-TaskTimings[Start Time])*1440</f>
        <v>20.000000000000089</v>
      </c>
      <c r="M35" s="58" t="str">
        <f>TEXT(TaskTimings[End Time]-TaskTimings[Start Time],"HH:mm")</f>
        <v>00:20</v>
      </c>
      <c r="N35" s="58">
        <f>SUMIFS(TaskTimings[Total Minutes],TaskTimings[Date],TaskTimings[Date],TaskTimings[Employee],TaskTimings[Employee])</f>
        <v>375.00000000000011</v>
      </c>
      <c r="O35" s="58" t="str">
        <f>TEXT(TaskTimings[Day Total Minutes]/1440,"HH:mm")</f>
        <v>06:15</v>
      </c>
      <c r="P35" s="54" t="str">
        <f>TaskTimings[PRJ]</f>
        <v>SDS</v>
      </c>
      <c r="Q35" s="54" t="str">
        <f>TaskTimings[TSK]</f>
        <v>Testing</v>
      </c>
    </row>
    <row r="36" spans="1:17" x14ac:dyDescent="0.25">
      <c r="A36" s="53">
        <f t="shared" si="1"/>
        <v>35</v>
      </c>
      <c r="B36" s="54" t="str">
        <f>VLOOKUP(TaskTimings[Task],ProjectTasks[[TaskProjectCode]:[TSK]],2,0)</f>
        <v>SDS</v>
      </c>
      <c r="C36" s="54" t="str">
        <f>VLOOKUP(TaskTimings[Task],ProjectTasks[[TaskProjectCode]:[TSK]],3,0)</f>
        <v>Testing</v>
      </c>
      <c r="D36" s="54" t="str">
        <f>TaskTimings[Employee]&amp;"/"&amp;TaskTimings[Date]</f>
        <v>Aswathy/43435</v>
      </c>
      <c r="E36" s="54">
        <f>COUNTIF($D$1:TaskTimings[[#This Row],[EmployeeDate]],TaskTimings[[#This Row],[EmployeeDate]])</f>
        <v>3</v>
      </c>
      <c r="F36" s="54" t="str">
        <f>TaskTimings[[#This Row],[EmployeeDate]]&amp;"/"&amp;TaskTimings[[#This Row],[EmployeeDateSeq]]</f>
        <v>Aswathy/43435/3</v>
      </c>
      <c r="G36" s="55" t="s">
        <v>89</v>
      </c>
      <c r="H36" s="55" t="s">
        <v>54</v>
      </c>
      <c r="I36" s="56">
        <v>43435</v>
      </c>
      <c r="J36" s="69">
        <v>0.60763888888888895</v>
      </c>
      <c r="K36" s="60">
        <v>0.65277777777777779</v>
      </c>
      <c r="L36" s="58">
        <f>(TaskTimings[End Time]-TaskTimings[Start Time])*1440</f>
        <v>64.999999999999929</v>
      </c>
      <c r="M36" s="58" t="str">
        <f>TEXT(TaskTimings[End Time]-TaskTimings[Start Time],"HH:mm")</f>
        <v>01:05</v>
      </c>
      <c r="N36" s="58">
        <f>SUMIFS(TaskTimings[Total Minutes],TaskTimings[Date],TaskTimings[Date],TaskTimings[Employee],TaskTimings[Employee])</f>
        <v>375.00000000000011</v>
      </c>
      <c r="O36" s="58" t="str">
        <f>TEXT(TaskTimings[Day Total Minutes]/1440,"HH:mm")</f>
        <v>06:15</v>
      </c>
      <c r="P36" s="54" t="str">
        <f>TaskTimings[PRJ]</f>
        <v>SDS</v>
      </c>
      <c r="Q36" s="54" t="str">
        <f>TaskTimings[TSK]</f>
        <v>Testing</v>
      </c>
    </row>
    <row r="37" spans="1:17" x14ac:dyDescent="0.25">
      <c r="A37" s="53">
        <f t="shared" si="1"/>
        <v>36</v>
      </c>
      <c r="B37" s="54" t="str">
        <f>VLOOKUP(TaskTimings[Task],ProjectTasks[[TaskProjectCode]:[TSK]],2,0)</f>
        <v>SDS</v>
      </c>
      <c r="C37" s="54" t="str">
        <f>VLOOKUP(TaskTimings[Task],ProjectTasks[[TaskProjectCode]:[TSK]],3,0)</f>
        <v>Stage 2</v>
      </c>
      <c r="D37" s="54" t="str">
        <f>TaskTimings[Employee]&amp;"/"&amp;TaskTimings[Date]</f>
        <v>Aswathy/43435</v>
      </c>
      <c r="E37" s="54">
        <f>COUNTIF($D$1:TaskTimings[[#This Row],[EmployeeDate]],TaskTimings[[#This Row],[EmployeeDate]])</f>
        <v>4</v>
      </c>
      <c r="F37" s="54" t="str">
        <f>TaskTimings[[#This Row],[EmployeeDate]]&amp;"/"&amp;TaskTimings[[#This Row],[EmployeeDateSeq]]</f>
        <v>Aswathy/43435/4</v>
      </c>
      <c r="G37" s="55" t="s">
        <v>91</v>
      </c>
      <c r="H37" s="55" t="s">
        <v>54</v>
      </c>
      <c r="I37" s="56">
        <v>43435</v>
      </c>
      <c r="J37" s="69">
        <v>0.65277777777777779</v>
      </c>
      <c r="K37" s="69">
        <v>0.70833333333333337</v>
      </c>
      <c r="L37" s="58">
        <f>(TaskTimings[End Time]-TaskTimings[Start Time])*1440</f>
        <v>80.000000000000028</v>
      </c>
      <c r="M37" s="58" t="str">
        <f>TEXT(TaskTimings[End Time]-TaskTimings[Start Time],"HH:mm")</f>
        <v>01:20</v>
      </c>
      <c r="N37" s="58">
        <f>SUMIFS(TaskTimings[Total Minutes],TaskTimings[Date],TaskTimings[Date],TaskTimings[Employee],TaskTimings[Employee])</f>
        <v>375.00000000000011</v>
      </c>
      <c r="O37" s="58" t="str">
        <f>TEXT(TaskTimings[Day Total Minutes]/1440,"HH:mm")</f>
        <v>06:15</v>
      </c>
      <c r="P37" s="54" t="str">
        <f>TaskTimings[PRJ]</f>
        <v>SDS</v>
      </c>
      <c r="Q37" s="54" t="str">
        <f>TaskTimings[TSK]</f>
        <v>Stage 2</v>
      </c>
    </row>
    <row r="38" spans="1:17" x14ac:dyDescent="0.25">
      <c r="A38" s="53">
        <f t="shared" ref="A38:A44" si="2">IFERROR($A37+1,1)</f>
        <v>37</v>
      </c>
      <c r="B38" s="54" t="str">
        <f>VLOOKUP(TaskTimings[Task],ProjectTasks[[TaskProjectCode]:[TSK]],2,0)</f>
        <v>TKT</v>
      </c>
      <c r="C38" s="54" t="str">
        <f>VLOOKUP(TaskTimings[Task],ProjectTasks[[TaskProjectCode]:[TSK]],3,0)</f>
        <v>Entering table details into excel sheet</v>
      </c>
      <c r="D38" s="54" t="str">
        <f>TaskTimings[Employee]&amp;"/"&amp;TaskTimings[Date]</f>
        <v>Shareena/43435</v>
      </c>
      <c r="E38" s="54">
        <f>COUNTIF($D$1:TaskTimings[[#This Row],[EmployeeDate]],TaskTimings[[#This Row],[EmployeeDate]])</f>
        <v>2</v>
      </c>
      <c r="F38" s="54" t="str">
        <f>TaskTimings[[#This Row],[EmployeeDate]]&amp;"/"&amp;TaskTimings[[#This Row],[EmployeeDateSeq]]</f>
        <v>Shareena/43435/2</v>
      </c>
      <c r="G38" s="55" t="s">
        <v>79</v>
      </c>
      <c r="H38" s="55" t="s">
        <v>16</v>
      </c>
      <c r="I38" s="56">
        <v>43435</v>
      </c>
      <c r="J38" s="69">
        <v>0.625</v>
      </c>
      <c r="K38" s="60">
        <v>0.70833333333333337</v>
      </c>
      <c r="L38" s="58">
        <f>(TaskTimings[End Time]-TaskTimings[Start Time])*1440</f>
        <v>120.00000000000006</v>
      </c>
      <c r="M38" s="58" t="str">
        <f>TEXT(TaskTimings[End Time]-TaskTimings[Start Time],"HH:mm")</f>
        <v>02:00</v>
      </c>
      <c r="N38" s="58">
        <f>SUMIFS(TaskTimings[Total Minutes],TaskTimings[Date],TaskTimings[Date],TaskTimings[Employee],TaskTimings[Employee])</f>
        <v>210.00000000000014</v>
      </c>
      <c r="O38" s="58" t="str">
        <f>TEXT(TaskTimings[Day Total Minutes]/1440,"HH:mm")</f>
        <v>03:30</v>
      </c>
      <c r="P38" s="54" t="str">
        <f>TaskTimings[PRJ]</f>
        <v>TKT</v>
      </c>
      <c r="Q38" s="54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3" t="s">
        <v>34</v>
      </c>
      <c r="I39" s="56">
        <v>43435</v>
      </c>
      <c r="J39" s="74">
        <v>0.45833333333333331</v>
      </c>
      <c r="K39" s="74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3" t="s">
        <v>34</v>
      </c>
      <c r="I40" s="56">
        <v>43435</v>
      </c>
      <c r="J40" s="74">
        <v>0.625</v>
      </c>
      <c r="K40" s="74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1">
        <f t="shared" si="2"/>
        <v>40</v>
      </c>
      <c r="B41" s="54" t="str">
        <f>VLOOKUP(TaskTimings[Task],ProjectTasks[[TaskProjectCode]:[TSK]],2,0)</f>
        <v>SDS</v>
      </c>
      <c r="C41" s="54" t="str">
        <f>VLOOKUP(TaskTimings[Task],ProjectTasks[[TaskProjectCode]:[TSK]],3,0)</f>
        <v>Stage 2</v>
      </c>
      <c r="D41" s="54" t="str">
        <f>TaskTimings[Employee]&amp;"/"&amp;TaskTimings[Date]</f>
        <v>Aswathy/43437</v>
      </c>
      <c r="E41" s="54">
        <f>COUNTIF($D$1:TaskTimings[[#This Row],[EmployeeDate]],TaskTimings[[#This Row],[EmployeeDate]])</f>
        <v>1</v>
      </c>
      <c r="F41" s="54" t="str">
        <f>TaskTimings[[#This Row],[EmployeeDate]]&amp;"/"&amp;TaskTimings[[#This Row],[EmployeeDateSeq]]</f>
        <v>Aswathy/43437/1</v>
      </c>
      <c r="G41" s="55" t="s">
        <v>91</v>
      </c>
      <c r="H41" s="55" t="s">
        <v>54</v>
      </c>
      <c r="I41" s="56">
        <v>43437</v>
      </c>
      <c r="J41" s="75">
        <v>0.40625</v>
      </c>
      <c r="K41" s="69">
        <v>0.48958333333333331</v>
      </c>
      <c r="L41" s="58">
        <f>(TaskTimings[End Time]-TaskTimings[Start Time])*1440</f>
        <v>119.99999999999997</v>
      </c>
      <c r="M41" s="58" t="str">
        <f>TEXT(TaskTimings[End Time]-TaskTimings[Start Time],"HH:mm")</f>
        <v>02:00</v>
      </c>
      <c r="N41" s="58">
        <f>SUMIFS(TaskTimings[Total Minutes],TaskTimings[Date],TaskTimings[Date],TaskTimings[Employee],TaskTimings[Employee])</f>
        <v>352.99999999999994</v>
      </c>
      <c r="O41" s="58" t="str">
        <f>TEXT(TaskTimings[Day Total Minutes]/1440,"HH:mm")</f>
        <v>05:53</v>
      </c>
      <c r="P41" s="54" t="str">
        <f>TaskTimings[PRJ]</f>
        <v>SDS</v>
      </c>
      <c r="Q41" s="54" t="str">
        <f>TaskTimings[TSK]</f>
        <v>Stage 2</v>
      </c>
    </row>
    <row r="42" spans="1:17" x14ac:dyDescent="0.25">
      <c r="A42" s="61">
        <f t="shared" si="2"/>
        <v>41</v>
      </c>
      <c r="B42" s="54" t="str">
        <f>VLOOKUP(TaskTimings[Task],ProjectTasks[[TaskProjectCode]:[TSK]],2,0)</f>
        <v>SDS</v>
      </c>
      <c r="C42" s="54" t="str">
        <f>VLOOKUP(TaskTimings[Task],ProjectTasks[[TaskProjectCode]:[TSK]],3,0)</f>
        <v>Stage 2</v>
      </c>
      <c r="D42" s="54" t="str">
        <f>TaskTimings[Employee]&amp;"/"&amp;TaskTimings[Date]</f>
        <v>Aswathy/43437</v>
      </c>
      <c r="E42" s="54">
        <f>COUNTIF($D$1:TaskTimings[[#This Row],[EmployeeDate]],TaskTimings[[#This Row],[EmployeeDate]])</f>
        <v>2</v>
      </c>
      <c r="F42" s="54" t="str">
        <f>TaskTimings[[#This Row],[EmployeeDate]]&amp;"/"&amp;TaskTimings[[#This Row],[EmployeeDateSeq]]</f>
        <v>Aswathy/43437/2</v>
      </c>
      <c r="G42" s="55" t="s">
        <v>91</v>
      </c>
      <c r="H42" s="55" t="s">
        <v>54</v>
      </c>
      <c r="I42" s="56">
        <v>43437</v>
      </c>
      <c r="J42" s="75">
        <v>0.50694444444444442</v>
      </c>
      <c r="K42" s="69">
        <v>0.54861111111111105</v>
      </c>
      <c r="L42" s="58">
        <f>(TaskTimings[End Time]-TaskTimings[Start Time])*1440</f>
        <v>59.999999999999943</v>
      </c>
      <c r="M42" s="58" t="str">
        <f>TEXT(TaskTimings[End Time]-TaskTimings[Start Time],"HH:mm")</f>
        <v>01:00</v>
      </c>
      <c r="N42" s="58">
        <f>SUMIFS(TaskTimings[Total Minutes],TaskTimings[Date],TaskTimings[Date],TaskTimings[Employee],TaskTimings[Employee])</f>
        <v>352.99999999999994</v>
      </c>
      <c r="O42" s="58" t="str">
        <f>TEXT(TaskTimings[Day Total Minutes]/1440,"HH:mm")</f>
        <v>05:53</v>
      </c>
      <c r="P42" s="54" t="str">
        <f>TaskTimings[PRJ]</f>
        <v>SDS</v>
      </c>
      <c r="Q42" s="54" t="str">
        <f>TaskTimings[TSK]</f>
        <v>Stage 2</v>
      </c>
    </row>
    <row r="43" spans="1:17" x14ac:dyDescent="0.25">
      <c r="A43" s="53">
        <f t="shared" si="2"/>
        <v>42</v>
      </c>
      <c r="B43" s="54" t="str">
        <f>VLOOKUP(TaskTimings[Task],ProjectTasks[[TaskProjectCode]:[TSK]],2,0)</f>
        <v>SDS</v>
      </c>
      <c r="C43" s="54" t="str">
        <f>VLOOKUP(TaskTimings[Task],ProjectTasks[[TaskProjectCode]:[TSK]],3,0)</f>
        <v>Stage 2</v>
      </c>
      <c r="D43" s="54" t="str">
        <f>TaskTimings[Employee]&amp;"/"&amp;TaskTimings[Date]</f>
        <v>Aswathy/43437</v>
      </c>
      <c r="E43" s="54">
        <f>COUNTIF($D$1:TaskTimings[[#This Row],[EmployeeDate]],TaskTimings[[#This Row],[EmployeeDate]])</f>
        <v>3</v>
      </c>
      <c r="F43" s="54" t="str">
        <f>TaskTimings[[#This Row],[EmployeeDate]]&amp;"/"&amp;TaskTimings[[#This Row],[EmployeeDateSeq]]</f>
        <v>Aswathy/43437/3</v>
      </c>
      <c r="G43" s="55" t="s">
        <v>91</v>
      </c>
      <c r="H43" s="55" t="s">
        <v>54</v>
      </c>
      <c r="I43" s="56">
        <v>43437</v>
      </c>
      <c r="J43" s="75">
        <v>0.56597222222222221</v>
      </c>
      <c r="K43" s="69">
        <v>0.62361111111111112</v>
      </c>
      <c r="L43" s="58">
        <f>(TaskTimings[End Time]-TaskTimings[Start Time])*1440</f>
        <v>83.000000000000028</v>
      </c>
      <c r="M43" s="58" t="str">
        <f>TEXT(TaskTimings[End Time]-TaskTimings[Start Time],"HH:mm")</f>
        <v>01:23</v>
      </c>
      <c r="N43" s="58">
        <f>SUMIFS(TaskTimings[Total Minutes],TaskTimings[Date],TaskTimings[Date],TaskTimings[Employee],TaskTimings[Employee])</f>
        <v>352.99999999999994</v>
      </c>
      <c r="O43" s="58" t="str">
        <f>TEXT(TaskTimings[Day Total Minutes]/1440,"HH:mm")</f>
        <v>05:53</v>
      </c>
      <c r="P43" s="54" t="str">
        <f>TaskTimings[PRJ]</f>
        <v>SDS</v>
      </c>
      <c r="Q43" s="54" t="str">
        <f>TaskTimings[TSK]</f>
        <v>Stage 2</v>
      </c>
    </row>
    <row r="44" spans="1:17" x14ac:dyDescent="0.25">
      <c r="A44" s="53">
        <f t="shared" si="2"/>
        <v>43</v>
      </c>
      <c r="B44" s="54" t="str">
        <f>VLOOKUP(TaskTimings[Task],ProjectTasks[[TaskProjectCode]:[TSK]],2,0)</f>
        <v>SDS</v>
      </c>
      <c r="C44" s="54" t="str">
        <f>VLOOKUP(TaskTimings[Task],ProjectTasks[[TaskProjectCode]:[TSK]],3,0)</f>
        <v>Stage 2</v>
      </c>
      <c r="D44" s="54" t="str">
        <f>TaskTimings[Employee]&amp;"/"&amp;TaskTimings[Date]</f>
        <v>Aswathy/43437</v>
      </c>
      <c r="E44" s="54">
        <f>COUNTIF($D$1:TaskTimings[[#This Row],[EmployeeDate]],TaskTimings[[#This Row],[EmployeeDate]])</f>
        <v>4</v>
      </c>
      <c r="F44" s="54" t="str">
        <f>TaskTimings[[#This Row],[EmployeeDate]]&amp;"/"&amp;TaskTimings[[#This Row],[EmployeeDateSeq]]</f>
        <v>Aswathy/43437/4</v>
      </c>
      <c r="G44" s="55" t="s">
        <v>91</v>
      </c>
      <c r="H44" s="55" t="s">
        <v>54</v>
      </c>
      <c r="I44" s="56">
        <v>43437</v>
      </c>
      <c r="J44" s="75">
        <v>0.64583333333333337</v>
      </c>
      <c r="K44" s="75">
        <v>0.70833333333333337</v>
      </c>
      <c r="L44" s="58">
        <f>(TaskTimings[End Time]-TaskTimings[Start Time])*1440</f>
        <v>90</v>
      </c>
      <c r="M44" s="58" t="str">
        <f>TEXT(TaskTimings[End Time]-TaskTimings[Start Time],"HH:mm")</f>
        <v>01:30</v>
      </c>
      <c r="N44" s="58">
        <f>SUMIFS(TaskTimings[Total Minutes],TaskTimings[Date],TaskTimings[Date],TaskTimings[Employee],TaskTimings[Employee])</f>
        <v>352.99999999999994</v>
      </c>
      <c r="O44" s="58" t="str">
        <f>TEXT(TaskTimings[Day Total Minutes]/1440,"HH:mm")</f>
        <v>05:53</v>
      </c>
      <c r="P44" s="54" t="str">
        <f>TaskTimings[PRJ]</f>
        <v>SDS</v>
      </c>
      <c r="Q44" s="54" t="str">
        <f>TaskTimings[TSK]</f>
        <v>Stage 2</v>
      </c>
    </row>
    <row r="45" spans="1:17" x14ac:dyDescent="0.25">
      <c r="A45" s="61">
        <f t="shared" ref="A45:A50" si="3">IFERROR($A44+1,1)</f>
        <v>44</v>
      </c>
      <c r="B45" s="62" t="str">
        <f>VLOOKUP(TaskTimings[Task],ProjectTasks[[TaskProjectCode]:[TSK]],2,0)</f>
        <v>TEEBPD</v>
      </c>
      <c r="C45" s="62" t="str">
        <f>VLOOKUP(TaskTimings[Task],ProjectTasks[[TaskProjectCode]:[TSK]],3,0)</f>
        <v>Synchronization Implementing</v>
      </c>
      <c r="D45" s="62" t="str">
        <f>TaskTimings[Employee]&amp;"/"&amp;TaskTimings[Date]</f>
        <v>Firose/43437</v>
      </c>
      <c r="E45" s="62">
        <f>COUNTIF($D$1:TaskTimings[[#This Row],[EmployeeDate]],TaskTimings[[#This Row],[EmployeeDate]])</f>
        <v>1</v>
      </c>
      <c r="F45" s="62" t="str">
        <f>TaskTimings[[#This Row],[EmployeeDate]]&amp;"/"&amp;TaskTimings[[#This Row],[EmployeeDateSeq]]</f>
        <v>Firose/43437/1</v>
      </c>
      <c r="G45" s="63" t="s">
        <v>93</v>
      </c>
      <c r="H45" s="63" t="s">
        <v>34</v>
      </c>
      <c r="I45" s="64">
        <v>43437</v>
      </c>
      <c r="J45" s="65">
        <v>0.375</v>
      </c>
      <c r="K45" s="65">
        <v>0.70833333333333337</v>
      </c>
      <c r="L45" s="66">
        <f>(TaskTimings[End Time]-TaskTimings[Start Time])*1440</f>
        <v>480.00000000000006</v>
      </c>
      <c r="M45" s="66" t="str">
        <f>TEXT(TaskTimings[End Time]-TaskTimings[Start Time],"HH:mm")</f>
        <v>08:00</v>
      </c>
      <c r="N45" s="66">
        <f>SUMIFS(TaskTimings[Total Minutes],TaskTimings[Date],TaskTimings[Date],TaskTimings[Employee],TaskTimings[Employee])</f>
        <v>480.00000000000006</v>
      </c>
      <c r="O45" s="66" t="str">
        <f>TEXT(TaskTimings[Day Total Minutes]/1440,"HH:mm")</f>
        <v>08:00</v>
      </c>
      <c r="P45" s="62" t="str">
        <f>TaskTimings[PRJ]</f>
        <v>TEEBPD</v>
      </c>
      <c r="Q45" s="62" t="str">
        <f>TaskTimings[TSK]</f>
        <v>Synchronization Implementing</v>
      </c>
    </row>
    <row r="46" spans="1:17" x14ac:dyDescent="0.25">
      <c r="A46" s="53">
        <f t="shared" si="3"/>
        <v>45</v>
      </c>
      <c r="B46" s="54" t="str">
        <f>VLOOKUP(TaskTimings[Task],ProjectTasks[[TaskProjectCode]:[TSK]],2,0)</f>
        <v>TKT</v>
      </c>
      <c r="C46" s="54" t="str">
        <f>VLOOKUP(TaskTimings[Task],ProjectTasks[[TaskProjectCode]:[TSK]],3,0)</f>
        <v>Entering table details into excel sheet</v>
      </c>
      <c r="D46" s="54" t="str">
        <f>TaskTimings[Employee]&amp;"/"&amp;TaskTimings[Date]</f>
        <v>Shareena/43438</v>
      </c>
      <c r="E46" s="54">
        <f>COUNTIF($D$1:TaskTimings[[#This Row],[EmployeeDate]],TaskTimings[[#This Row],[EmployeeDate]])</f>
        <v>1</v>
      </c>
      <c r="F46" s="54" t="str">
        <f>TaskTimings[[#This Row],[EmployeeDate]]&amp;"/"&amp;TaskTimings[[#This Row],[EmployeeDateSeq]]</f>
        <v>Shareena/43438/1</v>
      </c>
      <c r="G46" s="63" t="s">
        <v>79</v>
      </c>
      <c r="H46" s="55" t="s">
        <v>16</v>
      </c>
      <c r="I46" s="56">
        <v>43438</v>
      </c>
      <c r="J46" s="76">
        <v>0.39583333333333331</v>
      </c>
      <c r="K46" s="75">
        <v>0.5</v>
      </c>
      <c r="L46" s="58">
        <f>(TaskTimings[End Time]-TaskTimings[Start Time])*1440</f>
        <v>150.00000000000003</v>
      </c>
      <c r="M46" s="58" t="str">
        <f>TEXT(TaskTimings[End Time]-TaskTimings[Start Time],"HH:mm")</f>
        <v>02:30</v>
      </c>
      <c r="N46" s="58">
        <f>SUMIFS(TaskTimings[Total Minutes],TaskTimings[Date],TaskTimings[Date],TaskTimings[Employee],TaskTimings[Employee])</f>
        <v>150.00000000000003</v>
      </c>
      <c r="O46" s="58" t="str">
        <f>TEXT(TaskTimings[Day Total Minutes]/1440,"HH:mm")</f>
        <v>02:30</v>
      </c>
      <c r="P46" s="54" t="str">
        <f>TaskTimings[PRJ]</f>
        <v>TKT</v>
      </c>
      <c r="Q46" s="54" t="str">
        <f>TaskTimings[TSK]</f>
        <v>Entering table details into excel sheet</v>
      </c>
    </row>
    <row r="47" spans="1:17" x14ac:dyDescent="0.25">
      <c r="A47" s="53">
        <f t="shared" si="3"/>
        <v>46</v>
      </c>
      <c r="B47" s="54" t="str">
        <f>VLOOKUP(TaskTimings[Task],ProjectTasks[[TaskProjectCode]:[TSK]],2,0)</f>
        <v>SDS</v>
      </c>
      <c r="C47" s="54" t="str">
        <f>VLOOKUP(TaskTimings[Task],ProjectTasks[[TaskProjectCode]:[TSK]],3,0)</f>
        <v>Request and get Response from  web</v>
      </c>
      <c r="D47" s="54" t="str">
        <f>TaskTimings[Employee]&amp;"/"&amp;TaskTimings[Date]</f>
        <v>Aswathy/43438</v>
      </c>
      <c r="E47" s="54">
        <f>COUNTIF($D$1:TaskTimings[[#This Row],[EmployeeDate]],TaskTimings[[#This Row],[EmployeeDate]])</f>
        <v>1</v>
      </c>
      <c r="F47" s="54" t="str">
        <f>TaskTimings[[#This Row],[EmployeeDate]]&amp;"/"&amp;TaskTimings[[#This Row],[EmployeeDateSeq]]</f>
        <v>Aswathy/43438/1</v>
      </c>
      <c r="G47" s="55" t="s">
        <v>83</v>
      </c>
      <c r="H47" s="55" t="s">
        <v>54</v>
      </c>
      <c r="I47" s="56">
        <v>43438</v>
      </c>
      <c r="J47" s="76">
        <v>0.39583333333333331</v>
      </c>
      <c r="K47" s="75">
        <v>0.5</v>
      </c>
      <c r="L47" s="58">
        <f>(TaskTimings[End Time]-TaskTimings[Start Time])*1440</f>
        <v>150.00000000000003</v>
      </c>
      <c r="M47" s="58" t="str">
        <f>TEXT(TaskTimings[End Time]-TaskTimings[Start Time],"HH:mm")</f>
        <v>02:30</v>
      </c>
      <c r="N47" s="58">
        <f>SUMIFS(TaskTimings[Total Minutes],TaskTimings[Date],TaskTimings[Date],TaskTimings[Employee],TaskTimings[Employee])</f>
        <v>150.00000000000003</v>
      </c>
      <c r="O47" s="58" t="str">
        <f>TEXT(TaskTimings[Day Total Minutes]/1440,"HH:mm")</f>
        <v>02:30</v>
      </c>
      <c r="P47" s="54" t="str">
        <f>TaskTimings[PRJ]</f>
        <v>SDS</v>
      </c>
      <c r="Q47" s="54" t="str">
        <f>TaskTimings[TSK]</f>
        <v>Request and get Response from  web</v>
      </c>
    </row>
    <row r="48" spans="1:17" x14ac:dyDescent="0.25">
      <c r="A48" s="53">
        <f t="shared" si="3"/>
        <v>47</v>
      </c>
      <c r="B48" s="54" t="str">
        <f>VLOOKUP(TaskTimings[Task],ProjectTasks[[TaskProjectCode]:[TSK]],2,0)</f>
        <v>TKT</v>
      </c>
      <c r="C48" s="54" t="str">
        <f>VLOOKUP(TaskTimings[Task],ProjectTasks[[TaskProjectCode]:[TSK]],3,0)</f>
        <v>Package Creation-Stage1</v>
      </c>
      <c r="D48" s="54" t="str">
        <f>TaskTimings[Employee]&amp;"/"&amp;TaskTimings[Date]</f>
        <v>Shareena/43439</v>
      </c>
      <c r="E48" s="54">
        <f>COUNTIF($D$1:TaskTimings[[#This Row],[EmployeeDate]],TaskTimings[[#This Row],[EmployeeDate]])</f>
        <v>1</v>
      </c>
      <c r="F48" s="54" t="str">
        <f>TaskTimings[[#This Row],[EmployeeDate]]&amp;"/"&amp;TaskTimings[[#This Row],[EmployeeDateSeq]]</f>
        <v>Shareena/43439/1</v>
      </c>
      <c r="G48" s="55" t="s">
        <v>97</v>
      </c>
      <c r="H48" s="55" t="s">
        <v>16</v>
      </c>
      <c r="I48" s="56">
        <v>43439</v>
      </c>
      <c r="J48" s="76">
        <v>0.5625</v>
      </c>
      <c r="K48" s="75">
        <v>0.6875</v>
      </c>
      <c r="L48" s="58">
        <f>(TaskTimings[End Time]-TaskTimings[Start Time])*1440</f>
        <v>180</v>
      </c>
      <c r="M48" s="58" t="str">
        <f>TEXT(TaskTimings[End Time]-TaskTimings[Start Time],"HH:mm")</f>
        <v>03:00</v>
      </c>
      <c r="N48" s="58">
        <f>SUMIFS(TaskTimings[Total Minutes],TaskTimings[Date],TaskTimings[Date],TaskTimings[Employee],TaskTimings[Employee])</f>
        <v>180</v>
      </c>
      <c r="O48" s="58" t="str">
        <f>TEXT(TaskTimings[Day Total Minutes]/1440,"HH:mm")</f>
        <v>03:00</v>
      </c>
      <c r="P48" s="54" t="str">
        <f>TaskTimings[PRJ]</f>
        <v>TKT</v>
      </c>
      <c r="Q48" s="54" t="str">
        <f>TaskTimings[TSK]</f>
        <v>Package Creation-Stage1</v>
      </c>
    </row>
    <row r="49" spans="1:17" x14ac:dyDescent="0.25">
      <c r="A49" s="53">
        <f t="shared" si="3"/>
        <v>48</v>
      </c>
      <c r="B49" s="54" t="str">
        <f>VLOOKUP(TaskTimings[Task],ProjectTasks[[TaskProjectCode]:[TSK]],2,0)</f>
        <v>SDS</v>
      </c>
      <c r="C49" s="54" t="str">
        <f>VLOOKUP(TaskTimings[Task],ProjectTasks[[TaskProjectCode]:[TSK]],3,0)</f>
        <v>Request and get Response from  web</v>
      </c>
      <c r="D49" s="54" t="str">
        <f>TaskTimings[Employee]&amp;"/"&amp;TaskTimings[Date]</f>
        <v>Aswathy/43439</v>
      </c>
      <c r="E49" s="54">
        <f>COUNTIF($D$1:TaskTimings[[#This Row],[EmployeeDate]],TaskTimings[[#This Row],[EmployeeDate]])</f>
        <v>1</v>
      </c>
      <c r="F49" s="54" t="str">
        <f>TaskTimings[[#This Row],[EmployeeDate]]&amp;"/"&amp;TaskTimings[[#This Row],[EmployeeDateSeq]]</f>
        <v>Aswathy/43439/1</v>
      </c>
      <c r="G49" s="55" t="s">
        <v>83</v>
      </c>
      <c r="H49" s="55" t="s">
        <v>54</v>
      </c>
      <c r="I49" s="56">
        <v>43439</v>
      </c>
      <c r="J49" s="76">
        <v>0.45833333333333331</v>
      </c>
      <c r="K49" s="75">
        <v>0.54861111111111105</v>
      </c>
      <c r="L49" s="58">
        <f>(TaskTimings[End Time]-TaskTimings[Start Time])*1440</f>
        <v>129.99999999999994</v>
      </c>
      <c r="M49" s="58" t="str">
        <f>TEXT(TaskTimings[End Time]-TaskTimings[Start Time],"HH:mm")</f>
        <v>02:10</v>
      </c>
      <c r="N49" s="58">
        <f>SUMIFS(TaskTimings[Total Minutes],TaskTimings[Date],TaskTimings[Date],TaskTimings[Employee],TaskTimings[Employee])</f>
        <v>254</v>
      </c>
      <c r="O49" s="58" t="str">
        <f>TEXT(TaskTimings[Day Total Minutes]/1440,"HH:mm")</f>
        <v>04:14</v>
      </c>
      <c r="P49" s="54" t="str">
        <f>TaskTimings[PRJ]</f>
        <v>SDS</v>
      </c>
      <c r="Q49" s="54" t="str">
        <f>TaskTimings[TSK]</f>
        <v>Request and get Response from  web</v>
      </c>
    </row>
    <row r="50" spans="1:17" x14ac:dyDescent="0.25">
      <c r="A50" s="53">
        <f t="shared" si="3"/>
        <v>49</v>
      </c>
      <c r="B50" s="54" t="str">
        <f>VLOOKUP(TaskTimings[Task],ProjectTasks[[TaskProjectCode]:[TSK]],2,0)</f>
        <v>SDS</v>
      </c>
      <c r="C50" s="54" t="str">
        <f>VLOOKUP(TaskTimings[Task],ProjectTasks[[TaskProjectCode]:[TSK]],3,0)</f>
        <v>Request and get Response from  web</v>
      </c>
      <c r="D50" s="54" t="str">
        <f>TaskTimings[Employee]&amp;"/"&amp;TaskTimings[Date]</f>
        <v>Aswathy/43439</v>
      </c>
      <c r="E50" s="54">
        <f>COUNTIF($D$1:TaskTimings[[#This Row],[EmployeeDate]],TaskTimings[[#This Row],[EmployeeDate]])</f>
        <v>2</v>
      </c>
      <c r="F50" s="54" t="str">
        <f>TaskTimings[[#This Row],[EmployeeDate]]&amp;"/"&amp;TaskTimings[[#This Row],[EmployeeDateSeq]]</f>
        <v>Aswathy/43439/2</v>
      </c>
      <c r="G50" s="55" t="s">
        <v>83</v>
      </c>
      <c r="H50" s="55" t="s">
        <v>54</v>
      </c>
      <c r="I50" s="56">
        <v>43439</v>
      </c>
      <c r="J50" s="76">
        <v>0.625</v>
      </c>
      <c r="K50" s="75">
        <v>0.71111111111111114</v>
      </c>
      <c r="L50" s="58">
        <f>(TaskTimings[End Time]-TaskTimings[Start Time])*1440</f>
        <v>124.00000000000004</v>
      </c>
      <c r="M50" s="58" t="str">
        <f>TEXT(TaskTimings[End Time]-TaskTimings[Start Time],"HH:mm")</f>
        <v>02:04</v>
      </c>
      <c r="N50" s="58">
        <f>SUMIFS(TaskTimings[Total Minutes],TaskTimings[Date],TaskTimings[Date],TaskTimings[Employee],TaskTimings[Employee])</f>
        <v>254</v>
      </c>
      <c r="O50" s="58" t="str">
        <f>TEXT(TaskTimings[Day Total Minutes]/1440,"HH:mm")</f>
        <v>04:14</v>
      </c>
      <c r="P50" s="54" t="str">
        <f>TaskTimings[PRJ]</f>
        <v>SDS</v>
      </c>
      <c r="Q50" s="54" t="str">
        <f>TaskTimings[TSK]</f>
        <v>Request and get Response from  web</v>
      </c>
    </row>
    <row r="51" spans="1:17" x14ac:dyDescent="0.25">
      <c r="A51" s="53">
        <f t="shared" ref="A51:A58" si="4">IFERROR($A50+1,1)</f>
        <v>50</v>
      </c>
      <c r="B51" s="54" t="str">
        <f>VLOOKUP(TaskTimings[Task],ProjectTasks[[TaskProjectCode]:[TSK]],2,0)</f>
        <v>TKT</v>
      </c>
      <c r="C51" s="54" t="str">
        <f>VLOOKUP(TaskTimings[Task],ProjectTasks[[TaskProjectCode]:[TSK]],3,0)</f>
        <v>Package Creation-Stage1</v>
      </c>
      <c r="D51" s="54" t="str">
        <f>TaskTimings[Employee]&amp;"/"&amp;TaskTimings[Date]</f>
        <v>Shareena/43440</v>
      </c>
      <c r="E51" s="54">
        <f>COUNTIF($D$1:TaskTimings[[#This Row],[EmployeeDate]],TaskTimings[[#This Row],[EmployeeDate]])</f>
        <v>1</v>
      </c>
      <c r="F51" s="54" t="str">
        <f>TaskTimings[[#This Row],[EmployeeDate]]&amp;"/"&amp;TaskTimings[[#This Row],[EmployeeDateSeq]]</f>
        <v>Shareena/43440/1</v>
      </c>
      <c r="G51" s="55" t="s">
        <v>97</v>
      </c>
      <c r="H51" s="55" t="s">
        <v>16</v>
      </c>
      <c r="I51" s="56">
        <v>43440</v>
      </c>
      <c r="J51" s="76">
        <v>0.45833333333333331</v>
      </c>
      <c r="K51" s="75">
        <v>0.54166666666666663</v>
      </c>
      <c r="L51" s="58">
        <f>(TaskTimings[End Time]-TaskTimings[Start Time])*1440</f>
        <v>119.99999999999997</v>
      </c>
      <c r="M51" s="58" t="str">
        <f>TEXT(TaskTimings[End Time]-TaskTimings[Start Time],"HH:mm")</f>
        <v>02:00</v>
      </c>
      <c r="N51" s="58">
        <f>SUMIFS(TaskTimings[Total Minutes],TaskTimings[Date],TaskTimings[Date],TaskTimings[Employee],TaskTimings[Employee])</f>
        <v>119.99999999999997</v>
      </c>
      <c r="O51" s="58" t="str">
        <f>TEXT(TaskTimings[Day Total Minutes]/1440,"HH:mm")</f>
        <v>02:00</v>
      </c>
      <c r="P51" s="54" t="str">
        <f>TaskTimings[PRJ]</f>
        <v>TKT</v>
      </c>
      <c r="Q51" s="54" t="str">
        <f>TaskTimings[TSK]</f>
        <v>Package Creation-Stage1</v>
      </c>
    </row>
    <row r="52" spans="1:17" x14ac:dyDescent="0.25">
      <c r="A52" s="53">
        <f t="shared" si="4"/>
        <v>51</v>
      </c>
      <c r="B52" s="54" t="str">
        <f>VLOOKUP(TaskTimings[Task],ProjectTasks[[TaskProjectCode]:[TSK]],2,0)</f>
        <v>SDS</v>
      </c>
      <c r="C52" s="54" t="str">
        <f>VLOOKUP(TaskTimings[Task],ProjectTasks[[TaskProjectCode]:[TSK]],3,0)</f>
        <v>Request and get Response from  web</v>
      </c>
      <c r="D52" s="54" t="str">
        <f>TaskTimings[Employee]&amp;"/"&amp;TaskTimings[Date]</f>
        <v>Aswathy/43441</v>
      </c>
      <c r="E52" s="54">
        <f>COUNTIF($D$1:TaskTimings[[#This Row],[EmployeeDate]],TaskTimings[[#This Row],[EmployeeDate]])</f>
        <v>1</v>
      </c>
      <c r="F52" s="54" t="str">
        <f>TaskTimings[[#This Row],[EmployeeDate]]&amp;"/"&amp;TaskTimings[[#This Row],[EmployeeDateSeq]]</f>
        <v>Aswathy/43441/1</v>
      </c>
      <c r="G52" s="55" t="s">
        <v>83</v>
      </c>
      <c r="H52" s="55" t="s">
        <v>54</v>
      </c>
      <c r="I52" s="56">
        <v>43441</v>
      </c>
      <c r="J52" s="76">
        <v>0.39583333333333331</v>
      </c>
      <c r="K52" s="75">
        <v>0.42708333333333331</v>
      </c>
      <c r="L52" s="58">
        <f>(TaskTimings[End Time]-TaskTimings[Start Time])*1440</f>
        <v>45</v>
      </c>
      <c r="M52" s="58" t="str">
        <f>TEXT(TaskTimings[End Time]-TaskTimings[Start Time],"HH:mm")</f>
        <v>00:45</v>
      </c>
      <c r="N52" s="58">
        <f>SUMIFS(TaskTimings[Total Minutes],TaskTimings[Date],TaskTimings[Date],TaskTimings[Employee],TaskTimings[Employee])</f>
        <v>104.99999999999994</v>
      </c>
      <c r="O52" s="58" t="str">
        <f>TEXT(TaskTimings[Day Total Minutes]/1440,"HH:mm")</f>
        <v>01:45</v>
      </c>
      <c r="P52" s="54" t="str">
        <f>TaskTimings[PRJ]</f>
        <v>SDS</v>
      </c>
      <c r="Q52" s="54" t="str">
        <f>TaskTimings[TSK]</f>
        <v>Request and get Response from  web</v>
      </c>
    </row>
    <row r="53" spans="1:17" x14ac:dyDescent="0.25">
      <c r="A53" s="53">
        <f t="shared" si="4"/>
        <v>52</v>
      </c>
      <c r="B53" s="54" t="str">
        <f>VLOOKUP(TaskTimings[Task],ProjectTasks[[TaskProjectCode]:[TSK]],2,0)</f>
        <v>TKT</v>
      </c>
      <c r="C53" s="54" t="str">
        <f>VLOOKUP(TaskTimings[Task],ProjectTasks[[TaskProjectCode]:[TSK]],3,0)</f>
        <v>Package Creation-Stage1</v>
      </c>
      <c r="D53" s="54" t="str">
        <f>TaskTimings[Employee]&amp;"/"&amp;TaskTimings[Date]</f>
        <v>Shareena/43441</v>
      </c>
      <c r="E53" s="54">
        <f>COUNTIF($D$1:TaskTimings[[#This Row],[EmployeeDate]],TaskTimings[[#This Row],[EmployeeDate]])</f>
        <v>1</v>
      </c>
      <c r="F53" s="54" t="str">
        <f>TaskTimings[[#This Row],[EmployeeDate]]&amp;"/"&amp;TaskTimings[[#This Row],[EmployeeDateSeq]]</f>
        <v>Shareena/43441/1</v>
      </c>
      <c r="G53" s="55" t="s">
        <v>97</v>
      </c>
      <c r="H53" s="55" t="s">
        <v>16</v>
      </c>
      <c r="I53" s="56">
        <v>43441</v>
      </c>
      <c r="J53" s="76">
        <v>0.41666666666666669</v>
      </c>
      <c r="K53" s="75">
        <v>0.6875</v>
      </c>
      <c r="L53" s="58">
        <f>(TaskTimings[End Time]-TaskTimings[Start Time])*1440</f>
        <v>390</v>
      </c>
      <c r="M53" s="58" t="str">
        <f>TEXT(TaskTimings[End Time]-TaskTimings[Start Time],"HH:mm")</f>
        <v>06:30</v>
      </c>
      <c r="N53" s="58">
        <f>SUMIFS(TaskTimings[Total Minutes],TaskTimings[Date],TaskTimings[Date],TaskTimings[Employee],TaskTimings[Employee])</f>
        <v>390</v>
      </c>
      <c r="O53" s="58" t="str">
        <f>TEXT(TaskTimings[Day Total Minutes]/1440,"HH:mm")</f>
        <v>06:30</v>
      </c>
      <c r="P53" s="54" t="str">
        <f>TaskTimings[PRJ]</f>
        <v>TKT</v>
      </c>
      <c r="Q53" s="54" t="str">
        <f>TaskTimings[TSK]</f>
        <v>Package Creation-Stage1</v>
      </c>
    </row>
    <row r="54" spans="1:17" x14ac:dyDescent="0.25">
      <c r="A54" s="61">
        <f t="shared" si="4"/>
        <v>53</v>
      </c>
      <c r="B54" s="62" t="str">
        <f>VLOOKUP(TaskTimings[Task],ProjectTasks[[TaskProjectCode]:[TSK]],2,0)</f>
        <v>TEEBPD</v>
      </c>
      <c r="C54" s="62" t="str">
        <f>VLOOKUP(TaskTimings[Task],ProjectTasks[[TaskProjectCode]:[TSK]],3,0)</f>
        <v>Client Suggestion Implementation</v>
      </c>
      <c r="D54" s="62" t="str">
        <f>TaskTimings[Employee]&amp;"/"&amp;TaskTimings[Date]</f>
        <v>Firose/43438</v>
      </c>
      <c r="E54" s="62">
        <f>COUNTIF($D$1:TaskTimings[[#This Row],[EmployeeDate]],TaskTimings[[#This Row],[EmployeeDate]])</f>
        <v>1</v>
      </c>
      <c r="F54" s="62" t="str">
        <f>TaskTimings[[#This Row],[EmployeeDate]]&amp;"/"&amp;TaskTimings[[#This Row],[EmployeeDateSeq]]</f>
        <v>Firose/43438/1</v>
      </c>
      <c r="G54" s="63" t="s">
        <v>71</v>
      </c>
      <c r="H54" s="63" t="s">
        <v>34</v>
      </c>
      <c r="I54" s="64">
        <v>43438</v>
      </c>
      <c r="J54" s="65">
        <v>0.41666666666666669</v>
      </c>
      <c r="K54" s="65">
        <v>0.75</v>
      </c>
      <c r="L54" s="66">
        <f>(TaskTimings[End Time]-TaskTimings[Start Time])*1440</f>
        <v>480</v>
      </c>
      <c r="M54" s="66" t="str">
        <f>TEXT(TaskTimings[End Time]-TaskTimings[Start Time],"HH:mm")</f>
        <v>08:00</v>
      </c>
      <c r="N54" s="66">
        <f>SUMIFS(TaskTimings[Total Minutes],TaskTimings[Date],TaskTimings[Date],TaskTimings[Employee],TaskTimings[Employee])</f>
        <v>480</v>
      </c>
      <c r="O54" s="66" t="str">
        <f>TEXT(TaskTimings[Day Total Minutes]/1440,"HH:mm")</f>
        <v>08:00</v>
      </c>
      <c r="P54" s="62" t="str">
        <f>TaskTimings[PRJ]</f>
        <v>TEEBPD</v>
      </c>
      <c r="Q54" s="62" t="str">
        <f>TaskTimings[TSK]</f>
        <v>Client Suggestion Implementation</v>
      </c>
    </row>
    <row r="55" spans="1:17" x14ac:dyDescent="0.25">
      <c r="A55" s="61">
        <f t="shared" si="4"/>
        <v>54</v>
      </c>
      <c r="B55" s="62" t="str">
        <f>VLOOKUP(TaskTimings[Task],ProjectTasks[[TaskProjectCode]:[TSK]],2,0)</f>
        <v>TEEBPD</v>
      </c>
      <c r="C55" s="62" t="str">
        <f>VLOOKUP(TaskTimings[Task],ProjectTasks[[TaskProjectCode]:[TSK]],3,0)</f>
        <v>Client Suggestion Implementation</v>
      </c>
      <c r="D55" s="62" t="str">
        <f>TaskTimings[Employee]&amp;"/"&amp;TaskTimings[Date]</f>
        <v>Firose/43439</v>
      </c>
      <c r="E55" s="62">
        <f>COUNTIF($D$1:TaskTimings[[#This Row],[EmployeeDate]],TaskTimings[[#This Row],[EmployeeDate]])</f>
        <v>1</v>
      </c>
      <c r="F55" s="62" t="str">
        <f>TaskTimings[[#This Row],[EmployeeDate]]&amp;"/"&amp;TaskTimings[[#This Row],[EmployeeDateSeq]]</f>
        <v>Firose/43439/1</v>
      </c>
      <c r="G55" s="63" t="s">
        <v>71</v>
      </c>
      <c r="H55" s="63" t="s">
        <v>34</v>
      </c>
      <c r="I55" s="64">
        <v>43439</v>
      </c>
      <c r="J55" s="65">
        <v>0.41666666666666669</v>
      </c>
      <c r="K55" s="65">
        <v>0.5</v>
      </c>
      <c r="L55" s="66">
        <f>(TaskTimings[End Time]-TaskTimings[Start Time])*1440</f>
        <v>119.99999999999997</v>
      </c>
      <c r="M55" s="66" t="str">
        <f>TEXT(TaskTimings[End Time]-TaskTimings[Start Time],"HH:mm")</f>
        <v>02:00</v>
      </c>
      <c r="N55" s="66">
        <f>SUMIFS(TaskTimings[Total Minutes],TaskTimings[Date],TaskTimings[Date],TaskTimings[Employee],TaskTimings[Employee])</f>
        <v>239.99999999999986</v>
      </c>
      <c r="O55" s="66" t="str">
        <f>TEXT(TaskTimings[Day Total Minutes]/1440,"HH:mm")</f>
        <v>04:00</v>
      </c>
      <c r="P55" s="62" t="str">
        <f>TaskTimings[PRJ]</f>
        <v>TEEBPD</v>
      </c>
      <c r="Q55" s="62" t="str">
        <f>TaskTimings[TSK]</f>
        <v>Client Suggestion Implementation</v>
      </c>
    </row>
    <row r="56" spans="1:17" x14ac:dyDescent="0.25">
      <c r="A56" s="61">
        <f t="shared" si="4"/>
        <v>55</v>
      </c>
      <c r="B56" s="62" t="str">
        <f>VLOOKUP(TaskTimings[Task],ProjectTasks[[TaskProjectCode]:[TSK]],2,0)</f>
        <v>TEEBPD</v>
      </c>
      <c r="C56" s="62" t="str">
        <f>VLOOKUP(TaskTimings[Task],ProjectTasks[[TaskProjectCode]:[TSK]],3,0)</f>
        <v>Finalizing</v>
      </c>
      <c r="D56" s="62" t="str">
        <f>TaskTimings[Employee]&amp;"/"&amp;TaskTimings[Date]</f>
        <v>Firose/43439</v>
      </c>
      <c r="E56" s="62">
        <f>COUNTIF($D$1:TaskTimings[[#This Row],[EmployeeDate]],TaskTimings[[#This Row],[EmployeeDate]])</f>
        <v>2</v>
      </c>
      <c r="F56" s="62" t="str">
        <f>TaskTimings[[#This Row],[EmployeeDate]]&amp;"/"&amp;TaskTimings[[#This Row],[EmployeeDateSeq]]</f>
        <v>Firose/43439/2</v>
      </c>
      <c r="G56" s="63" t="s">
        <v>87</v>
      </c>
      <c r="H56" s="63" t="s">
        <v>34</v>
      </c>
      <c r="I56" s="64">
        <v>43439</v>
      </c>
      <c r="J56" s="65">
        <v>0.58333333333333337</v>
      </c>
      <c r="K56" s="65">
        <v>0.66666666666666663</v>
      </c>
      <c r="L56" s="66">
        <f>(TaskTimings[End Time]-TaskTimings[Start Time])*1440</f>
        <v>119.99999999999989</v>
      </c>
      <c r="M56" s="66" t="str">
        <f>TEXT(TaskTimings[End Time]-TaskTimings[Start Time],"HH:mm")</f>
        <v>02:00</v>
      </c>
      <c r="N56" s="66">
        <f>SUMIFS(TaskTimings[Total Minutes],TaskTimings[Date],TaskTimings[Date],TaskTimings[Employee],TaskTimings[Employee])</f>
        <v>239.99999999999986</v>
      </c>
      <c r="O56" s="66" t="str">
        <f>TEXT(TaskTimings[Day Total Minutes]/1440,"HH:mm")</f>
        <v>04:00</v>
      </c>
      <c r="P56" s="62" t="str">
        <f>TaskTimings[PRJ]</f>
        <v>TEEBPD</v>
      </c>
      <c r="Q56" s="62" t="str">
        <f>TaskTimings[TSK]</f>
        <v>Finalizing</v>
      </c>
    </row>
    <row r="57" spans="1:17" x14ac:dyDescent="0.25">
      <c r="A57" s="61">
        <f t="shared" si="4"/>
        <v>56</v>
      </c>
      <c r="B57" s="62" t="str">
        <f>VLOOKUP(TaskTimings[Task],ProjectTasks[[TaskProjectCode]:[TSK]],2,0)</f>
        <v>MITWEB</v>
      </c>
      <c r="C57" s="62" t="str">
        <f>VLOOKUP(TaskTimings[Task],ProjectTasks[[TaskProjectCode]:[TSK]],3,0)</f>
        <v>Modification</v>
      </c>
      <c r="D57" s="62" t="str">
        <f>TaskTimings[Employee]&amp;"/"&amp;TaskTimings[Date]</f>
        <v>Firose/43441</v>
      </c>
      <c r="E57" s="62">
        <f>COUNTIF($D$1:TaskTimings[[#This Row],[EmployeeDate]],TaskTimings[[#This Row],[EmployeeDate]])</f>
        <v>1</v>
      </c>
      <c r="F57" s="62" t="str">
        <f>TaskTimings[[#This Row],[EmployeeDate]]&amp;"/"&amp;TaskTimings[[#This Row],[EmployeeDateSeq]]</f>
        <v>Firose/43441/1</v>
      </c>
      <c r="G57" s="63" t="s">
        <v>75</v>
      </c>
      <c r="H57" s="63" t="s">
        <v>34</v>
      </c>
      <c r="I57" s="64">
        <v>43441</v>
      </c>
      <c r="J57" s="65">
        <v>0.375</v>
      </c>
      <c r="K57" s="74">
        <v>0.54166666666666663</v>
      </c>
      <c r="L57" s="66">
        <f>(TaskTimings[End Time]-TaskTimings[Start Time])*1440</f>
        <v>239.99999999999994</v>
      </c>
      <c r="M57" s="66" t="str">
        <f>TEXT(TaskTimings[End Time]-TaskTimings[Start Time],"HH:mm")</f>
        <v>04:00</v>
      </c>
      <c r="N57" s="66">
        <f>SUMIFS(TaskTimings[Total Minutes],TaskTimings[Date],TaskTimings[Date],TaskTimings[Employee],TaskTimings[Employee])</f>
        <v>239.99999999999994</v>
      </c>
      <c r="O57" s="66" t="str">
        <f>TEXT(TaskTimings[Day Total Minutes]/1440,"HH:mm")</f>
        <v>04:00</v>
      </c>
      <c r="P57" s="62" t="str">
        <f>TaskTimings[PRJ]</f>
        <v>MITWEB</v>
      </c>
      <c r="Q57" s="62" t="str">
        <f>TaskTimings[TSK]</f>
        <v>Modification</v>
      </c>
    </row>
    <row r="58" spans="1:17" x14ac:dyDescent="0.25">
      <c r="A58" s="61">
        <f t="shared" si="4"/>
        <v>57</v>
      </c>
      <c r="B58" s="54" t="str">
        <f>VLOOKUP(TaskTimings[Task],ProjectTasks[[TaskProjectCode]:[TSK]],2,0)</f>
        <v>SDS</v>
      </c>
      <c r="C58" s="54" t="str">
        <f>VLOOKUP(TaskTimings[Task],ProjectTasks[[TaskProjectCode]:[TSK]],3,0)</f>
        <v>Modification</v>
      </c>
      <c r="D58" s="54" t="str">
        <f>TaskTimings[Employee]&amp;"/"&amp;TaskTimings[Date]</f>
        <v>Aswathy/43441</v>
      </c>
      <c r="E58" s="54">
        <f>COUNTIF($D$1:TaskTimings[[#This Row],[EmployeeDate]],TaskTimings[[#This Row],[EmployeeDate]])</f>
        <v>2</v>
      </c>
      <c r="F58" s="54" t="str">
        <f>TaskTimings[[#This Row],[EmployeeDate]]&amp;"/"&amp;TaskTimings[[#This Row],[EmployeeDateSeq]]</f>
        <v>Aswathy/43441/2</v>
      </c>
      <c r="G58" s="55" t="s">
        <v>94</v>
      </c>
      <c r="H58" s="55" t="s">
        <v>54</v>
      </c>
      <c r="I58" s="56">
        <v>43441</v>
      </c>
      <c r="J58" s="92">
        <v>0.625</v>
      </c>
      <c r="K58" s="76">
        <v>0.66666666666666663</v>
      </c>
      <c r="L58" s="58">
        <f>(TaskTimings[End Time]-TaskTimings[Start Time])*1440</f>
        <v>59.999999999999943</v>
      </c>
      <c r="M58" s="58" t="str">
        <f>TEXT(TaskTimings[End Time]-TaskTimings[Start Time],"HH:mm")</f>
        <v>01:00</v>
      </c>
      <c r="N58" s="58">
        <f>SUMIFS(TaskTimings[Total Minutes],TaskTimings[Date],TaskTimings[Date],TaskTimings[Employee],TaskTimings[Employee])</f>
        <v>104.99999999999994</v>
      </c>
      <c r="O58" s="58" t="str">
        <f>TEXT(TaskTimings[Day Total Minutes]/1440,"HH:mm")</f>
        <v>01:45</v>
      </c>
      <c r="P58" s="54" t="str">
        <f>TaskTimings[PRJ]</f>
        <v>SDS</v>
      </c>
      <c r="Q58" s="54" t="str">
        <f>TaskTimings[TSK]</f>
        <v>Modification</v>
      </c>
    </row>
    <row r="59" spans="1:17" x14ac:dyDescent="0.25">
      <c r="A59" s="5">
        <f t="shared" ref="A59:A68" si="5">IFERROR($A58+1,1)</f>
        <v>58</v>
      </c>
      <c r="B59" s="10" t="str">
        <f>VLOOKUP(TaskTimings[Task],ProjectTasks[[TaskProjectCode]:[TSK]],2,0)</f>
        <v>TKT</v>
      </c>
      <c r="C59" s="10" t="str">
        <f>VLOOKUP(TaskTimings[Task],ProjectTasks[[TaskProjectCode]:[TSK]],3,0)</f>
        <v>Package Creation-Stage1</v>
      </c>
      <c r="D59" s="10" t="str">
        <f>TaskTimings[Employee]&amp;"/"&amp;TaskTimings[Date]</f>
        <v>Shareena/43442</v>
      </c>
      <c r="E59" s="10">
        <f>COUNTIF($D$1:TaskTimings[[#This Row],[EmployeeDate]],TaskTimings[[#This Row],[EmployeeDate]])</f>
        <v>1</v>
      </c>
      <c r="F59" s="10" t="str">
        <f>TaskTimings[[#This Row],[EmployeeDate]]&amp;"/"&amp;TaskTimings[[#This Row],[EmployeeDateSeq]]</f>
        <v>Shareena/43442/1</v>
      </c>
      <c r="G59" s="55" t="s">
        <v>97</v>
      </c>
      <c r="H59" s="1" t="s">
        <v>16</v>
      </c>
      <c r="I59" s="8">
        <v>43442</v>
      </c>
      <c r="J59" s="93">
        <v>0.41666666666666669</v>
      </c>
      <c r="K59" s="68">
        <v>0.53194444444444444</v>
      </c>
      <c r="L59" s="2">
        <f>(TaskTimings[End Time]-TaskTimings[Start Time])*1440</f>
        <v>165.99999999999997</v>
      </c>
      <c r="M59" s="2" t="str">
        <f>TEXT(TaskTimings[End Time]-TaskTimings[Start Time],"HH:mm")</f>
        <v>02:46</v>
      </c>
      <c r="N59" s="2">
        <f>SUMIFS(TaskTimings[Total Minutes],TaskTimings[Date],TaskTimings[Date],TaskTimings[Employee],TaskTimings[Employee])</f>
        <v>251</v>
      </c>
      <c r="O59" s="2" t="str">
        <f>TEXT(TaskTimings[Day Total Minutes]/1440,"HH:mm")</f>
        <v>04:11</v>
      </c>
      <c r="P59" s="10" t="str">
        <f>TaskTimings[PRJ]</f>
        <v>TKT</v>
      </c>
      <c r="Q59" s="10" t="str">
        <f>TaskTimings[TSK]</f>
        <v>Package Creation-Stage1</v>
      </c>
    </row>
    <row r="60" spans="1:17" x14ac:dyDescent="0.25">
      <c r="A60" s="5">
        <f t="shared" si="5"/>
        <v>59</v>
      </c>
      <c r="B60" s="10" t="str">
        <f>VLOOKUP(TaskTimings[Task],ProjectTasks[[TaskProjectCode]:[TSK]],2,0)</f>
        <v>SDS</v>
      </c>
      <c r="C60" s="10" t="str">
        <f>VLOOKUP(TaskTimings[Task],ProjectTasks[[TaskProjectCode]:[TSK]],3,0)</f>
        <v>Modification</v>
      </c>
      <c r="D60" s="10" t="str">
        <f>TaskTimings[Employee]&amp;"/"&amp;TaskTimings[Date]</f>
        <v>Aswathy/43442</v>
      </c>
      <c r="E60" s="10">
        <f>COUNTIF($D$1:TaskTimings[[#This Row],[EmployeeDate]],TaskTimings[[#This Row],[EmployeeDate]])</f>
        <v>1</v>
      </c>
      <c r="F60" s="10" t="str">
        <f>TaskTimings[[#This Row],[EmployeeDate]]&amp;"/"&amp;TaskTimings[[#This Row],[EmployeeDateSeq]]</f>
        <v>Aswathy/43442/1</v>
      </c>
      <c r="G60" s="1" t="s">
        <v>94</v>
      </c>
      <c r="H60" s="1" t="s">
        <v>54</v>
      </c>
      <c r="I60" s="8">
        <v>43442</v>
      </c>
      <c r="J60" s="93">
        <v>0.41666666666666669</v>
      </c>
      <c r="K60" s="68">
        <v>0.58333333333333337</v>
      </c>
      <c r="L60" s="2">
        <f>(TaskTimings[End Time]-TaskTimings[Start Time])*1440</f>
        <v>240.00000000000003</v>
      </c>
      <c r="M60" s="2" t="str">
        <f>TEXT(TaskTimings[End Time]-TaskTimings[Start Time],"HH:mm")</f>
        <v>04:00</v>
      </c>
      <c r="N60" s="2">
        <f>SUMIFS(TaskTimings[Total Minutes],TaskTimings[Date],TaskTimings[Date],TaskTimings[Employee],TaskTimings[Employee])</f>
        <v>240.00000000000003</v>
      </c>
      <c r="O60" s="2" t="str">
        <f>TEXT(TaskTimings[Day Total Minutes]/1440,"HH:mm")</f>
        <v>04:00</v>
      </c>
      <c r="P60" s="10" t="str">
        <f>TaskTimings[PRJ]</f>
        <v>SDS</v>
      </c>
      <c r="Q60" s="10" t="str">
        <f>TaskTimings[TSK]</f>
        <v>Modification</v>
      </c>
    </row>
    <row r="61" spans="1:17" x14ac:dyDescent="0.25">
      <c r="A61" s="94">
        <f t="shared" si="5"/>
        <v>60</v>
      </c>
      <c r="B61" s="95" t="str">
        <f>VLOOKUP(TaskTimings[Task],ProjectTasks[[TaskProjectCode]:[TSK]],2,0)</f>
        <v>TKT</v>
      </c>
      <c r="C61" s="95" t="str">
        <f>VLOOKUP(TaskTimings[Task],ProjectTasks[[TaskProjectCode]:[TSK]],3,0)</f>
        <v>Package Creation-Stage1</v>
      </c>
      <c r="D61" s="95" t="str">
        <f>TaskTimings[Employee]&amp;"/"&amp;TaskTimings[Date]</f>
        <v>Shareena/43442</v>
      </c>
      <c r="E61" s="95">
        <f>COUNTIF($D$1:TaskTimings[[#This Row],[EmployeeDate]],TaskTimings[[#This Row],[EmployeeDate]])</f>
        <v>2</v>
      </c>
      <c r="F61" s="95" t="str">
        <f>TaskTimings[[#This Row],[EmployeeDate]]&amp;"/"&amp;TaskTimings[[#This Row],[EmployeeDateSeq]]</f>
        <v>Shareena/43442/2</v>
      </c>
      <c r="G61" s="1" t="s">
        <v>97</v>
      </c>
      <c r="H61" s="96" t="s">
        <v>16</v>
      </c>
      <c r="I61" s="97">
        <v>43442</v>
      </c>
      <c r="J61" s="98">
        <v>0.59375</v>
      </c>
      <c r="K61" s="100">
        <v>0.625</v>
      </c>
      <c r="L61" s="99">
        <f>(TaskTimings[End Time]-TaskTimings[Start Time])*1440</f>
        <v>45</v>
      </c>
      <c r="M61" s="99" t="str">
        <f>TEXT(TaskTimings[End Time]-TaskTimings[Start Time],"HH:mm")</f>
        <v>00:45</v>
      </c>
      <c r="N61" s="99">
        <f>SUMIFS(TaskTimings[Total Minutes],TaskTimings[Date],TaskTimings[Date],TaskTimings[Employee],TaskTimings[Employee])</f>
        <v>251</v>
      </c>
      <c r="O61" s="99" t="str">
        <f>TEXT(TaskTimings[Day Total Minutes]/1440,"HH:mm")</f>
        <v>04:11</v>
      </c>
      <c r="P61" s="95" t="str">
        <f>TaskTimings[PRJ]</f>
        <v>TKT</v>
      </c>
      <c r="Q61" s="95" t="str">
        <f>TaskTimings[TSK]</f>
        <v>Package Creation-Stage1</v>
      </c>
    </row>
    <row r="62" spans="1:17" x14ac:dyDescent="0.25">
      <c r="A62" s="101">
        <f t="shared" si="5"/>
        <v>61</v>
      </c>
      <c r="B62" s="102" t="str">
        <f>VLOOKUP(TaskTimings[Task],ProjectTasks[[TaskProjectCode]:[TSK]],2,0)</f>
        <v>TKT</v>
      </c>
      <c r="C62" s="102" t="str">
        <f>VLOOKUP(TaskTimings[Task],ProjectTasks[[TaskProjectCode]:[TSK]],3,0)</f>
        <v>Package Creation-Stage1</v>
      </c>
      <c r="D62" s="102" t="str">
        <f>TaskTimings[Employee]&amp;"/"&amp;TaskTimings[Date]</f>
        <v>Shareena/43442</v>
      </c>
      <c r="E62" s="102">
        <f>COUNTIF($D$1:TaskTimings[[#This Row],[EmployeeDate]],TaskTimings[[#This Row],[EmployeeDate]])</f>
        <v>3</v>
      </c>
      <c r="F62" s="102" t="str">
        <f>TaskTimings[[#This Row],[EmployeeDate]]&amp;"/"&amp;TaskTimings[[#This Row],[EmployeeDateSeq]]</f>
        <v>Shareena/43442/3</v>
      </c>
      <c r="G62" s="103" t="s">
        <v>97</v>
      </c>
      <c r="H62" s="103" t="s">
        <v>16</v>
      </c>
      <c r="I62" s="104">
        <v>43442</v>
      </c>
      <c r="J62" s="105">
        <v>0.67708333333333337</v>
      </c>
      <c r="K62" s="107">
        <v>0.70486111111111116</v>
      </c>
      <c r="L62" s="106">
        <f>(TaskTimings[End Time]-TaskTimings[Start Time])*1440</f>
        <v>40.000000000000014</v>
      </c>
      <c r="M62" s="99" t="str">
        <f>TEXT(TaskTimings[End Time]-TaskTimings[Start Time],"HH:mm")</f>
        <v>00:40</v>
      </c>
      <c r="N62" s="106">
        <f>SUMIFS(TaskTimings[Total Minutes],TaskTimings[Date],TaskTimings[Date],TaskTimings[Employee],TaskTimings[Employee])</f>
        <v>251</v>
      </c>
      <c r="O62" s="106" t="str">
        <f>TEXT(TaskTimings[Day Total Minutes]/1440,"HH:mm")</f>
        <v>04:11</v>
      </c>
      <c r="P62" s="102" t="str">
        <f>TaskTimings[PRJ]</f>
        <v>TKT</v>
      </c>
      <c r="Q62" s="102" t="str">
        <f>TaskTimings[TSK]</f>
        <v>Package Creation-Stage1</v>
      </c>
    </row>
    <row r="63" spans="1:17" x14ac:dyDescent="0.25">
      <c r="A63" s="101">
        <f t="shared" si="5"/>
        <v>62</v>
      </c>
      <c r="B63" s="102" t="str">
        <f>VLOOKUP(TaskTimings[Task],ProjectTasks[[TaskProjectCode]:[TSK]],2,0)</f>
        <v>TKT</v>
      </c>
      <c r="C63" s="102" t="str">
        <f>VLOOKUP(TaskTimings[Task],ProjectTasks[[TaskProjectCode]:[TSK]],3,0)</f>
        <v>Package Creation-Stage1</v>
      </c>
      <c r="D63" s="102" t="str">
        <f>TaskTimings[Employee]&amp;"/"&amp;TaskTimings[Date]</f>
        <v>Shareena/43444</v>
      </c>
      <c r="E63" s="102">
        <f>COUNTIF($D$1:TaskTimings[[#This Row],[EmployeeDate]],TaskTimings[[#This Row],[EmployeeDate]])</f>
        <v>1</v>
      </c>
      <c r="F63" s="102" t="str">
        <f>TaskTimings[[#This Row],[EmployeeDate]]&amp;"/"&amp;TaskTimings[[#This Row],[EmployeeDateSeq]]</f>
        <v>Shareena/43444/1</v>
      </c>
      <c r="G63" s="103" t="s">
        <v>97</v>
      </c>
      <c r="H63" s="103" t="s">
        <v>16</v>
      </c>
      <c r="I63" s="104">
        <v>43444</v>
      </c>
      <c r="J63" s="105">
        <v>0.38541666666666669</v>
      </c>
      <c r="K63" s="108">
        <v>0.5</v>
      </c>
      <c r="L63" s="106">
        <f>(TaskTimings[End Time]-TaskTimings[Start Time])*1440</f>
        <v>164.99999999999997</v>
      </c>
      <c r="M63" s="106" t="str">
        <f>TEXT(TaskTimings[End Time]-TaskTimings[Start Time],"HH:mm")</f>
        <v>02:45</v>
      </c>
      <c r="N63" s="106">
        <f>SUMIFS(TaskTimings[Total Minutes],TaskTimings[Date],TaskTimings[Date],TaskTimings[Employee],TaskTimings[Employee])</f>
        <v>314.99999999999989</v>
      </c>
      <c r="O63" s="106" t="str">
        <f>TEXT(TaskTimings[Day Total Minutes]/1440,"HH:mm")</f>
        <v>05:15</v>
      </c>
      <c r="P63" s="102" t="str">
        <f>TaskTimings[PRJ]</f>
        <v>TKT</v>
      </c>
      <c r="Q63" s="102" t="str">
        <f>TaskTimings[TSK]</f>
        <v>Package Creation-Stage1</v>
      </c>
    </row>
    <row r="64" spans="1:17" x14ac:dyDescent="0.25">
      <c r="A64" s="101">
        <f t="shared" si="5"/>
        <v>63</v>
      </c>
      <c r="B64" s="102" t="str">
        <f>VLOOKUP(TaskTimings[Task],ProjectTasks[[TaskProjectCode]:[TSK]],2,0)</f>
        <v>TKT</v>
      </c>
      <c r="C64" s="102" t="str">
        <f>VLOOKUP(TaskTimings[Task],ProjectTasks[[TaskProjectCode]:[TSK]],3,0)</f>
        <v>Package Creation-Stage1</v>
      </c>
      <c r="D64" s="102" t="str">
        <f>TaskTimings[Employee]&amp;"/"&amp;TaskTimings[Date]</f>
        <v>Shareena/43444</v>
      </c>
      <c r="E64" s="102">
        <f>COUNTIF($D$1:TaskTimings[[#This Row],[EmployeeDate]],TaskTimings[[#This Row],[EmployeeDate]])</f>
        <v>2</v>
      </c>
      <c r="F64" s="102" t="str">
        <f>TaskTimings[[#This Row],[EmployeeDate]]&amp;"/"&amp;TaskTimings[[#This Row],[EmployeeDateSeq]]</f>
        <v>Shareena/43444/2</v>
      </c>
      <c r="G64" s="103" t="s">
        <v>97</v>
      </c>
      <c r="H64" s="103" t="s">
        <v>16</v>
      </c>
      <c r="I64" s="104">
        <v>43444</v>
      </c>
      <c r="J64" s="108">
        <v>0.58333333333333337</v>
      </c>
      <c r="K64" s="108">
        <v>0.6875</v>
      </c>
      <c r="L64" s="106">
        <f>(TaskTimings[End Time]-TaskTimings[Start Time])*1440</f>
        <v>149.99999999999994</v>
      </c>
      <c r="M64" s="106" t="str">
        <f>TEXT(TaskTimings[End Time]-TaskTimings[Start Time],"HH:mm")</f>
        <v>02:30</v>
      </c>
      <c r="N64" s="106">
        <f>SUMIFS(TaskTimings[Total Minutes],TaskTimings[Date],TaskTimings[Date],TaskTimings[Employee],TaskTimings[Employee])</f>
        <v>314.99999999999989</v>
      </c>
      <c r="O64" s="106" t="str">
        <f>TEXT(TaskTimings[Day Total Minutes]/1440,"HH:mm")</f>
        <v>05:15</v>
      </c>
      <c r="P64" s="102" t="str">
        <f>TaskTimings[PRJ]</f>
        <v>TKT</v>
      </c>
      <c r="Q64" s="102" t="str">
        <f>TaskTimings[TSK]</f>
        <v>Package Creation-Stage1</v>
      </c>
    </row>
    <row r="65" spans="1:17" x14ac:dyDescent="0.25">
      <c r="A65" s="101">
        <f t="shared" si="5"/>
        <v>64</v>
      </c>
      <c r="B65" s="102" t="str">
        <f>VLOOKUP(TaskTimings[Task],ProjectTasks[[TaskProjectCode]:[TSK]],2,0)</f>
        <v>TKT</v>
      </c>
      <c r="C65" s="102" t="str">
        <f>VLOOKUP(TaskTimings[Task],ProjectTasks[[TaskProjectCode]:[TSK]],3,0)</f>
        <v>Package Creation-Stage2(Resource creation)</v>
      </c>
      <c r="D65" s="102" t="str">
        <f>TaskTimings[Employee]&amp;"/"&amp;TaskTimings[Date]</f>
        <v>Shareena/43445</v>
      </c>
      <c r="E65" s="102">
        <f>COUNTIF($D$1:TaskTimings[[#This Row],[EmployeeDate]],TaskTimings[[#This Row],[EmployeeDate]])</f>
        <v>1</v>
      </c>
      <c r="F65" s="102" t="str">
        <f>TaskTimings[[#This Row],[EmployeeDate]]&amp;"/"&amp;TaskTimings[[#This Row],[EmployeeDateSeq]]</f>
        <v>Shareena/43445/1</v>
      </c>
      <c r="G65" s="103" t="s">
        <v>98</v>
      </c>
      <c r="H65" s="103" t="s">
        <v>16</v>
      </c>
      <c r="I65" s="104">
        <v>43445</v>
      </c>
      <c r="J65" s="105">
        <v>0.39583333333333331</v>
      </c>
      <c r="K65" s="115">
        <v>0.51041666666666663</v>
      </c>
      <c r="L65" s="106">
        <f>(TaskTimings[End Time]-TaskTimings[Start Time])*1440</f>
        <v>164.99999999999997</v>
      </c>
      <c r="M65" s="106" t="str">
        <f>TEXT(TaskTimings[End Time]-TaskTimings[Start Time],"HH:mm")</f>
        <v>02:45</v>
      </c>
      <c r="N65" s="106">
        <f>SUMIFS(TaskTimings[Total Minutes],TaskTimings[Date],TaskTimings[Date],TaskTimings[Employee],TaskTimings[Employee])</f>
        <v>164.99999999999997</v>
      </c>
      <c r="O65" s="106" t="str">
        <f>TEXT(TaskTimings[Day Total Minutes]/1440,"HH:mm")</f>
        <v>02:45</v>
      </c>
      <c r="P65" s="102" t="str">
        <f>TaskTimings[PRJ]</f>
        <v>TKT</v>
      </c>
      <c r="Q65" s="102" t="str">
        <f>TaskTimings[TSK]</f>
        <v>Package Creation-Stage2(Resource creation)</v>
      </c>
    </row>
    <row r="66" spans="1:17" x14ac:dyDescent="0.25">
      <c r="A66" s="101">
        <f t="shared" si="5"/>
        <v>65</v>
      </c>
      <c r="B66" s="110" t="str">
        <f>VLOOKUP(TaskTimings[Task],ProjectTasks[[TaskProjectCode]:[TSK]],2,0)</f>
        <v>APPFRAME</v>
      </c>
      <c r="C66" s="110" t="str">
        <f>VLOOKUP(TaskTimings[Task],ProjectTasks[[TaskProjectCode]:[TSK]],3,0)</f>
        <v>Development</v>
      </c>
      <c r="D66" s="110" t="str">
        <f>TaskTimings[Employee]&amp;"/"&amp;TaskTimings[Date]</f>
        <v>Firose/43444</v>
      </c>
      <c r="E66" s="110">
        <f>COUNTIF($D$1:TaskTimings[[#This Row],[EmployeeDate]],TaskTimings[[#This Row],[EmployeeDate]])</f>
        <v>1</v>
      </c>
      <c r="F66" s="110" t="str">
        <f>TaskTimings[[#This Row],[EmployeeDate]]&amp;"/"&amp;TaskTimings[[#This Row],[EmployeeDateSeq]]</f>
        <v>Firose/43444/1</v>
      </c>
      <c r="G66" s="111" t="s">
        <v>99</v>
      </c>
      <c r="H66" s="111" t="s">
        <v>34</v>
      </c>
      <c r="I66" s="112">
        <v>43444</v>
      </c>
      <c r="J66" s="113">
        <v>0.375</v>
      </c>
      <c r="K66" s="113">
        <v>0.70833333333333337</v>
      </c>
      <c r="L66" s="114">
        <f>(TaskTimings[End Time]-TaskTimings[Start Time])*1440</f>
        <v>480.00000000000006</v>
      </c>
      <c r="M66" s="114" t="str">
        <f>TEXT(TaskTimings[End Time]-TaskTimings[Start Time],"HH:mm")</f>
        <v>08:00</v>
      </c>
      <c r="N66" s="114">
        <f>SUMIFS(TaskTimings[Total Minutes],TaskTimings[Date],TaskTimings[Date],TaskTimings[Employee],TaskTimings[Employee])</f>
        <v>480.00000000000006</v>
      </c>
      <c r="O66" s="114" t="str">
        <f>TEXT(TaskTimings[Day Total Minutes]/1440,"HH:mm")</f>
        <v>08:00</v>
      </c>
      <c r="P66" s="110" t="str">
        <f>TaskTimings[PRJ]</f>
        <v>APPFRAME</v>
      </c>
      <c r="Q66" s="110" t="str">
        <f>TaskTimings[TSK]</f>
        <v>Development</v>
      </c>
    </row>
    <row r="67" spans="1:17" x14ac:dyDescent="0.25">
      <c r="A67" s="116">
        <f t="shared" si="5"/>
        <v>66</v>
      </c>
      <c r="B67" s="117" t="str">
        <f>VLOOKUP(TaskTimings[Task],ProjectTasks[[TaskProjectCode]:[TSK]],2,0)</f>
        <v>SDS</v>
      </c>
      <c r="C67" s="117" t="str">
        <f>VLOOKUP(TaskTimings[Task],ProjectTasks[[TaskProjectCode]:[TSK]],3,0)</f>
        <v>Modification</v>
      </c>
      <c r="D67" s="117" t="str">
        <f>TaskTimings[Employee]&amp;"/"&amp;TaskTimings[Date]</f>
        <v>Aswathy/43445</v>
      </c>
      <c r="E67" s="117">
        <f>COUNTIF($D$1:TaskTimings[[#This Row],[EmployeeDate]],TaskTimings[[#This Row],[EmployeeDate]])</f>
        <v>1</v>
      </c>
      <c r="F67" s="117" t="str">
        <f>TaskTimings[[#This Row],[EmployeeDate]]&amp;"/"&amp;TaskTimings[[#This Row],[EmployeeDateSeq]]</f>
        <v>Aswathy/43445/1</v>
      </c>
      <c r="G67" s="118" t="s">
        <v>94</v>
      </c>
      <c r="H67" s="118" t="s">
        <v>54</v>
      </c>
      <c r="I67" s="119">
        <v>43445</v>
      </c>
      <c r="J67" s="120">
        <v>0.53125</v>
      </c>
      <c r="K67" s="122">
        <v>0.55902777777777779</v>
      </c>
      <c r="L67" s="121">
        <f>(TaskTimings[End Time]-TaskTimings[Start Time])*1440</f>
        <v>40.000000000000014</v>
      </c>
      <c r="M67" s="121" t="str">
        <f>TEXT(TaskTimings[End Time]-TaskTimings[Start Time],"HH:mm")</f>
        <v>00:40</v>
      </c>
      <c r="N67" s="121">
        <f>SUMIFS(TaskTimings[Total Minutes],TaskTimings[Date],TaskTimings[Date],TaskTimings[Employee],TaskTimings[Employee])</f>
        <v>220</v>
      </c>
      <c r="O67" s="121" t="str">
        <f>TEXT(TaskTimings[Day Total Minutes]/1440,"HH:mm")</f>
        <v>03:40</v>
      </c>
      <c r="P67" s="117" t="str">
        <f>TaskTimings[PRJ]</f>
        <v>SDS</v>
      </c>
      <c r="Q67" s="117" t="str">
        <f>TaskTimings[TSK]</f>
        <v>Modification</v>
      </c>
    </row>
    <row r="68" spans="1:17" x14ac:dyDescent="0.25">
      <c r="A68" s="116">
        <f t="shared" si="5"/>
        <v>67</v>
      </c>
      <c r="B68" s="117" t="str">
        <f>VLOOKUP(TaskTimings[Task],ProjectTasks[[TaskProjectCode]:[TSK]],2,0)</f>
        <v>SDS</v>
      </c>
      <c r="C68" s="117" t="str">
        <f>VLOOKUP(TaskTimings[Task],ProjectTasks[[TaskProjectCode]:[TSK]],3,0)</f>
        <v>Modification</v>
      </c>
      <c r="D68" s="117" t="str">
        <f>TaskTimings[Employee]&amp;"/"&amp;TaskTimings[Date]</f>
        <v>Aswathy/43445</v>
      </c>
      <c r="E68" s="117">
        <f>COUNTIF($D$1:TaskTimings[[#This Row],[EmployeeDate]],TaskTimings[[#This Row],[EmployeeDate]])</f>
        <v>2</v>
      </c>
      <c r="F68" s="117" t="str">
        <f>TaskTimings[[#This Row],[EmployeeDate]]&amp;"/"&amp;TaskTimings[[#This Row],[EmployeeDateSeq]]</f>
        <v>Aswathy/43445/2</v>
      </c>
      <c r="G68" s="118" t="s">
        <v>94</v>
      </c>
      <c r="H68" s="118" t="s">
        <v>54</v>
      </c>
      <c r="I68" s="119">
        <v>43445</v>
      </c>
      <c r="J68" s="120">
        <v>0.58333333333333337</v>
      </c>
      <c r="K68" s="122">
        <v>0.70833333333333337</v>
      </c>
      <c r="L68" s="121">
        <f>(TaskTimings[End Time]-TaskTimings[Start Time])*1440</f>
        <v>180</v>
      </c>
      <c r="M68" s="121" t="str">
        <f>TEXT(TaskTimings[End Time]-TaskTimings[Start Time],"HH:mm")</f>
        <v>03:00</v>
      </c>
      <c r="N68" s="121">
        <f>SUMIFS(TaskTimings[Total Minutes],TaskTimings[Date],TaskTimings[Date],TaskTimings[Employee],TaskTimings[Employee])</f>
        <v>220</v>
      </c>
      <c r="O68" s="121" t="str">
        <f>TEXT(TaskTimings[Day Total Minutes]/1440,"HH:mm")</f>
        <v>03:40</v>
      </c>
      <c r="P68" s="117" t="str">
        <f>TaskTimings[PRJ]</f>
        <v>SDS</v>
      </c>
      <c r="Q68" s="117" t="str">
        <f>TaskTimings[TSK]</f>
        <v>Modification</v>
      </c>
    </row>
    <row r="69" spans="1:17" x14ac:dyDescent="0.25">
      <c r="A69" s="116">
        <f>IFERROR($A68+1,1)</f>
        <v>68</v>
      </c>
      <c r="B69" s="117" t="str">
        <f>VLOOKUP(TaskTimings[Task],ProjectTasks[[TaskProjectCode]:[TSK]],2,0)</f>
        <v>TEEBPD</v>
      </c>
      <c r="C69" s="117" t="str">
        <f>VLOOKUP(TaskTimings[Task],ProjectTasks[[TaskProjectCode]:[TSK]],3,0)</f>
        <v>Table syncing</v>
      </c>
      <c r="D69" s="117" t="str">
        <f>TaskTimings[Employee]&amp;"/"&amp;TaskTimings[Date]</f>
        <v>Shareena/43446</v>
      </c>
      <c r="E69" s="117">
        <f>COUNTIF($D$1:TaskTimings[[#This Row],[EmployeeDate]],TaskTimings[[#This Row],[EmployeeDate]])</f>
        <v>1</v>
      </c>
      <c r="F69" s="117" t="str">
        <f>TaskTimings[[#This Row],[EmployeeDate]]&amp;"/"&amp;TaskTimings[[#This Row],[EmployeeDateSeq]]</f>
        <v>Shareena/43446/1</v>
      </c>
      <c r="G69" s="118" t="s">
        <v>101</v>
      </c>
      <c r="H69" s="118" t="s">
        <v>16</v>
      </c>
      <c r="I69" s="119">
        <v>43446</v>
      </c>
      <c r="J69" s="120">
        <v>0.40972222222222227</v>
      </c>
      <c r="K69" s="122">
        <v>0.45833333333333331</v>
      </c>
      <c r="L69" s="121">
        <f>(TaskTimings[End Time]-TaskTimings[Start Time])*1440</f>
        <v>69.999999999999915</v>
      </c>
      <c r="M69" s="121" t="str">
        <f>TEXT(TaskTimings[End Time]-TaskTimings[Start Time],"HH:mm")</f>
        <v>01:10</v>
      </c>
      <c r="N69" s="121">
        <f>SUMIFS(TaskTimings[Total Minutes],TaskTimings[Date],TaskTimings[Date],TaskTimings[Employee],TaskTimings[Employee])</f>
        <v>181.99999999999983</v>
      </c>
      <c r="O69" s="121" t="str">
        <f>TEXT(TaskTimings[Day Total Minutes]/1440,"HH:mm")</f>
        <v>03:02</v>
      </c>
      <c r="P69" s="117" t="str">
        <f>TaskTimings[PRJ]</f>
        <v>TEEBPD</v>
      </c>
      <c r="Q69" s="117" t="str">
        <f>TaskTimings[TSK]</f>
        <v>Table syncing</v>
      </c>
    </row>
    <row r="70" spans="1:17" x14ac:dyDescent="0.25">
      <c r="A70" s="116">
        <f>IFERROR($A69+1,1)</f>
        <v>69</v>
      </c>
      <c r="B70" s="117" t="str">
        <f>VLOOKUP(TaskTimings[Task],ProjectTasks[[TaskProjectCode]:[TSK]],2,0)</f>
        <v>SDS</v>
      </c>
      <c r="C70" s="117" t="str">
        <f>VLOOKUP(TaskTimings[Task],ProjectTasks[[TaskProjectCode]:[TSK]],3,0)</f>
        <v>Modification</v>
      </c>
      <c r="D70" s="117" t="str">
        <f>TaskTimings[Employee]&amp;"/"&amp;TaskTimings[Date]</f>
        <v>Aswathy/43446</v>
      </c>
      <c r="E70" s="117">
        <f>COUNTIF($D$1:TaskTimings[[#This Row],[EmployeeDate]],TaskTimings[[#This Row],[EmployeeDate]])</f>
        <v>1</v>
      </c>
      <c r="F70" s="117" t="str">
        <f>TaskTimings[[#This Row],[EmployeeDate]]&amp;"/"&amp;TaskTimings[[#This Row],[EmployeeDateSeq]]</f>
        <v>Aswathy/43446/1</v>
      </c>
      <c r="G70" s="118" t="s">
        <v>94</v>
      </c>
      <c r="H70" s="118" t="s">
        <v>54</v>
      </c>
      <c r="I70" s="119">
        <v>43446</v>
      </c>
      <c r="J70" s="120">
        <v>0.39583333333333331</v>
      </c>
      <c r="K70" s="122">
        <v>0.5625</v>
      </c>
      <c r="L70" s="121">
        <f>(TaskTimings[End Time]-TaskTimings[Start Time])*1440</f>
        <v>240.00000000000003</v>
      </c>
      <c r="M70" s="121" t="str">
        <f>TEXT(TaskTimings[End Time]-TaskTimings[Start Time],"HH:mm")</f>
        <v>04:00</v>
      </c>
      <c r="N70" s="121">
        <f>SUMIFS(TaskTimings[Total Minutes],TaskTimings[Date],TaskTimings[Date],TaskTimings[Employee],TaskTimings[Employee])</f>
        <v>405.00000000000011</v>
      </c>
      <c r="O70" s="121" t="str">
        <f>TEXT(TaskTimings[Day Total Minutes]/1440,"HH:mm")</f>
        <v>06:45</v>
      </c>
      <c r="P70" s="117" t="str">
        <f>TaskTimings[PRJ]</f>
        <v>SDS</v>
      </c>
      <c r="Q70" s="117" t="str">
        <f>TaskTimings[TSK]</f>
        <v>Modification</v>
      </c>
    </row>
    <row r="71" spans="1:17" x14ac:dyDescent="0.25">
      <c r="A71" s="116">
        <f>IFERROR($A70+1,1)</f>
        <v>70</v>
      </c>
      <c r="B71" s="117" t="str">
        <f>VLOOKUP(TaskTimings[Task],ProjectTasks[[TaskProjectCode]:[TSK]],2,0)</f>
        <v>TEEBPD</v>
      </c>
      <c r="C71" s="117" t="str">
        <f>VLOOKUP(TaskTimings[Task],ProjectTasks[[TaskProjectCode]:[TSK]],3,0)</f>
        <v>Table syncing</v>
      </c>
      <c r="D71" s="117" t="str">
        <f>TaskTimings[Employee]&amp;"/"&amp;TaskTimings[Date]</f>
        <v>Shareena/43446</v>
      </c>
      <c r="E71" s="117">
        <f>COUNTIF($D$1:TaskTimings[[#This Row],[EmployeeDate]],TaskTimings[[#This Row],[EmployeeDate]])</f>
        <v>2</v>
      </c>
      <c r="F71" s="117" t="str">
        <f>TaskTimings[[#This Row],[EmployeeDate]]&amp;"/"&amp;TaskTimings[[#This Row],[EmployeeDateSeq]]</f>
        <v>Shareena/43446/2</v>
      </c>
      <c r="G71" s="118" t="s">
        <v>101</v>
      </c>
      <c r="H71" s="118" t="s">
        <v>16</v>
      </c>
      <c r="I71" s="119">
        <v>43446</v>
      </c>
      <c r="J71" s="120">
        <v>0.62847222222222221</v>
      </c>
      <c r="K71" s="122">
        <v>0.70624999999999993</v>
      </c>
      <c r="L71" s="121">
        <f>(TaskTimings[End Time]-TaskTimings[Start Time])*1440</f>
        <v>111.99999999999991</v>
      </c>
      <c r="M71" s="121" t="str">
        <f>TEXT(TaskTimings[End Time]-TaskTimings[Start Time],"HH:mm")</f>
        <v>01:52</v>
      </c>
      <c r="N71" s="121">
        <f>SUMIFS(TaskTimings[Total Minutes],TaskTimings[Date],TaskTimings[Date],TaskTimings[Employee],TaskTimings[Employee])</f>
        <v>181.99999999999983</v>
      </c>
      <c r="O71" s="121" t="str">
        <f>TEXT(TaskTimings[Day Total Minutes]/1440,"HH:mm")</f>
        <v>03:02</v>
      </c>
      <c r="P71" s="117" t="str">
        <f>TaskTimings[PRJ]</f>
        <v>TEEBPD</v>
      </c>
      <c r="Q71" s="117" t="str">
        <f>TaskTimings[TSK]</f>
        <v>Table syncing</v>
      </c>
    </row>
    <row r="72" spans="1:17" x14ac:dyDescent="0.25">
      <c r="A72" s="116">
        <f>IFERROR($A71+1,1)</f>
        <v>71</v>
      </c>
      <c r="B72" s="117" t="str">
        <f>VLOOKUP(TaskTimings[Task],ProjectTasks[[TaskProjectCode]:[TSK]],2,0)</f>
        <v>SDS</v>
      </c>
      <c r="C72" s="117" t="str">
        <f>VLOOKUP(TaskTimings[Task],ProjectTasks[[TaskProjectCode]:[TSK]],3,0)</f>
        <v>Modification</v>
      </c>
      <c r="D72" s="117" t="str">
        <f>TaskTimings[Employee]&amp;"/"&amp;TaskTimings[Date]</f>
        <v>Aswathy/43446</v>
      </c>
      <c r="E72" s="117">
        <f>COUNTIF($D$1:TaskTimings[[#This Row],[EmployeeDate]],TaskTimings[[#This Row],[EmployeeDate]])</f>
        <v>2</v>
      </c>
      <c r="F72" s="117" t="str">
        <f>TaskTimings[[#This Row],[EmployeeDate]]&amp;"/"&amp;TaskTimings[[#This Row],[EmployeeDateSeq]]</f>
        <v>Aswathy/43446/2</v>
      </c>
      <c r="G72" s="118" t="s">
        <v>94</v>
      </c>
      <c r="H72" s="118" t="s">
        <v>54</v>
      </c>
      <c r="I72" s="119">
        <v>43446</v>
      </c>
      <c r="J72" s="120">
        <v>0.59027777777777779</v>
      </c>
      <c r="K72" s="122">
        <v>0.70486111111111116</v>
      </c>
      <c r="L72" s="121">
        <f>(TaskTimings[End Time]-TaskTimings[Start Time])*1440</f>
        <v>165.00000000000006</v>
      </c>
      <c r="M72" s="121" t="str">
        <f>TEXT(TaskTimings[End Time]-TaskTimings[Start Time],"HH:mm")</f>
        <v>02:45</v>
      </c>
      <c r="N72" s="121">
        <f>SUMIFS(TaskTimings[Total Minutes],TaskTimings[Date],TaskTimings[Date],TaskTimings[Employee],TaskTimings[Employee])</f>
        <v>405.00000000000011</v>
      </c>
      <c r="O72" s="121" t="str">
        <f>TEXT(TaskTimings[Day Total Minutes]/1440,"HH:mm")</f>
        <v>06:45</v>
      </c>
      <c r="P72" s="117" t="str">
        <f>TaskTimings[PRJ]</f>
        <v>SDS</v>
      </c>
      <c r="Q72" s="117" t="str">
        <f>TaskTimings[TSK]</f>
        <v>Modification</v>
      </c>
    </row>
    <row r="73" spans="1:17" x14ac:dyDescent="0.25">
      <c r="A73" s="116">
        <f>IFERROR($A72+1,1)</f>
        <v>72</v>
      </c>
      <c r="B73" s="117" t="str">
        <f>VLOOKUP(TaskTimings[Task],ProjectTasks[[TaskProjectCode]:[TSK]],2,0)</f>
        <v>SDS</v>
      </c>
      <c r="C73" s="117" t="str">
        <f>VLOOKUP(TaskTimings[Task],ProjectTasks[[TaskProjectCode]:[TSK]],3,0)</f>
        <v>Modification</v>
      </c>
      <c r="D73" s="117" t="str">
        <f>TaskTimings[Employee]&amp;"/"&amp;TaskTimings[Date]</f>
        <v>Aswathy/43447</v>
      </c>
      <c r="E73" s="117">
        <f>COUNTIF($D$1:TaskTimings[[#This Row],[EmployeeDate]],TaskTimings[[#This Row],[EmployeeDate]])</f>
        <v>1</v>
      </c>
      <c r="F73" s="117" t="str">
        <f>TaskTimings[[#This Row],[EmployeeDate]]&amp;"/"&amp;TaskTimings[[#This Row],[EmployeeDateSeq]]</f>
        <v>Aswathy/43447/1</v>
      </c>
      <c r="G73" s="118" t="s">
        <v>94</v>
      </c>
      <c r="H73" s="118" t="s">
        <v>54</v>
      </c>
      <c r="I73" s="119">
        <v>43447</v>
      </c>
      <c r="J73" s="120">
        <v>0.3888888888888889</v>
      </c>
      <c r="K73" s="122">
        <v>0.50694444444444442</v>
      </c>
      <c r="L73" s="121">
        <f>(TaskTimings[End Time]-TaskTimings[Start Time])*1440</f>
        <v>169.99999999999994</v>
      </c>
      <c r="M73" s="121" t="str">
        <f>TEXT(TaskTimings[End Time]-TaskTimings[Start Time],"HH:mm")</f>
        <v>02:50</v>
      </c>
      <c r="N73" s="121">
        <f>SUMIFS(TaskTimings[Total Minutes],TaskTimings[Date],TaskTimings[Date],TaskTimings[Employee],TaskTimings[Employee])</f>
        <v>169.99999999999994</v>
      </c>
      <c r="O73" s="121" t="str">
        <f>TEXT(TaskTimings[Day Total Minutes]/1440,"HH:mm")</f>
        <v>02:50</v>
      </c>
      <c r="P73" s="117" t="str">
        <f>TaskTimings[PRJ]</f>
        <v>SDS</v>
      </c>
      <c r="Q73" s="117" t="str">
        <f>TaskTimings[TSK]</f>
        <v>Modification</v>
      </c>
    </row>
  </sheetData>
  <dataValidations count="2">
    <dataValidation type="list" allowBlank="1" showInputMessage="1" showErrorMessage="1" sqref="H2:H73">
      <formula1>EmployeeNames</formula1>
    </dataValidation>
    <dataValidation type="list" allowBlank="1" showInputMessage="1" showErrorMessage="1" sqref="G2:G73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28"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145" t="s">
        <v>5</v>
      </c>
      <c r="B1" s="145"/>
      <c r="C1" s="145"/>
      <c r="D1" s="145"/>
      <c r="E1" s="145"/>
    </row>
    <row r="2" spans="1:16" x14ac:dyDescent="0.25">
      <c r="A2" s="145"/>
      <c r="B2" s="145"/>
      <c r="C2" s="145"/>
      <c r="D2" s="145"/>
      <c r="E2" s="145"/>
      <c r="J2" s="130" t="s">
        <v>33</v>
      </c>
      <c r="K2" s="130"/>
      <c r="L2" s="130"/>
    </row>
    <row r="3" spans="1:16" x14ac:dyDescent="0.25">
      <c r="A3" s="145"/>
      <c r="B3" s="145"/>
      <c r="C3" s="145"/>
      <c r="D3" s="145"/>
      <c r="E3" s="145"/>
      <c r="J3" s="130"/>
      <c r="K3" s="130"/>
      <c r="L3" s="130"/>
    </row>
    <row r="4" spans="1:16" ht="15.75" thickBot="1" x14ac:dyDescent="0.3">
      <c r="A4" s="146" t="str">
        <f>VLOOKUP($A$1,Project[[Project]:[Project Code]],2,0)</f>
        <v>TEEBPD</v>
      </c>
      <c r="B4" s="146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137" t="s">
        <v>31</v>
      </c>
      <c r="B5" s="147" t="s">
        <v>29</v>
      </c>
      <c r="C5" s="147"/>
      <c r="D5" s="147"/>
      <c r="E5" s="147"/>
      <c r="F5" s="147"/>
      <c r="G5" s="126" t="s">
        <v>32</v>
      </c>
      <c r="H5" s="128"/>
      <c r="J5" s="137" t="str">
        <f>IFERROR(VLOOKUP(J$4,Employees[],2,0),"")</f>
        <v>Aswathy</v>
      </c>
      <c r="K5" s="126" t="str">
        <f>IFERROR(VLOOKUP(K$4,Employees[],2,0),"")</f>
        <v>Vishnu</v>
      </c>
      <c r="L5" s="126" t="str">
        <f>IFERROR(VLOOKUP(L$4,Employees[],2,0),"")</f>
        <v>Shareena</v>
      </c>
      <c r="M5" s="126" t="str">
        <f>IFERROR(VLOOKUP(M$4,Employees[],2,0),"")</f>
        <v>Firose</v>
      </c>
      <c r="N5" s="126" t="str">
        <f>IFERROR(VLOOKUP(N$4,Employees[],2,0),"")</f>
        <v/>
      </c>
      <c r="O5" s="126" t="str">
        <f>IFERROR(VLOOKUP(O$4,Employees[],2,0),"")</f>
        <v/>
      </c>
      <c r="P5" s="128" t="str">
        <f>IFERROR(VLOOKUP(P$4,Employees[],2,0),"")</f>
        <v/>
      </c>
    </row>
    <row r="6" spans="1:16" x14ac:dyDescent="0.25">
      <c r="A6" s="138"/>
      <c r="B6" s="148"/>
      <c r="C6" s="148"/>
      <c r="D6" s="148"/>
      <c r="E6" s="148"/>
      <c r="F6" s="148"/>
      <c r="G6" s="127"/>
      <c r="H6" s="129"/>
      <c r="J6" s="138"/>
      <c r="K6" s="127"/>
      <c r="L6" s="127"/>
      <c r="M6" s="127"/>
      <c r="N6" s="127"/>
      <c r="O6" s="127"/>
      <c r="P6" s="129"/>
    </row>
    <row r="7" spans="1:16" x14ac:dyDescent="0.25">
      <c r="A7" s="12">
        <v>1</v>
      </c>
      <c r="B7" s="141" t="str">
        <f>IFERROR(VLOOKUP($A$4&amp;"-"&amp;$A7,ProjectTasks[[PRJTSKSEQ]:[Task]],2,0),"")</f>
        <v>Theme Designing</v>
      </c>
      <c r="C7" s="141"/>
      <c r="D7" s="141"/>
      <c r="E7" s="141"/>
      <c r="F7" s="141"/>
      <c r="G7" s="139">
        <f>SUMIFS(TaskTimings[Total Minutes],TaskTimings[PRJ],$A$4,TaskTimings[TSK],$B7)</f>
        <v>0</v>
      </c>
      <c r="H7" s="140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141" t="str">
        <f>IFERROR(VLOOKUP($A$4&amp;"-"&amp;$A8,ProjectTasks[[PRJTSKSEQ]:[Task]],2,0),"")</f>
        <v>Database Structure Designing</v>
      </c>
      <c r="C8" s="141"/>
      <c r="D8" s="141"/>
      <c r="E8" s="141"/>
      <c r="F8" s="141"/>
      <c r="G8" s="139">
        <f>SUMIFS(TaskTimings[Total Minutes],TaskTimings[PRJ],$A$4,TaskTimings[TSK],$B8)</f>
        <v>0</v>
      </c>
      <c r="H8" s="140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141" t="str">
        <f>IFERROR(VLOOKUP($A$4&amp;"-"&amp;$A9,ProjectTasks[[PRJTSKSEQ]:[Task]],2,0),"")</f>
        <v>Appframe configuration</v>
      </c>
      <c r="C9" s="141"/>
      <c r="D9" s="141"/>
      <c r="E9" s="141"/>
      <c r="F9" s="141"/>
      <c r="G9" s="139">
        <f>SUMIFS(TaskTimings[Total Minutes],TaskTimings[PRJ],$A$4,TaskTimings[TSK],$B9)</f>
        <v>0</v>
      </c>
      <c r="H9" s="140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141" t="str">
        <f>IFERROR(VLOOKUP($A$4&amp;"-"&amp;$A10,ProjectTasks[[PRJTSKSEQ]:[Task]],2,0),"")</f>
        <v>Inhouse Testing</v>
      </c>
      <c r="C10" s="141"/>
      <c r="D10" s="141"/>
      <c r="E10" s="141"/>
      <c r="F10" s="141"/>
      <c r="G10" s="139">
        <f>SUMIFS(TaskTimings[Total Minutes],TaskTimings[PRJ],$A$4,TaskTimings[TSK],$B10)</f>
        <v>239.99999999999994</v>
      </c>
      <c r="H10" s="140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59.999999999999943</v>
      </c>
      <c r="M10" s="16">
        <f>SUMIFS(TaskTimings[Total Minutes],TaskTimings[PRJ],$A$4,TaskTimings[TSK],$B10,TaskTimings[Employee],M$5)</f>
        <v>180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141" t="str">
        <f>IFERROR(VLOOKUP($A$4&amp;"-"&amp;$A11,ProjectTasks[[PRJTSKSEQ]:[Task]],2,0),"")</f>
        <v>Client Demonstration</v>
      </c>
      <c r="C11" s="141"/>
      <c r="D11" s="141"/>
      <c r="E11" s="141"/>
      <c r="F11" s="141"/>
      <c r="G11" s="139">
        <f>SUMIFS(TaskTimings[Total Minutes],TaskTimings[PRJ],$A$4,TaskTimings[TSK],$B11)</f>
        <v>0</v>
      </c>
      <c r="H11" s="140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141" t="str">
        <f>IFERROR(VLOOKUP($A$4&amp;"-"&amp;$A12,ProjectTasks[[PRJTSKSEQ]:[Task]],2,0),"")</f>
        <v>Client Suggestion Implementation</v>
      </c>
      <c r="C12" s="141"/>
      <c r="D12" s="141"/>
      <c r="E12" s="141"/>
      <c r="F12" s="141"/>
      <c r="G12" s="139">
        <f>SUMIFS(TaskTimings[Total Minutes],TaskTimings[PRJ],$A$4,TaskTimings[TSK],$B12)</f>
        <v>1200</v>
      </c>
      <c r="H12" s="140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1200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141" t="str">
        <f>IFERROR(VLOOKUP($A$4&amp;"-"&amp;$A13,ProjectTasks[[PRJTSKSEQ]:[Task]],2,0),"")</f>
        <v>Finalizing</v>
      </c>
      <c r="C13" s="141"/>
      <c r="D13" s="141"/>
      <c r="E13" s="141"/>
      <c r="F13" s="141"/>
      <c r="G13" s="139">
        <f>SUMIFS(TaskTimings[Total Minutes],TaskTimings[PRJ],$A$4,TaskTimings[TSK],$B13)</f>
        <v>839.99999999999989</v>
      </c>
      <c r="H13" s="140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839.99999999999989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141" t="str">
        <f>IFERROR(VLOOKUP($A$4&amp;"-"&amp;$A14,ProjectTasks[[PRJTSKSEQ]:[Task]],2,0),"")</f>
        <v>Synchronization Implementing</v>
      </c>
      <c r="C14" s="141"/>
      <c r="D14" s="141"/>
      <c r="E14" s="141"/>
      <c r="F14" s="141"/>
      <c r="G14" s="139">
        <f>SUMIFS(TaskTimings[Total Minutes],TaskTimings[PRJ],$A$4,TaskTimings[TSK],$B14)</f>
        <v>480.00000000000006</v>
      </c>
      <c r="H14" s="140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480.00000000000006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141" t="str">
        <f>IFERROR(VLOOKUP($A$4&amp;"-"&amp;$A15,ProjectTasks[[PRJTSKSEQ]:[Task]],2,0),"")</f>
        <v>Table syncing</v>
      </c>
      <c r="C15" s="141"/>
      <c r="D15" s="141"/>
      <c r="E15" s="141"/>
      <c r="F15" s="141"/>
      <c r="G15" s="139">
        <f>SUMIFS(TaskTimings[Total Minutes],TaskTimings[PRJ],$A$4,TaskTimings[TSK],$B15)</f>
        <v>181.99999999999983</v>
      </c>
      <c r="H15" s="140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181.99999999999983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141" t="str">
        <f>IFERROR(VLOOKUP($A$4&amp;"-"&amp;$A16,ProjectTasks[[PRJTSKSEQ]:[Task]],2,0),"")</f>
        <v/>
      </c>
      <c r="C16" s="141"/>
      <c r="D16" s="141"/>
      <c r="E16" s="141"/>
      <c r="F16" s="141"/>
      <c r="G16" s="139">
        <f>SUMIFS(TaskTimings[Total Minutes],TaskTimings[PRJ],$A$4,TaskTimings[TSK],$B16)</f>
        <v>0</v>
      </c>
      <c r="H16" s="140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141" t="str">
        <f>IFERROR(VLOOKUP($A$4&amp;"-"&amp;$A17,ProjectTasks[[PRJTSKSEQ]:[Task]],2,0),"")</f>
        <v/>
      </c>
      <c r="C17" s="141"/>
      <c r="D17" s="141"/>
      <c r="E17" s="141"/>
      <c r="F17" s="141"/>
      <c r="G17" s="139">
        <f>SUMIFS(TaskTimings[Total Minutes],TaskTimings[PRJ],$A$4,TaskTimings[TSK],$B17)</f>
        <v>0</v>
      </c>
      <c r="H17" s="140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141" t="str">
        <f>IFERROR(VLOOKUP($A$4&amp;"-"&amp;$A18,ProjectTasks[[PRJTSKSEQ]:[Task]],2,0),"")</f>
        <v/>
      </c>
      <c r="C18" s="141"/>
      <c r="D18" s="141"/>
      <c r="E18" s="141"/>
      <c r="F18" s="141"/>
      <c r="G18" s="139">
        <f>SUMIFS(TaskTimings[Total Minutes],TaskTimings[PRJ],$A$4,TaskTimings[TSK],$B18)</f>
        <v>0</v>
      </c>
      <c r="H18" s="140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141" t="str">
        <f>IFERROR(VLOOKUP($A$4&amp;"-"&amp;$A19,ProjectTasks[[PRJTSKSEQ]:[Task]],2,0),"")</f>
        <v/>
      </c>
      <c r="C19" s="141"/>
      <c r="D19" s="141"/>
      <c r="E19" s="141"/>
      <c r="F19" s="141"/>
      <c r="G19" s="139">
        <f>SUMIFS(TaskTimings[Total Minutes],TaskTimings[PRJ],$A$4,TaskTimings[TSK],$B19)</f>
        <v>0</v>
      </c>
      <c r="H19" s="140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141" t="str">
        <f>IFERROR(VLOOKUP($A$4&amp;"-"&amp;$A20,ProjectTasks[[PRJTSKSEQ]:[Task]],2,0),"")</f>
        <v/>
      </c>
      <c r="C20" s="141"/>
      <c r="D20" s="141"/>
      <c r="E20" s="141"/>
      <c r="F20" s="141"/>
      <c r="G20" s="139">
        <f>SUMIFS(TaskTimings[Total Minutes],TaskTimings[PRJ],$A$4,TaskTimings[TSK],$B20)</f>
        <v>0</v>
      </c>
      <c r="H20" s="140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144" t="str">
        <f>IFERROR(VLOOKUP($A$4&amp;"-"&amp;$A21,ProjectTasks[[PRJTSKSEQ]:[Task]],2,0),"")</f>
        <v/>
      </c>
      <c r="C21" s="144"/>
      <c r="D21" s="144"/>
      <c r="E21" s="144"/>
      <c r="F21" s="144"/>
      <c r="G21" s="142">
        <f>SUMIFS(TaskTimings[Total Minutes],TaskTimings[PRJ],$A$4,TaskTimings[TSK],$B21)</f>
        <v>0</v>
      </c>
      <c r="H21" s="143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131" t="s">
        <v>24</v>
      </c>
      <c r="E23" s="132"/>
      <c r="F23" s="133"/>
      <c r="G23" s="131">
        <f>SUM(G7:H21)</f>
        <v>2942</v>
      </c>
      <c r="H23" s="133"/>
      <c r="J23" s="124">
        <f>SUM(J7:J21)</f>
        <v>0</v>
      </c>
      <c r="K23" s="124">
        <f t="shared" ref="K23:P23" si="0">SUM(K7:K21)</f>
        <v>0</v>
      </c>
      <c r="L23" s="124">
        <f t="shared" si="0"/>
        <v>241.99999999999977</v>
      </c>
      <c r="M23" s="124">
        <f t="shared" si="0"/>
        <v>2700</v>
      </c>
      <c r="N23" s="124">
        <f t="shared" si="0"/>
        <v>0</v>
      </c>
      <c r="O23" s="124">
        <f t="shared" si="0"/>
        <v>0</v>
      </c>
      <c r="P23" s="124">
        <f t="shared" si="0"/>
        <v>0</v>
      </c>
    </row>
    <row r="24" spans="1:16" ht="15.75" thickBot="1" x14ac:dyDescent="0.3">
      <c r="D24" s="134"/>
      <c r="E24" s="135"/>
      <c r="F24" s="136"/>
      <c r="G24" s="134"/>
      <c r="H24" s="136"/>
      <c r="J24" s="125"/>
      <c r="K24" s="125"/>
      <c r="L24" s="125"/>
      <c r="M24" s="125"/>
      <c r="N24" s="125"/>
      <c r="O24" s="125"/>
      <c r="P24" s="125"/>
    </row>
  </sheetData>
  <mergeCells count="52">
    <mergeCell ref="A1:E3"/>
    <mergeCell ref="B7:F7"/>
    <mergeCell ref="A4:B4"/>
    <mergeCell ref="B8:F8"/>
    <mergeCell ref="B9:F9"/>
    <mergeCell ref="B5:F6"/>
    <mergeCell ref="A5:A6"/>
    <mergeCell ref="B21:F21"/>
    <mergeCell ref="B10:F10"/>
    <mergeCell ref="B11:F11"/>
    <mergeCell ref="B12:F12"/>
    <mergeCell ref="B13:F13"/>
    <mergeCell ref="B14:F14"/>
    <mergeCell ref="B15:F15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M23:M24"/>
    <mergeCell ref="G17:H17"/>
    <mergeCell ref="G18:H18"/>
    <mergeCell ref="G19:H19"/>
    <mergeCell ref="G20:H20"/>
    <mergeCell ref="G21:H21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N23:N24"/>
    <mergeCell ref="O23:O24"/>
    <mergeCell ref="P23:P24"/>
    <mergeCell ref="N5:N6"/>
    <mergeCell ref="O5:O6"/>
    <mergeCell ref="P5:P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sqref="A1:D3"/>
    </sheetView>
  </sheetViews>
  <sheetFormatPr defaultRowHeight="15" x14ac:dyDescent="0.25"/>
  <cols>
    <col min="10" max="10" width="10.5703125" customWidth="1"/>
  </cols>
  <sheetData>
    <row r="1" spans="1:28" x14ac:dyDescent="0.25">
      <c r="A1" s="151" t="s">
        <v>16</v>
      </c>
      <c r="B1" s="151"/>
      <c r="C1" s="151"/>
      <c r="D1" s="151"/>
      <c r="F1" s="153" t="s">
        <v>35</v>
      </c>
      <c r="G1" s="153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51"/>
      <c r="B2" s="151"/>
      <c r="C2" s="151"/>
      <c r="D2" s="151"/>
      <c r="F2" s="152">
        <v>43444</v>
      </c>
      <c r="G2" s="152"/>
      <c r="I2" s="169">
        <f>SUM(I7:I30)</f>
        <v>661.99999999999977</v>
      </c>
      <c r="J2" s="163" t="str">
        <f>INT($I$2/60)&amp;":"&amp;MOD(INT($I$2),60)</f>
        <v>11:2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51"/>
      <c r="B3" s="151"/>
      <c r="C3" s="151"/>
      <c r="D3" s="151"/>
      <c r="F3" s="152"/>
      <c r="G3" s="152"/>
      <c r="I3" s="170"/>
      <c r="J3" s="164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130" t="s">
        <v>44</v>
      </c>
      <c r="L4" s="130"/>
      <c r="M4" s="130"/>
    </row>
    <row r="5" spans="1:28" ht="15.75" thickBot="1" x14ac:dyDescent="0.3">
      <c r="B5" s="130" t="s">
        <v>45</v>
      </c>
      <c r="C5" s="130"/>
      <c r="D5" s="130"/>
      <c r="E5" s="130"/>
      <c r="F5" s="130"/>
      <c r="K5" s="149"/>
      <c r="L5" s="149"/>
      <c r="M5" s="149"/>
    </row>
    <row r="6" spans="1:28" ht="15.75" thickBot="1" x14ac:dyDescent="0.3">
      <c r="A6" s="14">
        <v>1</v>
      </c>
      <c r="B6" s="150"/>
      <c r="C6" s="150"/>
      <c r="D6" s="150"/>
      <c r="E6" s="150"/>
      <c r="F6" s="150"/>
      <c r="J6" s="25"/>
      <c r="K6" s="32" t="s">
        <v>0</v>
      </c>
      <c r="L6" s="160" t="s">
        <v>4</v>
      </c>
      <c r="M6" s="160"/>
      <c r="N6" s="33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54">
        <f>$F$2</f>
        <v>43444</v>
      </c>
      <c r="C7" s="126"/>
      <c r="D7" s="155" t="str">
        <f>IFERROR(VLOOKUP($A$1&amp;"/"&amp;$B$7&amp;"/"&amp;$A6,TaskTimings[[EmployeeDateSeqCode]:[Task]],2,0),"")</f>
        <v>TKT/Package Creation-Stage1</v>
      </c>
      <c r="E7" s="155"/>
      <c r="F7" s="155"/>
      <c r="G7" s="155"/>
      <c r="H7" s="23">
        <f>IFERROR(VLOOKUP($A$1&amp;"/"&amp;$B$7&amp;"/"&amp;$A6,TaskTimings[[EmployeeDateSeqCode]:[Total Minutes]],7,0),0)</f>
        <v>164.99999999999997</v>
      </c>
      <c r="I7" s="162">
        <f>SUM(H7:H10)</f>
        <v>314.99999999999989</v>
      </c>
      <c r="J7" s="25"/>
      <c r="K7" s="70">
        <v>1</v>
      </c>
      <c r="L7" s="165" t="str">
        <f>IFERROR(VLOOKUP($K7,$X$7:$Y$30,2,0),"")</f>
        <v>TKT</v>
      </c>
      <c r="M7" s="165"/>
      <c r="N7" s="72">
        <f>SUMIFS($AB$7:$AB$30,$Y$7:$Y$30,$L7)</f>
        <v>479.99999999999989</v>
      </c>
      <c r="O7" s="25"/>
      <c r="P7" s="25"/>
      <c r="Q7" s="25"/>
      <c r="R7" s="25"/>
      <c r="S7" s="25"/>
      <c r="T7" s="25"/>
      <c r="U7" s="77">
        <f>IF(COUNTIFS($D$6:$D7,D7)=1,1,0)</f>
        <v>1</v>
      </c>
      <c r="V7" s="78" t="str">
        <f>IF($U7=0,"",VLOOKUP($D7,TaskTimings[[Task]:[PRJLST]],10,0))</f>
        <v>TKT</v>
      </c>
      <c r="W7" s="79">
        <f>IF($V7="","",COUNTIF($V7:$V$7,$V7))</f>
        <v>1</v>
      </c>
      <c r="X7" s="79">
        <f>IF($W7=1,MAX($X$6:$X6)+1,"")</f>
        <v>1</v>
      </c>
      <c r="Y7" s="80" t="str">
        <f>IF($W7="","",$V7)</f>
        <v>TKT</v>
      </c>
      <c r="Z7" s="78" t="str">
        <f>IF($Y7="","",$Y7&amp;"/"&amp;COUNTIF($Y$7:$Y7,$Y7))</f>
        <v>TKT/1</v>
      </c>
      <c r="AA7" s="78" t="str">
        <f>IF($Z7="","",VLOOKUP($D7,TaskTimings[[Task]:[TSKLST]],11,0))</f>
        <v>Package Creation-Stage1</v>
      </c>
      <c r="AB7" s="81">
        <f>IF($AA7="",0,SUMIFS($H$7:$H$30,$D$7:$D$30,$Y7&amp;"/"&amp;$AA7))</f>
        <v>314.99999999999989</v>
      </c>
    </row>
    <row r="8" spans="1:28" x14ac:dyDescent="0.25">
      <c r="A8" s="14">
        <v>3</v>
      </c>
      <c r="B8" s="138"/>
      <c r="C8" s="127"/>
      <c r="D8" s="156" t="str">
        <f>IFERROR(VLOOKUP($A$1&amp;"/"&amp;$B$7&amp;"/"&amp;$A7,TaskTimings[[EmployeeDateSeqCode]:[Task]],2,0),"")</f>
        <v>TKT/Package Creation-Stage1</v>
      </c>
      <c r="E8" s="156"/>
      <c r="F8" s="156"/>
      <c r="G8" s="156"/>
      <c r="H8" s="22">
        <f>IFERROR(VLOOKUP($A$1&amp;"/"&amp;$B$7&amp;"/"&amp;$A7,TaskTimings[[EmployeeDateSeqCode]:[Total Minutes]],7,0),0)</f>
        <v>149.99999999999994</v>
      </c>
      <c r="I8" s="163"/>
      <c r="J8" s="25"/>
      <c r="K8" s="70">
        <v>2</v>
      </c>
      <c r="L8" s="165" t="str">
        <f>IFERROR(VLOOKUP($K8,$X$7:$Y$30,2,0),"")</f>
        <v>TEEBPD</v>
      </c>
      <c r="M8" s="165"/>
      <c r="N8" s="72">
        <f>SUMIFS($AB$7:$AB$30,$Y$7:$Y$30,$L8)</f>
        <v>181.99999999999983</v>
      </c>
      <c r="O8" s="25"/>
      <c r="P8" s="25"/>
      <c r="Q8" s="25"/>
      <c r="R8" s="25"/>
      <c r="S8" s="25"/>
      <c r="T8" s="25"/>
      <c r="U8" s="82">
        <f>IF(COUNTIFS($D$6:$D8,D8)=1,1,0)</f>
        <v>0</v>
      </c>
      <c r="V8" s="83" t="str">
        <f>IF($U8=0,"",VLOOKUP($D8,TaskTimings[[Task]:[PRJLST]],10,0))</f>
        <v/>
      </c>
      <c r="W8" s="84" t="str">
        <f>IF($V8="","",COUNTIF($V$7:$V8,$V8))</f>
        <v/>
      </c>
      <c r="X8" s="84" t="str">
        <f>IF($W8=1,MAX($X$6:$X7)+1,"")</f>
        <v/>
      </c>
      <c r="Y8" s="85" t="str">
        <f t="shared" ref="Y8:Y30" si="0">IF($W8="","",$V8)</f>
        <v/>
      </c>
      <c r="Z8" s="83" t="str">
        <f>IF($Y8="","",$Y8&amp;"/"&amp;COUNTIF($Y$7:$Y8,$Y8))</f>
        <v/>
      </c>
      <c r="AA8" s="83" t="str">
        <f>IF($Z8="","",VLOOKUP($D8,TaskTimings[[Task]:[TSKLST]],11,0))</f>
        <v/>
      </c>
      <c r="AB8" s="86">
        <f t="shared" ref="AB8:AB30" si="1">IF($AA8="",0,SUMIFS($H$7:$H$30,$D$7:$D$30,$Y8&amp;"/"&amp;$AA8))</f>
        <v>0</v>
      </c>
    </row>
    <row r="9" spans="1:28" x14ac:dyDescent="0.25">
      <c r="A9" s="14">
        <v>4</v>
      </c>
      <c r="B9" s="138"/>
      <c r="C9" s="127"/>
      <c r="D9" s="156" t="str">
        <f>IFERROR(VLOOKUP($A$1&amp;"/"&amp;$B$7&amp;"/"&amp;$A8,TaskTimings[[EmployeeDateSeqCode]:[Task]],2,0),"")</f>
        <v/>
      </c>
      <c r="E9" s="156"/>
      <c r="F9" s="156"/>
      <c r="G9" s="156"/>
      <c r="H9" s="22">
        <f>IFERROR(VLOOKUP($A$1&amp;"/"&amp;$B$7&amp;"/"&amp;$A8,TaskTimings[[EmployeeDateSeqCode]:[Total Minutes]],7,0),0)</f>
        <v>0</v>
      </c>
      <c r="I9" s="163"/>
      <c r="J9" s="25"/>
      <c r="K9" s="70">
        <v>3</v>
      </c>
      <c r="L9" s="165" t="str">
        <f>IFERROR(VLOOKUP($K9,$X$7:$Y$30,2,0),"")</f>
        <v/>
      </c>
      <c r="M9" s="165"/>
      <c r="N9" s="72">
        <f>SUMIFS($AB$7:$AB$30,$Y$7:$Y$30,$L9)</f>
        <v>0</v>
      </c>
      <c r="O9" s="25"/>
      <c r="P9" s="25"/>
      <c r="Q9" s="25"/>
      <c r="R9" s="25"/>
      <c r="S9" s="25"/>
      <c r="T9" s="25"/>
      <c r="U9" s="82">
        <f>IF(COUNTIFS($D$6:$D9,D9)=1,1,0)</f>
        <v>0</v>
      </c>
      <c r="V9" s="83" t="str">
        <f>IF($U9=0,"",VLOOKUP($D9,TaskTimings[[Task]:[PRJLST]],10,0))</f>
        <v/>
      </c>
      <c r="W9" s="84" t="str">
        <f>IF($V9="","",COUNTIF($V$7:$V9,$V9))</f>
        <v/>
      </c>
      <c r="X9" s="84" t="str">
        <f>IF($W9=1,MAX($X$6:$X8)+1,"")</f>
        <v/>
      </c>
      <c r="Y9" s="85" t="str">
        <f t="shared" si="0"/>
        <v/>
      </c>
      <c r="Z9" s="83" t="str">
        <f>IF($Y9="","",$Y9&amp;"/"&amp;COUNTIF($Y$7:$Y9,$Y9))</f>
        <v/>
      </c>
      <c r="AA9" s="83" t="str">
        <f>IF($Z9="","",VLOOKUP($D9,TaskTimings[[Task]:[TSKLST]],11,0))</f>
        <v/>
      </c>
      <c r="AB9" s="86">
        <f t="shared" si="1"/>
        <v>0</v>
      </c>
    </row>
    <row r="10" spans="1:28" x14ac:dyDescent="0.25">
      <c r="A10" s="14">
        <v>1</v>
      </c>
      <c r="B10" s="138"/>
      <c r="C10" s="127"/>
      <c r="D10" s="156" t="str">
        <f>IFERROR(VLOOKUP($A$1&amp;"/"&amp;$B$7&amp;"/"&amp;$A9,TaskTimings[[EmployeeDateSeqCode]:[Task]],2,0),"")</f>
        <v/>
      </c>
      <c r="E10" s="156"/>
      <c r="F10" s="156"/>
      <c r="G10" s="156"/>
      <c r="H10" s="22">
        <f>IFERROR(VLOOKUP($A$1&amp;"/"&amp;$B$7&amp;"/"&amp;$A9,TaskTimings[[EmployeeDateSeqCode]:[Total Minutes]],7,0),0)</f>
        <v>0</v>
      </c>
      <c r="I10" s="163"/>
      <c r="J10" s="25"/>
      <c r="K10" s="70">
        <v>4</v>
      </c>
      <c r="L10" s="165" t="str">
        <f>IFERROR(VLOOKUP($K10,$X$7:$Y$30,2,0),"")</f>
        <v/>
      </c>
      <c r="M10" s="165"/>
      <c r="N10" s="72">
        <f>SUMIFS($AB$7:$AB$30,$Y$7:$Y$30,$L10)</f>
        <v>0</v>
      </c>
      <c r="O10" s="25"/>
      <c r="P10" s="25"/>
      <c r="Q10" s="25"/>
      <c r="R10" s="25"/>
      <c r="S10" s="25"/>
      <c r="T10" s="25"/>
      <c r="U10" s="82">
        <f>IF(COUNTIFS($D$6:$D10,D10)=1,1,0)</f>
        <v>0</v>
      </c>
      <c r="V10" s="83" t="str">
        <f>IF($U10=0,"",VLOOKUP($D10,TaskTimings[[Task]:[PRJLST]],10,0))</f>
        <v/>
      </c>
      <c r="W10" s="84" t="str">
        <f>IF($V10="","",COUNTIF($V$7:$V10,$V10))</f>
        <v/>
      </c>
      <c r="X10" s="84" t="str">
        <f>IF($W10=1,MAX($X$6:$X9)+1,"")</f>
        <v/>
      </c>
      <c r="Y10" s="85" t="str">
        <f t="shared" si="0"/>
        <v/>
      </c>
      <c r="Z10" s="83" t="str">
        <f>IF($Y10="","",$Y10&amp;"/"&amp;COUNTIF($Y$7:$Y10,$Y10))</f>
        <v/>
      </c>
      <c r="AA10" s="83" t="str">
        <f>IF($Z10="","",VLOOKUP($D10,TaskTimings[[Task]:[TSKLST]],11,0))</f>
        <v/>
      </c>
      <c r="AB10" s="86">
        <f t="shared" si="1"/>
        <v>0</v>
      </c>
    </row>
    <row r="11" spans="1:28" ht="15.75" thickBot="1" x14ac:dyDescent="0.3">
      <c r="A11" s="14">
        <v>2</v>
      </c>
      <c r="B11" s="157">
        <f>B7+1</f>
        <v>43445</v>
      </c>
      <c r="C11" s="127"/>
      <c r="D11" s="156" t="str">
        <f>IFERROR(VLOOKUP($A$1&amp;"/"&amp;$B$11&amp;"/"&amp;$A10,TaskTimings[[EmployeeDateSeqCode]:[Task]],2,0),"")</f>
        <v>TKT/Package Creation-Stage2(Resource creation)</v>
      </c>
      <c r="E11" s="156"/>
      <c r="F11" s="156"/>
      <c r="G11" s="156"/>
      <c r="H11" s="22">
        <f>IFERROR(VLOOKUP($A$1&amp;"/"&amp;$B$11&amp;"/"&amp;$A10,TaskTimings[[EmployeeDateSeqCode]:[Total Minutes]],7,0),0)</f>
        <v>164.99999999999997</v>
      </c>
      <c r="I11" s="163">
        <f t="shared" ref="I11" si="2">SUM(H11:H14)</f>
        <v>164.99999999999997</v>
      </c>
      <c r="J11" s="25"/>
      <c r="K11" s="71">
        <v>5</v>
      </c>
      <c r="L11" s="168" t="str">
        <f>IFERROR(VLOOKUP($K11,$X$7:$Y$30,2,0),"")</f>
        <v/>
      </c>
      <c r="M11" s="168"/>
      <c r="N11" s="73">
        <f>SUMIFS($AB$7:$AB$30,$Y$7:$Y$30,$L11)</f>
        <v>0</v>
      </c>
      <c r="O11" s="25"/>
      <c r="P11" s="25"/>
      <c r="Q11" s="25"/>
      <c r="R11" s="25"/>
      <c r="S11" s="25"/>
      <c r="T11" s="25"/>
      <c r="U11" s="82">
        <f>IF(COUNTIFS($D$6:$D11,D11)=1,1,0)</f>
        <v>1</v>
      </c>
      <c r="V11" s="83" t="str">
        <f>IF($U11=0,"",VLOOKUP($D11,TaskTimings[[Task]:[PRJLST]],10,0))</f>
        <v>TKT</v>
      </c>
      <c r="W11" s="84">
        <f>IF($V11="","",COUNTIF($V$7:$V11,$V11))</f>
        <v>2</v>
      </c>
      <c r="X11" s="84" t="str">
        <f>IF($W11=1,MAX($X$6:$X10)+1,"")</f>
        <v/>
      </c>
      <c r="Y11" s="85" t="str">
        <f t="shared" si="0"/>
        <v>TKT</v>
      </c>
      <c r="Z11" s="83" t="str">
        <f>IF($Y11="","",$Y11&amp;"/"&amp;COUNTIF($Y$7:$Y11,$Y11))</f>
        <v>TKT/2</v>
      </c>
      <c r="AA11" s="83" t="str">
        <f>IF($Z11="","",VLOOKUP($D11,TaskTimings[[Task]:[TSKLST]],11,0))</f>
        <v>Package Creation-Stage2(Resource creation)</v>
      </c>
      <c r="AB11" s="86">
        <f t="shared" si="1"/>
        <v>164.99999999999997</v>
      </c>
    </row>
    <row r="12" spans="1:28" x14ac:dyDescent="0.25">
      <c r="A12" s="14">
        <v>3</v>
      </c>
      <c r="B12" s="138"/>
      <c r="C12" s="127"/>
      <c r="D12" s="156" t="str">
        <f>IFERROR(VLOOKUP($A$1&amp;"/"&amp;$B$11&amp;"/"&amp;$A11,TaskTimings[[EmployeeDateSeqCode]:[Task]],2,0),"")</f>
        <v/>
      </c>
      <c r="E12" s="156"/>
      <c r="F12" s="156"/>
      <c r="G12" s="156"/>
      <c r="H12" s="22">
        <f>IFERROR(VLOOKUP($A$1&amp;"/"&amp;$B$11&amp;"/"&amp;$A11,TaskTimings[[EmployeeDateSeqCode]:[Total Minutes]],7,0),0)</f>
        <v>0</v>
      </c>
      <c r="I12" s="163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82">
        <f>IF(COUNTIFS($D$6:$D12,D12)=1,1,0)</f>
        <v>0</v>
      </c>
      <c r="V12" s="83" t="str">
        <f>IF($U12=0,"",VLOOKUP($D12,TaskTimings[[Task]:[PRJLST]],10,0))</f>
        <v/>
      </c>
      <c r="W12" s="84" t="str">
        <f>IF($V12="","",COUNTIF($V$7:$V12,$V12))</f>
        <v/>
      </c>
      <c r="X12" s="84" t="str">
        <f>IF($W12=1,MAX($X$6:$X11)+1,"")</f>
        <v/>
      </c>
      <c r="Y12" s="85" t="str">
        <f t="shared" si="0"/>
        <v/>
      </c>
      <c r="Z12" s="83" t="str">
        <f>IF($Y12="","",$Y12&amp;"/"&amp;COUNTIF($Y$7:$Y12,$Y12))</f>
        <v/>
      </c>
      <c r="AA12" s="83" t="str">
        <f>IF($Z12="","",VLOOKUP($D12,TaskTimings[[Task]:[TSKLST]],11,0))</f>
        <v/>
      </c>
      <c r="AB12" s="86">
        <f t="shared" si="1"/>
        <v>0</v>
      </c>
    </row>
    <row r="13" spans="1:28" x14ac:dyDescent="0.25">
      <c r="A13" s="14">
        <v>4</v>
      </c>
      <c r="B13" s="138"/>
      <c r="C13" s="127"/>
      <c r="D13" s="156" t="str">
        <f>IFERROR(VLOOKUP($A$1&amp;"/"&amp;$B$11&amp;"/"&amp;$A12,TaskTimings[[EmployeeDateSeqCode]:[Task]],2,0),"")</f>
        <v/>
      </c>
      <c r="E13" s="156"/>
      <c r="F13" s="156"/>
      <c r="G13" s="156"/>
      <c r="H13" s="22">
        <f>IFERROR(VLOOKUP($A$1&amp;"/"&amp;$B$11&amp;"/"&amp;$A12,TaskTimings[[EmployeeDateSeqCode]:[Total Minutes]],7,0),0)</f>
        <v>0</v>
      </c>
      <c r="I13" s="163"/>
      <c r="J13" s="25"/>
      <c r="K13" s="149" t="s">
        <v>46</v>
      </c>
      <c r="L13" s="149"/>
      <c r="M13" s="149"/>
      <c r="N13" s="149"/>
      <c r="O13" s="25"/>
      <c r="P13" s="25"/>
      <c r="Q13" s="25"/>
      <c r="R13" s="25"/>
      <c r="S13" s="25"/>
      <c r="T13" s="25"/>
      <c r="U13" s="82">
        <f>IF(COUNTIFS($D$6:$D13,D13)=1,1,0)</f>
        <v>0</v>
      </c>
      <c r="V13" s="83" t="str">
        <f>IF($U13=0,"",VLOOKUP($D13,TaskTimings[[Task]:[PRJLST]],10,0))</f>
        <v/>
      </c>
      <c r="W13" s="84" t="str">
        <f>IF($V13="","",COUNTIF($V$7:$V13,$V13))</f>
        <v/>
      </c>
      <c r="X13" s="84" t="str">
        <f>IF($W13=1,MAX($X$6:$X12)+1,"")</f>
        <v/>
      </c>
      <c r="Y13" s="85" t="str">
        <f t="shared" si="0"/>
        <v/>
      </c>
      <c r="Z13" s="83" t="str">
        <f>IF($Y13="","",$Y13&amp;"/"&amp;COUNTIF($Y$7:$Y13,$Y13))</f>
        <v/>
      </c>
      <c r="AA13" s="83" t="str">
        <f>IF($Z13="","",VLOOKUP($D13,TaskTimings[[Task]:[TSKLST]],11,0))</f>
        <v/>
      </c>
      <c r="AB13" s="86">
        <f t="shared" si="1"/>
        <v>0</v>
      </c>
    </row>
    <row r="14" spans="1:28" ht="15.75" thickBot="1" x14ac:dyDescent="0.3">
      <c r="A14" s="14">
        <v>1</v>
      </c>
      <c r="B14" s="138"/>
      <c r="C14" s="127"/>
      <c r="D14" s="156" t="str">
        <f>IFERROR(VLOOKUP($A$1&amp;"/"&amp;$B$11&amp;"/"&amp;$A13,TaskTimings[[EmployeeDateSeqCode]:[Task]],2,0),"")</f>
        <v/>
      </c>
      <c r="E14" s="156"/>
      <c r="F14" s="156"/>
      <c r="G14" s="156"/>
      <c r="H14" s="22">
        <f>IFERROR(VLOOKUP($A$1&amp;"/"&amp;$B$11&amp;"/"&amp;$A13,TaskTimings[[EmployeeDateSeqCode]:[Total Minutes]],7,0),0)</f>
        <v>0</v>
      </c>
      <c r="I14" s="163"/>
      <c r="J14" s="25"/>
      <c r="K14" s="150"/>
      <c r="L14" s="150"/>
      <c r="M14" s="150"/>
      <c r="N14" s="150"/>
      <c r="O14" s="25"/>
      <c r="P14" s="25"/>
      <c r="Q14" s="25"/>
      <c r="R14" s="25"/>
      <c r="S14" s="25"/>
      <c r="T14" s="25"/>
      <c r="U14" s="82">
        <f>IF(COUNTIFS($D$6:$D14,D14)=1,1,0)</f>
        <v>0</v>
      </c>
      <c r="V14" s="83" t="str">
        <f>IF($U14=0,"",VLOOKUP($D14,TaskTimings[[Task]:[PRJLST]],10,0))</f>
        <v/>
      </c>
      <c r="W14" s="84" t="str">
        <f>IF($V14="","",COUNTIF($V$7:$V14,$V14))</f>
        <v/>
      </c>
      <c r="X14" s="84" t="str">
        <f>IF($W14=1,MAX($X$6:$X13)+1,"")</f>
        <v/>
      </c>
      <c r="Y14" s="85" t="str">
        <f t="shared" si="0"/>
        <v/>
      </c>
      <c r="Z14" s="83" t="str">
        <f>IF($Y14="","",$Y14&amp;"/"&amp;COUNTIF($Y$7:$Y14,$Y14))</f>
        <v/>
      </c>
      <c r="AA14" s="83" t="str">
        <f>IF($Z14="","",VLOOKUP($D14,TaskTimings[[Task]:[TSKLST]],11,0))</f>
        <v/>
      </c>
      <c r="AB14" s="86">
        <f t="shared" si="1"/>
        <v>0</v>
      </c>
    </row>
    <row r="15" spans="1:28" x14ac:dyDescent="0.25">
      <c r="A15" s="14">
        <v>2</v>
      </c>
      <c r="B15" s="157">
        <f>B11+1</f>
        <v>43446</v>
      </c>
      <c r="C15" s="127"/>
      <c r="D15" s="156" t="str">
        <f>IFERROR(VLOOKUP($A$1&amp;"/"&amp;$B$15&amp;"/"&amp;$A14,TaskTimings[[EmployeeDateSeqCode]:[Task]],2,0),"")</f>
        <v>TEEBPD/Table syncing</v>
      </c>
      <c r="E15" s="156"/>
      <c r="F15" s="156"/>
      <c r="G15" s="156"/>
      <c r="H15" s="22">
        <f>IFERROR(VLOOKUP($A$1&amp;"/"&amp;$B$15&amp;"/"&amp;$A14,TaskTimings[[EmployeeDateSeqCode]:[Total Minutes]],7,0),0)</f>
        <v>69.999999999999915</v>
      </c>
      <c r="I15" s="163">
        <f t="shared" ref="I15" si="3">SUM(H15:H18)</f>
        <v>181.99999999999983</v>
      </c>
      <c r="J15" s="25"/>
      <c r="K15" s="166" t="s">
        <v>4</v>
      </c>
      <c r="L15" s="167"/>
      <c r="M15" s="167" t="s">
        <v>29</v>
      </c>
      <c r="N15" s="167"/>
      <c r="O15" s="167"/>
      <c r="P15" s="167"/>
      <c r="Q15" s="23" t="s">
        <v>42</v>
      </c>
      <c r="R15" s="27" t="s">
        <v>24</v>
      </c>
      <c r="S15" s="25"/>
      <c r="T15" s="25"/>
      <c r="U15" s="82">
        <f>IF(COUNTIFS($D$6:$D15,D15)=1,1,0)</f>
        <v>1</v>
      </c>
      <c r="V15" s="83" t="str">
        <f>IF($U15=0,"",VLOOKUP($D15,TaskTimings[[Task]:[PRJLST]],10,0))</f>
        <v>TEEBPD</v>
      </c>
      <c r="W15" s="84">
        <f>IF($V15="","",COUNTIF($V$7:$V15,$V15))</f>
        <v>1</v>
      </c>
      <c r="X15" s="84">
        <f>IF($W15=1,MAX($X$6:$X14)+1,"")</f>
        <v>2</v>
      </c>
      <c r="Y15" s="85" t="str">
        <f t="shared" si="0"/>
        <v>TEEBPD</v>
      </c>
      <c r="Z15" s="83" t="str">
        <f>IF($Y15="","",$Y15&amp;"/"&amp;COUNTIF($Y$7:$Y15,$Y15))</f>
        <v>TEEBPD/1</v>
      </c>
      <c r="AA15" s="83" t="str">
        <f>IF($Z15="","",VLOOKUP($D15,TaskTimings[[Task]:[TSKLST]],11,0))</f>
        <v>Table syncing</v>
      </c>
      <c r="AB15" s="86">
        <f t="shared" si="1"/>
        <v>181.99999999999983</v>
      </c>
    </row>
    <row r="16" spans="1:28" x14ac:dyDescent="0.25">
      <c r="A16" s="14">
        <v>3</v>
      </c>
      <c r="B16" s="138"/>
      <c r="C16" s="127"/>
      <c r="D16" s="156" t="str">
        <f>IFERROR(VLOOKUP($A$1&amp;"/"&amp;$B$15&amp;"/"&amp;$A15,TaskTimings[[EmployeeDateSeqCode]:[Task]],2,0),"")</f>
        <v>TEEBPD/Table syncing</v>
      </c>
      <c r="E16" s="156"/>
      <c r="F16" s="156"/>
      <c r="G16" s="156"/>
      <c r="H16" s="22">
        <f>IFERROR(VLOOKUP($A$1&amp;"/"&amp;$B$15&amp;"/"&amp;$A15,TaskTimings[[EmployeeDateSeqCode]:[Total Minutes]],7,0),0)</f>
        <v>111.99999999999991</v>
      </c>
      <c r="I16" s="163"/>
      <c r="J16" s="26">
        <v>1</v>
      </c>
      <c r="K16" s="171" t="str">
        <f>VLOOKUP(1,$K$7:$M$11,2,0)</f>
        <v>TKT</v>
      </c>
      <c r="L16" s="139"/>
      <c r="M16" s="165" t="str">
        <f>IF($K$16="","",IFERROR(VLOOKUP($K$16&amp;"/"&amp;$J16,$Z$7:$AA$30,2,0),""))</f>
        <v>Package Creation-Stage1</v>
      </c>
      <c r="N16" s="165"/>
      <c r="O16" s="165"/>
      <c r="P16" s="165"/>
      <c r="Q16" s="22">
        <f>IF($M16="","",SUMIFS($H$7:$H$30,$D$7:$D$30,$K$16&amp;"/"&amp;$M16))</f>
        <v>314.99999999999989</v>
      </c>
      <c r="R16" s="163">
        <f>SUM(Q16:Q19)</f>
        <v>479.99999999999989</v>
      </c>
      <c r="S16" s="30"/>
      <c r="T16" s="31"/>
      <c r="U16" s="82">
        <f>IF(COUNTIFS($D$6:$D16,D16)=1,1,0)</f>
        <v>0</v>
      </c>
      <c r="V16" s="83" t="str">
        <f>IF($U16=0,"",VLOOKUP($D16,TaskTimings[[Task]:[PRJLST]],10,0))</f>
        <v/>
      </c>
      <c r="W16" s="84" t="str">
        <f>IF($V16="","",COUNTIF($V$7:$V16,$V16))</f>
        <v/>
      </c>
      <c r="X16" s="84" t="str">
        <f>IF($W16=1,MAX($X$6:$X15)+1,"")</f>
        <v/>
      </c>
      <c r="Y16" s="85" t="str">
        <f t="shared" si="0"/>
        <v/>
      </c>
      <c r="Z16" s="83" t="str">
        <f>IF($Y16="","",$Y16&amp;"/"&amp;COUNTIF($Y$7:$Y16,$Y16))</f>
        <v/>
      </c>
      <c r="AA16" s="83" t="str">
        <f>IF($Z16="","",VLOOKUP($D16,TaskTimings[[Task]:[TSKLST]],11,0))</f>
        <v/>
      </c>
      <c r="AB16" s="86">
        <f t="shared" si="1"/>
        <v>0</v>
      </c>
    </row>
    <row r="17" spans="1:28" x14ac:dyDescent="0.25">
      <c r="A17" s="14">
        <v>4</v>
      </c>
      <c r="B17" s="138"/>
      <c r="C17" s="127"/>
      <c r="D17" s="156" t="str">
        <f>IFERROR(VLOOKUP($A$1&amp;"/"&amp;$B$15&amp;"/"&amp;$A16,TaskTimings[[EmployeeDateSeqCode]:[Task]],2,0),"")</f>
        <v/>
      </c>
      <c r="E17" s="156"/>
      <c r="F17" s="156"/>
      <c r="G17" s="156"/>
      <c r="H17" s="22">
        <f>IFERROR(VLOOKUP($A$1&amp;"/"&amp;$B$15&amp;"/"&amp;$A16,TaskTimings[[EmployeeDateSeqCode]:[Total Minutes]],7,0),0)</f>
        <v>0</v>
      </c>
      <c r="I17" s="163"/>
      <c r="J17" s="26">
        <v>2</v>
      </c>
      <c r="K17" s="171"/>
      <c r="L17" s="139"/>
      <c r="M17" s="165" t="str">
        <f>IF($K$16="","",IFERROR(VLOOKUP($K$16&amp;"/"&amp;$J17,$Z$7:$AA$30,2,0),""))</f>
        <v>Package Creation-Stage2(Resource creation)</v>
      </c>
      <c r="N17" s="165"/>
      <c r="O17" s="165"/>
      <c r="P17" s="165"/>
      <c r="Q17" s="22">
        <f>IF($M17="","",SUMIFS($H$7:$H$30,$D$7:$D$30,$K$16&amp;"/"&amp;$M17))</f>
        <v>164.99999999999997</v>
      </c>
      <c r="R17" s="163"/>
      <c r="S17" s="30"/>
      <c r="T17" s="31"/>
      <c r="U17" s="82">
        <f>IF(COUNTIFS($D$6:$D17,D17)=1,1,0)</f>
        <v>0</v>
      </c>
      <c r="V17" s="83" t="str">
        <f>IF($U17=0,"",VLOOKUP($D17,TaskTimings[[Task]:[PRJLST]],10,0))</f>
        <v/>
      </c>
      <c r="W17" s="84" t="str">
        <f>IF($V17="","",COUNTIF($V$7:$V17,$V17))</f>
        <v/>
      </c>
      <c r="X17" s="84" t="str">
        <f>IF($W17=1,MAX($X$6:$X16)+1,"")</f>
        <v/>
      </c>
      <c r="Y17" s="85" t="str">
        <f t="shared" si="0"/>
        <v/>
      </c>
      <c r="Z17" s="83" t="str">
        <f>IF($Y17="","",$Y17&amp;"/"&amp;COUNTIF($Y$7:$Y17,$Y17))</f>
        <v/>
      </c>
      <c r="AA17" s="83" t="str">
        <f>IF($Z17="","",VLOOKUP($D17,TaskTimings[[Task]:[TSKLST]],11,0))</f>
        <v/>
      </c>
      <c r="AB17" s="86">
        <f t="shared" si="1"/>
        <v>0</v>
      </c>
    </row>
    <row r="18" spans="1:28" x14ac:dyDescent="0.25">
      <c r="A18" s="14">
        <v>1</v>
      </c>
      <c r="B18" s="138"/>
      <c r="C18" s="127"/>
      <c r="D18" s="156" t="str">
        <f>IFERROR(VLOOKUP($A$1&amp;"/"&amp;$B$15&amp;"/"&amp;$A17,TaskTimings[[EmployeeDateSeqCode]:[Task]],2,0),"")</f>
        <v/>
      </c>
      <c r="E18" s="156"/>
      <c r="F18" s="156"/>
      <c r="G18" s="156"/>
      <c r="H18" s="22">
        <f>IFERROR(VLOOKUP($A$1&amp;"/"&amp;$B$15&amp;"/"&amp;$A17,TaskTimings[[EmployeeDateSeqCode]:[Total Minutes]],7,0),0)</f>
        <v>0</v>
      </c>
      <c r="I18" s="163"/>
      <c r="J18" s="26">
        <v>3</v>
      </c>
      <c r="K18" s="171"/>
      <c r="L18" s="139"/>
      <c r="M18" s="165" t="str">
        <f>IF($K$16="","",IFERROR(VLOOKUP($K$16&amp;"/"&amp;$J18,$Z$7:$AA$30,2,0),""))</f>
        <v/>
      </c>
      <c r="N18" s="165"/>
      <c r="O18" s="165"/>
      <c r="P18" s="165"/>
      <c r="Q18" s="22" t="str">
        <f>IF($M18="","",SUMIFS($H$7:$H$30,$D$7:$D$30,$K$16&amp;"/"&amp;$M18))</f>
        <v/>
      </c>
      <c r="R18" s="163"/>
      <c r="S18" s="30"/>
      <c r="T18" s="31"/>
      <c r="U18" s="82">
        <f>IF(COUNTIFS($D$6:$D18,D18)=1,1,0)</f>
        <v>0</v>
      </c>
      <c r="V18" s="83" t="str">
        <f>IF($U18=0,"",VLOOKUP($D18,TaskTimings[[Task]:[PRJLST]],10,0))</f>
        <v/>
      </c>
      <c r="W18" s="84" t="str">
        <f>IF($V18="","",COUNTIF($V$7:$V18,$V18))</f>
        <v/>
      </c>
      <c r="X18" s="84" t="str">
        <f>IF($W18=1,MAX($X$6:$X17)+1,"")</f>
        <v/>
      </c>
      <c r="Y18" s="85" t="str">
        <f t="shared" si="0"/>
        <v/>
      </c>
      <c r="Z18" s="83" t="str">
        <f>IF($Y18="","",$Y18&amp;"/"&amp;COUNTIF($Y$7:$Y18,$Y18))</f>
        <v/>
      </c>
      <c r="AA18" s="83" t="str">
        <f>IF($Z18="","",VLOOKUP($D18,TaskTimings[[Task]:[TSKLST]],11,0))</f>
        <v/>
      </c>
      <c r="AB18" s="86">
        <f t="shared" si="1"/>
        <v>0</v>
      </c>
    </row>
    <row r="19" spans="1:28" x14ac:dyDescent="0.25">
      <c r="A19" s="14">
        <v>2</v>
      </c>
      <c r="B19" s="157">
        <f>B15+1</f>
        <v>43447</v>
      </c>
      <c r="C19" s="127"/>
      <c r="D19" s="156" t="str">
        <f>IFERROR(VLOOKUP($A$1&amp;"/"&amp;$B$19&amp;"/"&amp;$A18,TaskTimings[[EmployeeDateSeqCode]:[Task]],2,0),"")</f>
        <v/>
      </c>
      <c r="E19" s="156"/>
      <c r="F19" s="156"/>
      <c r="G19" s="156"/>
      <c r="H19" s="22">
        <f>IFERROR(VLOOKUP($A$1&amp;"/"&amp;$B$19&amp;"/"&amp;$A18,TaskTimings[[EmployeeDateSeqCode]:[Total Minutes]],7,0),0)</f>
        <v>0</v>
      </c>
      <c r="I19" s="163">
        <f t="shared" ref="I19" si="4">SUM(H19:H22)</f>
        <v>0</v>
      </c>
      <c r="J19" s="26">
        <v>4</v>
      </c>
      <c r="K19" s="171"/>
      <c r="L19" s="139"/>
      <c r="M19" s="165" t="str">
        <f>IF($K$16="","",IFERROR(VLOOKUP($K$16&amp;"/"&amp;$J19,$Z$7:$AA$30,2,0),""))</f>
        <v/>
      </c>
      <c r="N19" s="165"/>
      <c r="O19" s="165"/>
      <c r="P19" s="165"/>
      <c r="Q19" s="22" t="str">
        <f>IF($M19="","",SUMIFS($H$7:$H$30,$D$7:$D$30,$K$16&amp;"/"&amp;$M19))</f>
        <v/>
      </c>
      <c r="R19" s="163"/>
      <c r="S19" s="30"/>
      <c r="T19" s="31"/>
      <c r="U19" s="82">
        <f>IF(COUNTIFS($D$6:$D19,D19)=1,1,0)</f>
        <v>0</v>
      </c>
      <c r="V19" s="83" t="str">
        <f>IF($U19=0,"",VLOOKUP($D19,TaskTimings[[Task]:[PRJLST]],10,0))</f>
        <v/>
      </c>
      <c r="W19" s="84" t="str">
        <f>IF($V19="","",COUNTIF($V$7:$V19,$V19))</f>
        <v/>
      </c>
      <c r="X19" s="84" t="str">
        <f>IF($W19=1,MAX($X$6:$X18)+1,"")</f>
        <v/>
      </c>
      <c r="Y19" s="85" t="str">
        <f t="shared" si="0"/>
        <v/>
      </c>
      <c r="Z19" s="83" t="str">
        <f>IF($Y19="","",$Y19&amp;"/"&amp;COUNTIF($Y$7:$Y19,$Y19))</f>
        <v/>
      </c>
      <c r="AA19" s="83" t="str">
        <f>IF($Z19="","",VLOOKUP($D19,TaskTimings[[Task]:[TSKLST]],11,0))</f>
        <v/>
      </c>
      <c r="AB19" s="86">
        <f t="shared" si="1"/>
        <v>0</v>
      </c>
    </row>
    <row r="20" spans="1:28" x14ac:dyDescent="0.25">
      <c r="A20" s="14">
        <v>3</v>
      </c>
      <c r="B20" s="138"/>
      <c r="C20" s="127"/>
      <c r="D20" s="156" t="str">
        <f>IFERROR(VLOOKUP($A$1&amp;"/"&amp;$B$19&amp;"/"&amp;$A19,TaskTimings[[EmployeeDateSeqCode]:[Task]],2,0),"")</f>
        <v/>
      </c>
      <c r="E20" s="156"/>
      <c r="F20" s="156"/>
      <c r="G20" s="156"/>
      <c r="H20" s="22">
        <f>IFERROR(VLOOKUP($A$1&amp;"/"&amp;$B$19&amp;"/"&amp;$A19,TaskTimings[[EmployeeDateSeqCode]:[Total Minutes]],7,0),0)</f>
        <v>0</v>
      </c>
      <c r="I20" s="163"/>
      <c r="J20" s="26">
        <v>1</v>
      </c>
      <c r="K20" s="171" t="str">
        <f>VLOOKUP(2,$K$7:$M$11,2,0)</f>
        <v>TEEBPD</v>
      </c>
      <c r="L20" s="139"/>
      <c r="M20" s="165" t="str">
        <f>IF($K$20="","",IFERROR(VLOOKUP($K$20&amp;"/"&amp;$J20,$Z$7:$AA$30,2,0),""))</f>
        <v>Table syncing</v>
      </c>
      <c r="N20" s="165"/>
      <c r="O20" s="165"/>
      <c r="P20" s="165"/>
      <c r="Q20" s="22">
        <f>IF($M20="","",SUMIFS($H$7:$H$30,$D$7:$D$30,$K$20&amp;"/"&amp;$M20))</f>
        <v>181.99999999999983</v>
      </c>
      <c r="R20" s="163">
        <f t="shared" ref="R20" si="5">SUM(Q20:Q23)</f>
        <v>181.99999999999983</v>
      </c>
      <c r="S20" s="25"/>
      <c r="T20" s="25"/>
      <c r="U20" s="82">
        <f>IF(COUNTIFS($D$6:$D20,D20)=1,1,0)</f>
        <v>0</v>
      </c>
      <c r="V20" s="83" t="str">
        <f>IF($U20=0,"",VLOOKUP($D20,TaskTimings[[Task]:[PRJLST]],10,0))</f>
        <v/>
      </c>
      <c r="W20" s="84" t="str">
        <f>IF($V20="","",COUNTIF($V$7:$V20,$V20))</f>
        <v/>
      </c>
      <c r="X20" s="84" t="str">
        <f>IF($W20=1,MAX($X$6:$X19)+1,"")</f>
        <v/>
      </c>
      <c r="Y20" s="85" t="str">
        <f t="shared" si="0"/>
        <v/>
      </c>
      <c r="Z20" s="83" t="str">
        <f>IF($Y20="","",$Y20&amp;"/"&amp;COUNTIF($Y$7:$Y20,$Y20))</f>
        <v/>
      </c>
      <c r="AA20" s="83" t="str">
        <f>IF($Z20="","",VLOOKUP($D20,TaskTimings[[Task]:[TSKLST]],11,0))</f>
        <v/>
      </c>
      <c r="AB20" s="86">
        <f t="shared" si="1"/>
        <v>0</v>
      </c>
    </row>
    <row r="21" spans="1:28" x14ac:dyDescent="0.25">
      <c r="A21" s="14">
        <v>4</v>
      </c>
      <c r="B21" s="138"/>
      <c r="C21" s="127"/>
      <c r="D21" s="156" t="str">
        <f>IFERROR(VLOOKUP($A$1&amp;"/"&amp;$B$19&amp;"/"&amp;$A20,TaskTimings[[EmployeeDateSeqCode]:[Task]],2,0),"")</f>
        <v/>
      </c>
      <c r="E21" s="156"/>
      <c r="F21" s="156"/>
      <c r="G21" s="156"/>
      <c r="H21" s="22">
        <f>IFERROR(VLOOKUP($A$1&amp;"/"&amp;$B$19&amp;"/"&amp;$A20,TaskTimings[[EmployeeDateSeqCode]:[Total Minutes]],7,0),0)</f>
        <v>0</v>
      </c>
      <c r="I21" s="163"/>
      <c r="J21" s="26">
        <v>2</v>
      </c>
      <c r="K21" s="171"/>
      <c r="L21" s="139"/>
      <c r="M21" s="165" t="str">
        <f>IF($K$20="","",IFERROR(VLOOKUP($K$20&amp;"/"&amp;$J21,$Z$7:$AA$30,2,0),""))</f>
        <v/>
      </c>
      <c r="N21" s="165"/>
      <c r="O21" s="165"/>
      <c r="P21" s="165"/>
      <c r="Q21" s="22" t="str">
        <f>IF($M21="","",SUMIFS($H$7:$H$30,$D$7:$D$30,$K$20&amp;"/"&amp;$M21))</f>
        <v/>
      </c>
      <c r="R21" s="163"/>
      <c r="S21" s="25"/>
      <c r="T21" s="25"/>
      <c r="U21" s="82">
        <f>IF(COUNTIFS($D$6:$D21,D21)=1,1,0)</f>
        <v>0</v>
      </c>
      <c r="V21" s="83" t="str">
        <f>IF($U21=0,"",VLOOKUP($D21,TaskTimings[[Task]:[PRJLST]],10,0))</f>
        <v/>
      </c>
      <c r="W21" s="84" t="str">
        <f>IF($V21="","",COUNTIF($V$7:$V21,$V21))</f>
        <v/>
      </c>
      <c r="X21" s="84" t="str">
        <f>IF($W21=1,MAX($X$6:$X20)+1,"")</f>
        <v/>
      </c>
      <c r="Y21" s="85" t="str">
        <f t="shared" si="0"/>
        <v/>
      </c>
      <c r="Z21" s="83" t="str">
        <f>IF($Y21="","",$Y21&amp;"/"&amp;COUNTIF($Y$7:$Y21,$Y21))</f>
        <v/>
      </c>
      <c r="AA21" s="83" t="str">
        <f>IF($Z21="","",VLOOKUP($D21,TaskTimings[[Task]:[TSKLST]],11,0))</f>
        <v/>
      </c>
      <c r="AB21" s="86">
        <f t="shared" si="1"/>
        <v>0</v>
      </c>
    </row>
    <row r="22" spans="1:28" x14ac:dyDescent="0.25">
      <c r="A22" s="14">
        <v>1</v>
      </c>
      <c r="B22" s="138"/>
      <c r="C22" s="127"/>
      <c r="D22" s="156" t="str">
        <f>IFERROR(VLOOKUP($A$1&amp;"/"&amp;$B$19&amp;"/"&amp;$A21,TaskTimings[[EmployeeDateSeqCode]:[Task]],2,0),"")</f>
        <v/>
      </c>
      <c r="E22" s="156"/>
      <c r="F22" s="156"/>
      <c r="G22" s="156"/>
      <c r="H22" s="22">
        <f>IFERROR(VLOOKUP($A$1&amp;"/"&amp;$B$19&amp;"/"&amp;$A21,TaskTimings[[EmployeeDateSeqCode]:[Total Minutes]],7,0),0)</f>
        <v>0</v>
      </c>
      <c r="I22" s="163"/>
      <c r="J22" s="26">
        <v>3</v>
      </c>
      <c r="K22" s="171"/>
      <c r="L22" s="139"/>
      <c r="M22" s="165" t="str">
        <f>IF($K$20="","",IFERROR(VLOOKUP($K$20&amp;"/"&amp;$J22,$Z$7:$AA$30,2,0),""))</f>
        <v/>
      </c>
      <c r="N22" s="165"/>
      <c r="O22" s="165"/>
      <c r="P22" s="165"/>
      <c r="Q22" s="22" t="str">
        <f>IF($M22="","",SUMIFS($H$7:$H$30,$D$7:$D$30,$K$20&amp;"/"&amp;$M22))</f>
        <v/>
      </c>
      <c r="R22" s="163"/>
      <c r="S22" s="25"/>
      <c r="T22" s="25"/>
      <c r="U22" s="82">
        <f>IF(COUNTIFS($D$6:$D22,D22)=1,1,0)</f>
        <v>0</v>
      </c>
      <c r="V22" s="83" t="str">
        <f>IF($U22=0,"",VLOOKUP($D22,TaskTimings[[Task]:[PRJLST]],10,0))</f>
        <v/>
      </c>
      <c r="W22" s="84" t="str">
        <f>IF($V22="","",COUNTIF($V$7:$V22,$V22))</f>
        <v/>
      </c>
      <c r="X22" s="84" t="str">
        <f>IF($W22=1,MAX($X$6:$X21)+1,"")</f>
        <v/>
      </c>
      <c r="Y22" s="85" t="str">
        <f t="shared" si="0"/>
        <v/>
      </c>
      <c r="Z22" s="83" t="str">
        <f>IF($Y22="","",$Y22&amp;"/"&amp;COUNTIF($Y$7:$Y22,$Y22))</f>
        <v/>
      </c>
      <c r="AA22" s="83" t="str">
        <f>IF($Z22="","",VLOOKUP($D22,TaskTimings[[Task]:[TSKLST]],11,0))</f>
        <v/>
      </c>
      <c r="AB22" s="86">
        <f t="shared" si="1"/>
        <v>0</v>
      </c>
    </row>
    <row r="23" spans="1:28" x14ac:dyDescent="0.25">
      <c r="A23" s="14">
        <v>2</v>
      </c>
      <c r="B23" s="157">
        <f>B19+1</f>
        <v>43448</v>
      </c>
      <c r="C23" s="127"/>
      <c r="D23" s="156" t="str">
        <f>IFERROR(VLOOKUP($A$1&amp;"/"&amp;$B$23&amp;"/"&amp;$A22,TaskTimings[[EmployeeDateSeqCode]:[Task]],2,0),"")</f>
        <v/>
      </c>
      <c r="E23" s="156"/>
      <c r="F23" s="156"/>
      <c r="G23" s="156"/>
      <c r="H23" s="22">
        <f>IFERROR(VLOOKUP($A$1&amp;"/"&amp;$B$23&amp;"/"&amp;$A22,TaskTimings[[EmployeeDateSeqCode]:[Total Minutes]],7,0),0)</f>
        <v>0</v>
      </c>
      <c r="I23" s="163">
        <f t="shared" ref="I23" si="6">SUM(H23:H26)</f>
        <v>0</v>
      </c>
      <c r="J23" s="26">
        <v>4</v>
      </c>
      <c r="K23" s="171"/>
      <c r="L23" s="139"/>
      <c r="M23" s="165" t="str">
        <f>IF($K$20="","",IFERROR(VLOOKUP($K$20&amp;"/"&amp;$J23,$Z$7:$AA$30,2,0),""))</f>
        <v/>
      </c>
      <c r="N23" s="165"/>
      <c r="O23" s="165"/>
      <c r="P23" s="165"/>
      <c r="Q23" s="22" t="str">
        <f>IF($M23="","",SUMIFS($H$7:$H$30,$D$7:$D$30,$K$20&amp;"/"&amp;$M23))</f>
        <v/>
      </c>
      <c r="R23" s="163"/>
      <c r="S23" s="25"/>
      <c r="T23" s="25"/>
      <c r="U23" s="82">
        <f>IF(COUNTIFS($D$6:$D23,D23)=1,1,0)</f>
        <v>0</v>
      </c>
      <c r="V23" s="83" t="str">
        <f>IF($U23=0,"",VLOOKUP($D23,TaskTimings[[Task]:[PRJLST]],10,0))</f>
        <v/>
      </c>
      <c r="W23" s="84" t="str">
        <f>IF($V23="","",COUNTIF($V$7:$V23,$V23))</f>
        <v/>
      </c>
      <c r="X23" s="84" t="str">
        <f>IF($W23=1,MAX($X$6:$X22)+1,"")</f>
        <v/>
      </c>
      <c r="Y23" s="85" t="str">
        <f t="shared" si="0"/>
        <v/>
      </c>
      <c r="Z23" s="83" t="str">
        <f>IF($Y23="","",$Y23&amp;"/"&amp;COUNTIF($Y$7:$Y23,$Y23))</f>
        <v/>
      </c>
      <c r="AA23" s="83" t="str">
        <f>IF($Z23="","",VLOOKUP($D23,TaskTimings[[Task]:[TSKLST]],11,0))</f>
        <v/>
      </c>
      <c r="AB23" s="86">
        <f t="shared" si="1"/>
        <v>0</v>
      </c>
    </row>
    <row r="24" spans="1:28" x14ac:dyDescent="0.25">
      <c r="A24" s="14">
        <v>3</v>
      </c>
      <c r="B24" s="138"/>
      <c r="C24" s="127"/>
      <c r="D24" s="156" t="str">
        <f>IFERROR(VLOOKUP($A$1&amp;"/"&amp;$B$23&amp;"/"&amp;$A23,TaskTimings[[EmployeeDateSeqCode]:[Task]],2,0),"")</f>
        <v/>
      </c>
      <c r="E24" s="156"/>
      <c r="F24" s="156"/>
      <c r="G24" s="156"/>
      <c r="H24" s="22">
        <f>IFERROR(VLOOKUP($A$1&amp;"/"&amp;$B$23&amp;"/"&amp;$A23,TaskTimings[[EmployeeDateSeqCode]:[Total Minutes]],7,0),0)</f>
        <v>0</v>
      </c>
      <c r="I24" s="163"/>
      <c r="J24" s="26">
        <v>1</v>
      </c>
      <c r="K24" s="171" t="str">
        <f>VLOOKUP(3,$K$7:$M$11,2,0)</f>
        <v/>
      </c>
      <c r="L24" s="139"/>
      <c r="M24" s="165" t="str">
        <f>IF($K$24="","",IFERROR(VLOOKUP($K$24&amp;"/"&amp;$J24,$Z$7:$AA$30,2,0),""))</f>
        <v/>
      </c>
      <c r="N24" s="165"/>
      <c r="O24" s="165"/>
      <c r="P24" s="165"/>
      <c r="Q24" s="22" t="str">
        <f>IF($M24="","",SUMIFS($H$7:$H$30,$D$7:$D$30,$K$24&amp;"/"&amp;$M24))</f>
        <v/>
      </c>
      <c r="R24" s="163">
        <f t="shared" ref="R24" si="7">SUM(Q24:Q27)</f>
        <v>0</v>
      </c>
      <c r="S24" s="25"/>
      <c r="T24" s="25"/>
      <c r="U24" s="82">
        <f>IF(COUNTIFS($D$6:$D24,D24)=1,1,0)</f>
        <v>0</v>
      </c>
      <c r="V24" s="83" t="str">
        <f>IF($U24=0,"",VLOOKUP($D24,TaskTimings[[Task]:[PRJLST]],10,0))</f>
        <v/>
      </c>
      <c r="W24" s="84" t="str">
        <f>IF($V24="","",COUNTIF($V$7:$V24,$V24))</f>
        <v/>
      </c>
      <c r="X24" s="84" t="str">
        <f>IF($W24=1,MAX($X$6:$X23)+1,"")</f>
        <v/>
      </c>
      <c r="Y24" s="85" t="str">
        <f t="shared" si="0"/>
        <v/>
      </c>
      <c r="Z24" s="83" t="str">
        <f>IF($Y24="","",$Y24&amp;"/"&amp;COUNTIF($Y$7:$Y24,$Y24))</f>
        <v/>
      </c>
      <c r="AA24" s="83" t="str">
        <f>IF($Z24="","",VLOOKUP($D24,TaskTimings[[Task]:[TSKLST]],11,0))</f>
        <v/>
      </c>
      <c r="AB24" s="86">
        <f t="shared" si="1"/>
        <v>0</v>
      </c>
    </row>
    <row r="25" spans="1:28" x14ac:dyDescent="0.25">
      <c r="A25" s="14">
        <v>4</v>
      </c>
      <c r="B25" s="138"/>
      <c r="C25" s="127"/>
      <c r="D25" s="156" t="str">
        <f>IFERROR(VLOOKUP($A$1&amp;"/"&amp;$B$23&amp;"/"&amp;$A24,TaskTimings[[EmployeeDateSeqCode]:[Task]],2,0),"")</f>
        <v/>
      </c>
      <c r="E25" s="156"/>
      <c r="F25" s="156"/>
      <c r="G25" s="156"/>
      <c r="H25" s="22">
        <f>IFERROR(VLOOKUP($A$1&amp;"/"&amp;$B$23&amp;"/"&amp;$A24,TaskTimings[[EmployeeDateSeqCode]:[Total Minutes]],7,0),0)</f>
        <v>0</v>
      </c>
      <c r="I25" s="163"/>
      <c r="J25" s="26">
        <v>2</v>
      </c>
      <c r="K25" s="171"/>
      <c r="L25" s="139"/>
      <c r="M25" s="165" t="str">
        <f>IF($K$24="","",IFERROR(VLOOKUP($K$24&amp;"/"&amp;$J25,$Z$7:$AA$30,2,0),""))</f>
        <v/>
      </c>
      <c r="N25" s="165"/>
      <c r="O25" s="165"/>
      <c r="P25" s="165"/>
      <c r="Q25" s="22" t="str">
        <f>IF($M25="","",SUMIFS($H$7:$H$30,$D$7:$D$30,$K$24&amp;"/"&amp;$M25))</f>
        <v/>
      </c>
      <c r="R25" s="163"/>
      <c r="S25" s="25"/>
      <c r="T25" s="25"/>
      <c r="U25" s="82">
        <f>IF(COUNTIFS($D$6:$D25,D25)=1,1,0)</f>
        <v>0</v>
      </c>
      <c r="V25" s="83" t="str">
        <f>IF($U25=0,"",VLOOKUP($D25,TaskTimings[[Task]:[PRJLST]],10,0))</f>
        <v/>
      </c>
      <c r="W25" s="84" t="str">
        <f>IF($V25="","",COUNTIF($V$7:$V25,$V25))</f>
        <v/>
      </c>
      <c r="X25" s="84" t="str">
        <f>IF($W25=1,MAX($X$6:$X24)+1,"")</f>
        <v/>
      </c>
      <c r="Y25" s="85" t="str">
        <f t="shared" si="0"/>
        <v/>
      </c>
      <c r="Z25" s="83" t="str">
        <f>IF($Y25="","",$Y25&amp;"/"&amp;COUNTIF($Y$7:$Y25,$Y25))</f>
        <v/>
      </c>
      <c r="AA25" s="83" t="str">
        <f>IF($Z25="","",VLOOKUP($D25,TaskTimings[[Task]:[TSKLST]],11,0))</f>
        <v/>
      </c>
      <c r="AB25" s="86">
        <f t="shared" si="1"/>
        <v>0</v>
      </c>
    </row>
    <row r="26" spans="1:28" x14ac:dyDescent="0.25">
      <c r="A26" s="14">
        <v>1</v>
      </c>
      <c r="B26" s="138"/>
      <c r="C26" s="127"/>
      <c r="D26" s="156" t="str">
        <f>IFERROR(VLOOKUP($A$1&amp;"/"&amp;$B$23&amp;"/"&amp;$A25,TaskTimings[[EmployeeDateSeqCode]:[Task]],2,0),"")</f>
        <v/>
      </c>
      <c r="E26" s="156"/>
      <c r="F26" s="156"/>
      <c r="G26" s="156"/>
      <c r="H26" s="22">
        <f>IFERROR(VLOOKUP($A$1&amp;"/"&amp;$B$23&amp;"/"&amp;$A25,TaskTimings[[EmployeeDateSeqCode]:[Total Minutes]],7,0),0)</f>
        <v>0</v>
      </c>
      <c r="I26" s="163"/>
      <c r="J26" s="26">
        <v>3</v>
      </c>
      <c r="K26" s="171"/>
      <c r="L26" s="139"/>
      <c r="M26" s="165" t="str">
        <f>IF($K$24="","",IFERROR(VLOOKUP($K$24&amp;"/"&amp;$J26,$Z$7:$AA$30,2,0),""))</f>
        <v/>
      </c>
      <c r="N26" s="165"/>
      <c r="O26" s="165"/>
      <c r="P26" s="165"/>
      <c r="Q26" s="22" t="str">
        <f>IF($M26="","",SUMIFS($H$7:$H$30,$D$7:$D$30,$K$24&amp;"/"&amp;$M26))</f>
        <v/>
      </c>
      <c r="R26" s="163"/>
      <c r="S26" s="25"/>
      <c r="T26" s="25"/>
      <c r="U26" s="82">
        <f>IF(COUNTIFS($D$6:$D26,D26)=1,1,0)</f>
        <v>0</v>
      </c>
      <c r="V26" s="83" t="str">
        <f>IF($U26=0,"",VLOOKUP($D26,TaskTimings[[Task]:[PRJLST]],10,0))</f>
        <v/>
      </c>
      <c r="W26" s="84" t="str">
        <f>IF($V26="","",COUNTIF($V$7:$V26,$V26))</f>
        <v/>
      </c>
      <c r="X26" s="84" t="str">
        <f>IF($W26=1,MAX($X$6:$X25)+1,"")</f>
        <v/>
      </c>
      <c r="Y26" s="85" t="str">
        <f t="shared" si="0"/>
        <v/>
      </c>
      <c r="Z26" s="83" t="str">
        <f>IF($Y26="","",$Y26&amp;"/"&amp;COUNTIF($Y$7:$Y26,$Y26))</f>
        <v/>
      </c>
      <c r="AA26" s="83" t="str">
        <f>IF($Z26="","",VLOOKUP($D26,TaskTimings[[Task]:[TSKLST]],11,0))</f>
        <v/>
      </c>
      <c r="AB26" s="86">
        <f t="shared" si="1"/>
        <v>0</v>
      </c>
    </row>
    <row r="27" spans="1:28" x14ac:dyDescent="0.25">
      <c r="A27" s="14">
        <v>2</v>
      </c>
      <c r="B27" s="157">
        <f>B23+1</f>
        <v>43449</v>
      </c>
      <c r="C27" s="127"/>
      <c r="D27" s="156" t="str">
        <f>IFERROR(VLOOKUP($A$1&amp;"/"&amp;$B$27&amp;"/"&amp;$A26,TaskTimings[[EmployeeDateSeqCode]:[Task]],2,0),"")</f>
        <v/>
      </c>
      <c r="E27" s="156"/>
      <c r="F27" s="156"/>
      <c r="G27" s="156"/>
      <c r="H27" s="22">
        <f>IFERROR(VLOOKUP($A$1&amp;"/"&amp;$B$27&amp;"/"&amp;$A26,TaskTimings[[EmployeeDateSeqCode]:[Total Minutes]],7,0),0)</f>
        <v>0</v>
      </c>
      <c r="I27" s="163">
        <f t="shared" ref="I27" si="8">SUM(H27:H30)</f>
        <v>0</v>
      </c>
      <c r="J27" s="26">
        <v>4</v>
      </c>
      <c r="K27" s="171"/>
      <c r="L27" s="139"/>
      <c r="M27" s="165" t="str">
        <f>IF($K$24="","",IFERROR(VLOOKUP($K$24&amp;"/"&amp;$J27,$Z$7:$AA$30,2,0),""))</f>
        <v/>
      </c>
      <c r="N27" s="165"/>
      <c r="O27" s="165"/>
      <c r="P27" s="165"/>
      <c r="Q27" s="22" t="str">
        <f>IF($M27="","",SUMIFS($H$7:$H$30,$D$7:$D$30,$K$24&amp;"/"&amp;$M27))</f>
        <v/>
      </c>
      <c r="R27" s="163"/>
      <c r="S27" s="25"/>
      <c r="T27" s="25"/>
      <c r="U27" s="82">
        <f>IF(COUNTIFS($D$6:$D27,D27)=1,1,0)</f>
        <v>0</v>
      </c>
      <c r="V27" s="83" t="str">
        <f>IF($U27=0,"",VLOOKUP($D27,TaskTimings[[Task]:[PRJLST]],10,0))</f>
        <v/>
      </c>
      <c r="W27" s="84" t="str">
        <f>IF($V27="","",COUNTIF($V$7:$V27,$V27))</f>
        <v/>
      </c>
      <c r="X27" s="84" t="str">
        <f>IF($W27=1,MAX($X$6:$X26)+1,"")</f>
        <v/>
      </c>
      <c r="Y27" s="85" t="str">
        <f t="shared" si="0"/>
        <v/>
      </c>
      <c r="Z27" s="83" t="str">
        <f>IF($Y27="","",$Y27&amp;"/"&amp;COUNTIF($Y$7:$Y27,$Y27))</f>
        <v/>
      </c>
      <c r="AA27" s="83" t="str">
        <f>IF($Z27="","",VLOOKUP($D27,TaskTimings[[Task]:[TSKLST]],11,0))</f>
        <v/>
      </c>
      <c r="AB27" s="86">
        <f t="shared" si="1"/>
        <v>0</v>
      </c>
    </row>
    <row r="28" spans="1:28" x14ac:dyDescent="0.25">
      <c r="A28" s="14">
        <v>3</v>
      </c>
      <c r="B28" s="138"/>
      <c r="C28" s="127"/>
      <c r="D28" s="156" t="str">
        <f>IFERROR(VLOOKUP($A$1&amp;"/"&amp;$B$27&amp;"/"&amp;$A27,TaskTimings[[EmployeeDateSeqCode]:[Task]],2,0),"")</f>
        <v/>
      </c>
      <c r="E28" s="156"/>
      <c r="F28" s="156"/>
      <c r="G28" s="156"/>
      <c r="H28" s="22">
        <f>IFERROR(VLOOKUP($A$1&amp;"/"&amp;$B$27&amp;"/"&amp;$A27,TaskTimings[[EmployeeDateSeqCode]:[Total Minutes]],7,0),0)</f>
        <v>0</v>
      </c>
      <c r="I28" s="163"/>
      <c r="J28" s="26">
        <v>1</v>
      </c>
      <c r="K28" s="171" t="str">
        <f>VLOOKUP(4,$K$7:$M$11,2,0)</f>
        <v/>
      </c>
      <c r="L28" s="139"/>
      <c r="M28" s="165" t="str">
        <f>IF($K$28="","",IFERROR(VLOOKUP($K$28&amp;"/"&amp;$J28,$Z$7:$AA$30,2,0),""))</f>
        <v/>
      </c>
      <c r="N28" s="165"/>
      <c r="O28" s="165"/>
      <c r="P28" s="165"/>
      <c r="Q28" s="22" t="str">
        <f>IF($M28="","",SUMIFS($H$7:$H$30,$D$7:$D$30,$K$28&amp;"/"&amp;$M28))</f>
        <v/>
      </c>
      <c r="R28" s="163">
        <f t="shared" ref="R28" si="9">SUM(Q28:Q31)</f>
        <v>0</v>
      </c>
      <c r="S28" s="25"/>
      <c r="T28" s="25"/>
      <c r="U28" s="82">
        <f>IF(COUNTIFS($D$6:$D28,D28)=1,1,0)</f>
        <v>0</v>
      </c>
      <c r="V28" s="83" t="str">
        <f>IF($U28=0,"",VLOOKUP($D28,TaskTimings[[Task]:[PRJLST]],10,0))</f>
        <v/>
      </c>
      <c r="W28" s="84" t="str">
        <f>IF($V28="","",COUNTIF($V$7:$V28,$V28))</f>
        <v/>
      </c>
      <c r="X28" s="84" t="str">
        <f>IF($W28=1,MAX($X$6:$X27)+1,"")</f>
        <v/>
      </c>
      <c r="Y28" s="85" t="str">
        <f t="shared" si="0"/>
        <v/>
      </c>
      <c r="Z28" s="83" t="str">
        <f>IF($Y28="","",$Y28&amp;"/"&amp;COUNTIF($Y$7:$Y28,$Y28))</f>
        <v/>
      </c>
      <c r="AA28" s="83" t="str">
        <f>IF($Z28="","",VLOOKUP($D28,TaskTimings[[Task]:[TSKLST]],11,0))</f>
        <v/>
      </c>
      <c r="AB28" s="86">
        <f t="shared" si="1"/>
        <v>0</v>
      </c>
    </row>
    <row r="29" spans="1:28" x14ac:dyDescent="0.25">
      <c r="A29" s="14">
        <v>4</v>
      </c>
      <c r="B29" s="138"/>
      <c r="C29" s="127"/>
      <c r="D29" s="156" t="str">
        <f>IFERROR(VLOOKUP($A$1&amp;"/"&amp;$B$27&amp;"/"&amp;$A28,TaskTimings[[EmployeeDateSeqCode]:[Task]],2,0),"")</f>
        <v/>
      </c>
      <c r="E29" s="156"/>
      <c r="F29" s="156"/>
      <c r="G29" s="156"/>
      <c r="H29" s="22">
        <f>IFERROR(VLOOKUP($A$1&amp;"/"&amp;$B$27&amp;"/"&amp;$A28,TaskTimings[[EmployeeDateSeqCode]:[Total Minutes]],7,0),0)</f>
        <v>0</v>
      </c>
      <c r="I29" s="163"/>
      <c r="J29" s="26">
        <v>2</v>
      </c>
      <c r="K29" s="171"/>
      <c r="L29" s="139"/>
      <c r="M29" s="165" t="str">
        <f>IF($K$28="","",IFERROR(VLOOKUP($K$28&amp;"/"&amp;$J29,$Z$7:$AA$30,2,0),""))</f>
        <v/>
      </c>
      <c r="N29" s="165"/>
      <c r="O29" s="165"/>
      <c r="P29" s="165"/>
      <c r="Q29" s="22" t="str">
        <f>IF($M29="","",SUMIFS($H$7:$H$30,$D$7:$D$30,$K$28&amp;"/"&amp;$M29))</f>
        <v/>
      </c>
      <c r="R29" s="163"/>
      <c r="S29" s="25"/>
      <c r="T29" s="25"/>
      <c r="U29" s="82">
        <f>IF(COUNTIFS($D$6:$D29,D29)=1,1,0)</f>
        <v>0</v>
      </c>
      <c r="V29" s="83" t="str">
        <f>IF($U29=0,"",VLOOKUP($D29,TaskTimings[[Task]:[PRJLST]],10,0))</f>
        <v/>
      </c>
      <c r="W29" s="84" t="str">
        <f>IF($V29="","",COUNTIF($V$7:$V29,$V29))</f>
        <v/>
      </c>
      <c r="X29" s="84" t="str">
        <f>IF($W29=1,MAX($X$6:$X28)+1,"")</f>
        <v/>
      </c>
      <c r="Y29" s="85" t="str">
        <f t="shared" si="0"/>
        <v/>
      </c>
      <c r="Z29" s="83" t="str">
        <f>IF($Y29="","",$Y29&amp;"/"&amp;COUNTIF($Y$7:$Y29,$Y29))</f>
        <v/>
      </c>
      <c r="AA29" s="83" t="str">
        <f>IF($Z29="","",VLOOKUP($D29,TaskTimings[[Task]:[TSKLST]],11,0))</f>
        <v/>
      </c>
      <c r="AB29" s="86">
        <f t="shared" si="1"/>
        <v>0</v>
      </c>
    </row>
    <row r="30" spans="1:28" ht="15.75" thickBot="1" x14ac:dyDescent="0.3">
      <c r="B30" s="158"/>
      <c r="C30" s="159"/>
      <c r="D30" s="161" t="str">
        <f>IFERROR(VLOOKUP($A$1&amp;"/"&amp;$B$27&amp;"/"&amp;$A29,TaskTimings[[EmployeeDateSeqCode]:[Task]],2,0),"")</f>
        <v/>
      </c>
      <c r="E30" s="161"/>
      <c r="F30" s="161"/>
      <c r="G30" s="161"/>
      <c r="H30" s="24">
        <f>IFERROR(VLOOKUP($A$1&amp;"/"&amp;$B$27&amp;"/"&amp;$A29,TaskTimings[[EmployeeDateSeqCode]:[Total Minutes]],7,0),0)</f>
        <v>0</v>
      </c>
      <c r="I30" s="164"/>
      <c r="J30" s="26">
        <v>3</v>
      </c>
      <c r="K30" s="171"/>
      <c r="L30" s="139"/>
      <c r="M30" s="165" t="str">
        <f>IF($K$28="","",IFERROR(VLOOKUP($K$28&amp;"/"&amp;$J30,$Z$7:$AA$30,2,0),""))</f>
        <v/>
      </c>
      <c r="N30" s="165"/>
      <c r="O30" s="165"/>
      <c r="P30" s="165"/>
      <c r="Q30" s="22" t="str">
        <f>IF($M30="","",SUMIFS($H$7:$H$30,$D$7:$D$30,$K$28&amp;"/"&amp;$M30))</f>
        <v/>
      </c>
      <c r="R30" s="163"/>
      <c r="U30" s="87">
        <f>IF(COUNTIFS($D$6:$D30,D30)=1,1,0)</f>
        <v>0</v>
      </c>
      <c r="V30" s="88" t="str">
        <f>IF($U30=0,"",VLOOKUP($D30,TaskTimings[[Task]:[PRJLST]],10,0))</f>
        <v/>
      </c>
      <c r="W30" s="89" t="str">
        <f>IF($V30="","",COUNTIF($V$7:$V30,$V30))</f>
        <v/>
      </c>
      <c r="X30" s="89" t="str">
        <f>IF($W30=1,MAX($X$6:$X29)+1,"")</f>
        <v/>
      </c>
      <c r="Y30" s="90" t="str">
        <f t="shared" si="0"/>
        <v/>
      </c>
      <c r="Z30" s="88" t="str">
        <f>IF($Y30="","",$Y30&amp;"/"&amp;COUNTIF($Y$7:$Y30,$Y30))</f>
        <v/>
      </c>
      <c r="AA30" s="88" t="str">
        <f>IF($Z30="","",VLOOKUP($D30,TaskTimings[[Task]:[TSKLST]],11,0))</f>
        <v/>
      </c>
      <c r="AB30" s="91">
        <f t="shared" si="1"/>
        <v>0</v>
      </c>
    </row>
    <row r="31" spans="1:28" x14ac:dyDescent="0.25">
      <c r="J31" s="26">
        <v>4</v>
      </c>
      <c r="K31" s="171"/>
      <c r="L31" s="139"/>
      <c r="M31" s="165" t="str">
        <f>IF($K$28="","",IFERROR(VLOOKUP($K$28&amp;"/"&amp;$J31,$Z$7:$AA$30,2,0),""))</f>
        <v/>
      </c>
      <c r="N31" s="165"/>
      <c r="O31" s="165"/>
      <c r="P31" s="165"/>
      <c r="Q31" s="22" t="str">
        <f>IF($M31="","",SUMIFS($H$7:$H$30,$D$7:$D$30,$K$28&amp;"/"&amp;$M31))</f>
        <v/>
      </c>
      <c r="R31" s="163"/>
    </row>
    <row r="32" spans="1:28" x14ac:dyDescent="0.25">
      <c r="J32" s="26">
        <v>1</v>
      </c>
      <c r="K32" s="171" t="str">
        <f>VLOOKUP(5,$K$7:$M$11,2,0)</f>
        <v/>
      </c>
      <c r="L32" s="139"/>
      <c r="M32" s="165" t="str">
        <f>IF($K$32="","",IFERROR(VLOOKUP($K$32&amp;"/"&amp;$J32,$Z$7:$AA$30,2,0),""))</f>
        <v/>
      </c>
      <c r="N32" s="165"/>
      <c r="O32" s="165"/>
      <c r="P32" s="165"/>
      <c r="Q32" s="22" t="str">
        <f>IF($M32="","",SUMIFS($H$7:$H$30,$D$7:$D$30,$K$32&amp;"/"&amp;$M32))</f>
        <v/>
      </c>
      <c r="R32" s="163">
        <f t="shared" ref="R32" si="10">SUM(Q32:Q35)</f>
        <v>0</v>
      </c>
    </row>
    <row r="33" spans="10:18" x14ac:dyDescent="0.25">
      <c r="J33" s="26">
        <v>2</v>
      </c>
      <c r="K33" s="171"/>
      <c r="L33" s="139"/>
      <c r="M33" s="165" t="str">
        <f>IF($K$32="","",IFERROR(VLOOKUP($K$32&amp;"/"&amp;$J33,$Z$7:$AA$30,2,0),""))</f>
        <v/>
      </c>
      <c r="N33" s="165"/>
      <c r="O33" s="165"/>
      <c r="P33" s="165"/>
      <c r="Q33" s="22" t="str">
        <f>IF($M33="","",SUMIFS($H$7:$H$30,$D$7:$D$30,$K$32&amp;"/"&amp;$M33))</f>
        <v/>
      </c>
      <c r="R33" s="163"/>
    </row>
    <row r="34" spans="10:18" x14ac:dyDescent="0.25">
      <c r="J34" s="26">
        <v>3</v>
      </c>
      <c r="K34" s="171"/>
      <c r="L34" s="139"/>
      <c r="M34" s="165" t="str">
        <f>IF($K$32="","",IFERROR(VLOOKUP($K$32&amp;"/"&amp;$J34,$Z$7:$AA$30,2,0),""))</f>
        <v/>
      </c>
      <c r="N34" s="165"/>
      <c r="O34" s="165"/>
      <c r="P34" s="165"/>
      <c r="Q34" s="22" t="str">
        <f>IF($M34="","",SUMIFS($H$7:$H$30,$D$7:$D$30,$K$32&amp;"/"&amp;$M34))</f>
        <v/>
      </c>
      <c r="R34" s="163"/>
    </row>
    <row r="35" spans="10:18" ht="15.75" thickBot="1" x14ac:dyDescent="0.3">
      <c r="J35" s="26">
        <v>4</v>
      </c>
      <c r="K35" s="172"/>
      <c r="L35" s="142"/>
      <c r="M35" s="168" t="str">
        <f>IF($K$32="","",IFERROR(VLOOKUP($K$32&amp;"/"&amp;$J35,$Z$7:$AA$30,2,0),""))</f>
        <v/>
      </c>
      <c r="N35" s="168"/>
      <c r="O35" s="168"/>
      <c r="P35" s="168"/>
      <c r="Q35" s="24" t="str">
        <f>IF($M35="","",SUMIFS($H$7:$H$30,$D$7:$D$30,$K$32&amp;"/"&amp;$M35))</f>
        <v/>
      </c>
      <c r="R35" s="164"/>
    </row>
  </sheetData>
  <mergeCells count="82"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M19:P19"/>
    <mergeCell ref="K15:L15"/>
    <mergeCell ref="L7:M7"/>
    <mergeCell ref="L8:M8"/>
    <mergeCell ref="L9:M9"/>
    <mergeCell ref="L10:M10"/>
    <mergeCell ref="L11:M11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Aswathy M S</cp:lastModifiedBy>
  <cp:lastPrinted>2018-11-23T17:04:38Z</cp:lastPrinted>
  <dcterms:created xsi:type="dcterms:W3CDTF">2018-11-23T13:42:04Z</dcterms:created>
  <dcterms:modified xsi:type="dcterms:W3CDTF">2018-12-13T06:56:21Z</dcterms:modified>
</cp:coreProperties>
</file>