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24519"/>
</workbook>
</file>

<file path=xl/calcChain.xml><?xml version="1.0" encoding="utf-8"?>
<calcChain xmlns="http://schemas.openxmlformats.org/spreadsheetml/2006/main">
  <c r="B66" i="4"/>
  <c r="P66" s="1"/>
  <c r="C66"/>
  <c r="Q66" s="1"/>
  <c r="D66"/>
  <c r="L66"/>
  <c r="M66"/>
  <c r="N66"/>
  <c r="O66" s="1"/>
  <c r="M64" l="1"/>
  <c r="B64"/>
  <c r="P64" s="1"/>
  <c r="C64"/>
  <c r="Q64" s="1"/>
  <c r="D64"/>
  <c r="L64"/>
  <c r="D65"/>
  <c r="L65"/>
  <c r="M65"/>
  <c r="N65"/>
  <c r="O65" s="1"/>
  <c r="C28" i="2"/>
  <c r="E28"/>
  <c r="F28"/>
  <c r="G28"/>
  <c r="M63" i="4" l="1"/>
  <c r="D63" l="1"/>
  <c r="L63"/>
  <c r="N64" s="1"/>
  <c r="O64" s="1"/>
  <c r="N63"/>
  <c r="O63" s="1"/>
  <c r="M62" l="1"/>
  <c r="M61"/>
  <c r="D62" l="1"/>
  <c r="L62"/>
  <c r="D61" l="1"/>
  <c r="L61"/>
  <c r="D60" l="1"/>
  <c r="L60"/>
  <c r="M60"/>
  <c r="N60"/>
  <c r="O60" s="1"/>
  <c r="D59"/>
  <c r="L59"/>
  <c r="M59"/>
  <c r="N59"/>
  <c r="O59" s="1"/>
  <c r="N61" l="1"/>
  <c r="O61" s="1"/>
  <c r="N62"/>
  <c r="O62" s="1"/>
  <c r="C27" i="2"/>
  <c r="E27"/>
  <c r="F27"/>
  <c r="G27"/>
  <c r="D58" i="4"/>
  <c r="L58"/>
  <c r="M58"/>
  <c r="D57"/>
  <c r="L57"/>
  <c r="N57" s="1"/>
  <c r="O57" s="1"/>
  <c r="M57"/>
  <c r="D56"/>
  <c r="L56"/>
  <c r="M56"/>
  <c r="D55"/>
  <c r="L55"/>
  <c r="M55"/>
  <c r="D54"/>
  <c r="L54"/>
  <c r="N54" s="1"/>
  <c r="O54" s="1"/>
  <c r="M54"/>
  <c r="N55" l="1"/>
  <c r="O55" s="1"/>
  <c r="N56"/>
  <c r="O56" s="1"/>
  <c r="D53"/>
  <c r="L53"/>
  <c r="N53" s="1"/>
  <c r="O53" s="1"/>
  <c r="M53"/>
  <c r="D52"/>
  <c r="L52"/>
  <c r="M52"/>
  <c r="N52" l="1"/>
  <c r="O52" s="1"/>
  <c r="N58"/>
  <c r="O58" s="1"/>
  <c r="D51"/>
  <c r="L51"/>
  <c r="N51" s="1"/>
  <c r="O51" s="1"/>
  <c r="M51"/>
  <c r="D50" l="1"/>
  <c r="L50"/>
  <c r="M50"/>
  <c r="D49"/>
  <c r="L49"/>
  <c r="N49" s="1"/>
  <c r="O49" s="1"/>
  <c r="M49"/>
  <c r="N50" l="1"/>
  <c r="O50" s="1"/>
  <c r="C26" i="2"/>
  <c r="E26"/>
  <c r="F26"/>
  <c r="G26"/>
  <c r="D48" i="4"/>
  <c r="L48"/>
  <c r="M48"/>
  <c r="N48"/>
  <c r="O48" s="1"/>
  <c r="C65" l="1"/>
  <c r="Q65" s="1"/>
  <c r="B65"/>
  <c r="P65" s="1"/>
  <c r="D47"/>
  <c r="L47"/>
  <c r="N47" s="1"/>
  <c r="O47" s="1"/>
  <c r="M47"/>
  <c r="D46" l="1"/>
  <c r="L46"/>
  <c r="N46" s="1"/>
  <c r="O46" s="1"/>
  <c r="M46"/>
  <c r="D45"/>
  <c r="L45"/>
  <c r="N45" s="1"/>
  <c r="O45" s="1"/>
  <c r="M45"/>
  <c r="C25" i="2"/>
  <c r="E25"/>
  <c r="F25"/>
  <c r="G25"/>
  <c r="D44" i="4" l="1"/>
  <c r="L44"/>
  <c r="M44"/>
  <c r="D43" l="1"/>
  <c r="L43"/>
  <c r="M43"/>
  <c r="D42" l="1"/>
  <c r="L42"/>
  <c r="M42"/>
  <c r="D41" l="1"/>
  <c r="L41"/>
  <c r="M41"/>
  <c r="D40"/>
  <c r="L40"/>
  <c r="M40"/>
  <c r="D39"/>
  <c r="L39"/>
  <c r="M39"/>
  <c r="N40" l="1"/>
  <c r="O40" s="1"/>
  <c r="N39"/>
  <c r="O39" s="1"/>
  <c r="N43"/>
  <c r="O43" s="1"/>
  <c r="N44"/>
  <c r="O44" s="1"/>
  <c r="N41"/>
  <c r="O41" s="1"/>
  <c r="N42"/>
  <c r="O42" s="1"/>
  <c r="D38"/>
  <c r="L38"/>
  <c r="M38"/>
  <c r="D37" l="1"/>
  <c r="L37"/>
  <c r="M37"/>
  <c r="C24" i="2"/>
  <c r="E24"/>
  <c r="F24"/>
  <c r="G24"/>
  <c r="D36" i="4" l="1"/>
  <c r="L36"/>
  <c r="M36"/>
  <c r="C23" i="2" l="1"/>
  <c r="E23"/>
  <c r="F23"/>
  <c r="G23"/>
  <c r="D35" i="4"/>
  <c r="L35"/>
  <c r="M35"/>
  <c r="D34" l="1"/>
  <c r="L34"/>
  <c r="N37" s="1"/>
  <c r="O37" s="1"/>
  <c r="M34"/>
  <c r="N34" l="1"/>
  <c r="O34" s="1"/>
  <c r="N35"/>
  <c r="O35" s="1"/>
  <c r="N36"/>
  <c r="O36" s="1"/>
  <c r="D33"/>
  <c r="L33"/>
  <c r="N38" s="1"/>
  <c r="O38" s="1"/>
  <c r="M33"/>
  <c r="D32"/>
  <c r="L32"/>
  <c r="M32"/>
  <c r="D31"/>
  <c r="L31"/>
  <c r="M31"/>
  <c r="D30"/>
  <c r="L30"/>
  <c r="N30" s="1"/>
  <c r="O30" s="1"/>
  <c r="M30"/>
  <c r="C22" i="2"/>
  <c r="E22"/>
  <c r="F22"/>
  <c r="G22"/>
  <c r="D29" i="4"/>
  <c r="L29"/>
  <c r="M29"/>
  <c r="N33" l="1"/>
  <c r="O33" s="1"/>
  <c r="N31"/>
  <c r="O31" s="1"/>
  <c r="N32"/>
  <c r="O32" s="1"/>
  <c r="D28"/>
  <c r="L28"/>
  <c r="M28"/>
  <c r="D27" l="1"/>
  <c r="L27"/>
  <c r="M27"/>
  <c r="D26"/>
  <c r="L26"/>
  <c r="M26"/>
  <c r="D25" l="1"/>
  <c r="L25"/>
  <c r="N25" s="1"/>
  <c r="O25" s="1"/>
  <c r="M25"/>
  <c r="N27" l="1"/>
  <c r="O27" s="1"/>
  <c r="N28"/>
  <c r="O28" s="1"/>
  <c r="C21" i="2"/>
  <c r="E21"/>
  <c r="F21"/>
  <c r="G21"/>
  <c r="D24" i="4"/>
  <c r="L24"/>
  <c r="M24"/>
  <c r="N24" l="1"/>
  <c r="O24" s="1"/>
  <c r="N26"/>
  <c r="O26" s="1"/>
  <c r="D23"/>
  <c r="L23"/>
  <c r="M23"/>
  <c r="C20" i="2"/>
  <c r="E20"/>
  <c r="F20"/>
  <c r="G20"/>
  <c r="C19"/>
  <c r="E19"/>
  <c r="F19"/>
  <c r="G19"/>
  <c r="D22" i="4" l="1"/>
  <c r="L22"/>
  <c r="N23" s="1"/>
  <c r="O23" s="1"/>
  <c r="M22"/>
  <c r="N22" l="1"/>
  <c r="O22" s="1"/>
  <c r="D21"/>
  <c r="L21"/>
  <c r="M21"/>
  <c r="C18" i="2"/>
  <c r="E18"/>
  <c r="F18"/>
  <c r="G18"/>
  <c r="D20" i="4"/>
  <c r="L20"/>
  <c r="M20"/>
  <c r="D19"/>
  <c r="L19"/>
  <c r="M19"/>
  <c r="D18"/>
  <c r="L18"/>
  <c r="N18" s="1"/>
  <c r="O18" s="1"/>
  <c r="M18"/>
  <c r="D14"/>
  <c r="L14"/>
  <c r="M14"/>
  <c r="D13"/>
  <c r="L13"/>
  <c r="N13" s="1"/>
  <c r="O13" s="1"/>
  <c r="M13"/>
  <c r="D15"/>
  <c r="L15"/>
  <c r="M15"/>
  <c r="D17"/>
  <c r="L17"/>
  <c r="M17"/>
  <c r="D16"/>
  <c r="L16"/>
  <c r="M16"/>
  <c r="C17" i="2"/>
  <c r="E17"/>
  <c r="F17"/>
  <c r="G17"/>
  <c r="D12" i="4"/>
  <c r="L12"/>
  <c r="N12" s="1"/>
  <c r="O12" s="1"/>
  <c r="M12"/>
  <c r="D11"/>
  <c r="L11"/>
  <c r="M11"/>
  <c r="D10"/>
  <c r="L10"/>
  <c r="M10"/>
  <c r="D9"/>
  <c r="L9"/>
  <c r="M9"/>
  <c r="C16" i="2"/>
  <c r="E16"/>
  <c r="F16"/>
  <c r="G16"/>
  <c r="C15"/>
  <c r="E15"/>
  <c r="F15"/>
  <c r="G15"/>
  <c r="C14"/>
  <c r="E14"/>
  <c r="F14"/>
  <c r="G14"/>
  <c r="C12"/>
  <c r="C11"/>
  <c r="C10"/>
  <c r="C2"/>
  <c r="C3"/>
  <c r="C4"/>
  <c r="C5"/>
  <c r="C6"/>
  <c r="C7"/>
  <c r="C8"/>
  <c r="C9"/>
  <c r="C13"/>
  <c r="N29" i="4" l="1"/>
  <c r="O29" s="1"/>
  <c r="N19"/>
  <c r="O19" s="1"/>
  <c r="N20"/>
  <c r="O20" s="1"/>
  <c r="N21"/>
  <c r="O21" s="1"/>
  <c r="N15"/>
  <c r="O15" s="1"/>
  <c r="N14"/>
  <c r="O14" s="1"/>
  <c r="N16"/>
  <c r="O16" s="1"/>
  <c r="N17"/>
  <c r="O17" s="1"/>
  <c r="N10"/>
  <c r="O10" s="1"/>
  <c r="N9"/>
  <c r="O9" s="1"/>
  <c r="N11"/>
  <c r="O11" s="1"/>
  <c r="D8"/>
  <c r="L8"/>
  <c r="M8"/>
  <c r="D7" l="1"/>
  <c r="L7"/>
  <c r="M7"/>
  <c r="D6" l="1"/>
  <c r="L6"/>
  <c r="M6"/>
  <c r="E13" i="2"/>
  <c r="F13"/>
  <c r="G13"/>
  <c r="D5" i="4" l="1"/>
  <c r="L5"/>
  <c r="M5"/>
  <c r="M2" l="1"/>
  <c r="D4"/>
  <c r="L4"/>
  <c r="M4"/>
  <c r="E12" i="2"/>
  <c r="F12"/>
  <c r="G12"/>
  <c r="D3" i="4" l="1"/>
  <c r="L3"/>
  <c r="M3"/>
  <c r="A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D2"/>
  <c r="L2"/>
  <c r="N8" s="1"/>
  <c r="O8" s="1"/>
  <c r="E11" i="2"/>
  <c r="F11"/>
  <c r="G11"/>
  <c r="E10"/>
  <c r="F10"/>
  <c r="G10"/>
  <c r="E9"/>
  <c r="F9"/>
  <c r="G9"/>
  <c r="E8"/>
  <c r="F8"/>
  <c r="G8"/>
  <c r="B7" i="6"/>
  <c r="A4" i="5"/>
  <c r="G2" i="2"/>
  <c r="G3"/>
  <c r="G4"/>
  <c r="G5"/>
  <c r="G6"/>
  <c r="G7"/>
  <c r="F2"/>
  <c r="F3"/>
  <c r="F4"/>
  <c r="F5"/>
  <c r="F6"/>
  <c r="F7"/>
  <c r="E2"/>
  <c r="E3"/>
  <c r="E4"/>
  <c r="E5"/>
  <c r="E6"/>
  <c r="E7"/>
  <c r="A2" i="3"/>
  <c r="A3" s="1"/>
  <c r="A4" s="1"/>
  <c r="A5" s="1"/>
  <c r="D2" i="1"/>
  <c r="D3" s="1"/>
  <c r="D4" s="1"/>
  <c r="D5" s="1"/>
  <c r="D6" s="1"/>
  <c r="D7" s="1"/>
  <c r="D8" s="1"/>
  <c r="A2"/>
  <c r="A2" i="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E64" i="4" l="1"/>
  <c r="F64" s="1"/>
  <c r="E66"/>
  <c r="F66" s="1"/>
  <c r="A64"/>
  <c r="A65" s="1"/>
  <c r="A66" s="1"/>
  <c r="E63"/>
  <c r="F63" s="1"/>
  <c r="E65"/>
  <c r="F65" s="1"/>
  <c r="C63"/>
  <c r="Q63" s="1"/>
  <c r="B63"/>
  <c r="P63" s="1"/>
  <c r="B62"/>
  <c r="P62" s="1"/>
  <c r="C62"/>
  <c r="Q62" s="1"/>
  <c r="B61"/>
  <c r="P61" s="1"/>
  <c r="C61"/>
  <c r="Q61" s="1"/>
  <c r="B60"/>
  <c r="P60" s="1"/>
  <c r="C60"/>
  <c r="Q60" s="1"/>
  <c r="B59"/>
  <c r="P59" s="1"/>
  <c r="C59"/>
  <c r="Q59" s="1"/>
  <c r="E62"/>
  <c r="F62" s="1"/>
  <c r="E60"/>
  <c r="F60" s="1"/>
  <c r="E61"/>
  <c r="F61" s="1"/>
  <c r="E58"/>
  <c r="F58" s="1"/>
  <c r="E59"/>
  <c r="F59" s="1"/>
  <c r="C58"/>
  <c r="Q58" s="1"/>
  <c r="B58"/>
  <c r="P58" s="1"/>
  <c r="B57"/>
  <c r="P57" s="1"/>
  <c r="C54"/>
  <c r="Q54" s="1"/>
  <c r="C55"/>
  <c r="Q55" s="1"/>
  <c r="C57"/>
  <c r="Q57" s="1"/>
  <c r="B55"/>
  <c r="P55" s="1"/>
  <c r="B56"/>
  <c r="P56" s="1"/>
  <c r="C56"/>
  <c r="Q56" s="1"/>
  <c r="B54"/>
  <c r="P54" s="1"/>
  <c r="B53"/>
  <c r="P53" s="1"/>
  <c r="C53"/>
  <c r="Q53" s="1"/>
  <c r="C52"/>
  <c r="Q52" s="1"/>
  <c r="B52"/>
  <c r="P52" s="1"/>
  <c r="C51"/>
  <c r="Q51" s="1"/>
  <c r="B51"/>
  <c r="P51" s="1"/>
  <c r="B50"/>
  <c r="P50" s="1"/>
  <c r="C50"/>
  <c r="Q50" s="1"/>
  <c r="B49"/>
  <c r="P49" s="1"/>
  <c r="C49"/>
  <c r="Q49" s="1"/>
  <c r="E56"/>
  <c r="F56" s="1"/>
  <c r="E57"/>
  <c r="F57" s="1"/>
  <c r="E54"/>
  <c r="F54" s="1"/>
  <c r="E55"/>
  <c r="F55" s="1"/>
  <c r="E52"/>
  <c r="F52" s="1"/>
  <c r="E53"/>
  <c r="F53" s="1"/>
  <c r="E50"/>
  <c r="F50" s="1"/>
  <c r="E51"/>
  <c r="F51" s="1"/>
  <c r="E48"/>
  <c r="F48" s="1"/>
  <c r="E49"/>
  <c r="F49" s="1"/>
  <c r="B48"/>
  <c r="P48" s="1"/>
  <c r="C48"/>
  <c r="Q48" s="1"/>
  <c r="B47"/>
  <c r="P47" s="1"/>
  <c r="C47"/>
  <c r="Q47" s="1"/>
  <c r="B46"/>
  <c r="P46" s="1"/>
  <c r="C46"/>
  <c r="Q46" s="1"/>
  <c r="E46"/>
  <c r="F46" s="1"/>
  <c r="E47"/>
  <c r="F47" s="1"/>
  <c r="B45"/>
  <c r="P45" s="1"/>
  <c r="C45"/>
  <c r="Q45" s="1"/>
  <c r="E44"/>
  <c r="F44" s="1"/>
  <c r="E45"/>
  <c r="F45" s="1"/>
  <c r="C44"/>
  <c r="Q44" s="1"/>
  <c r="B44"/>
  <c r="P44" s="1"/>
  <c r="B43"/>
  <c r="P43" s="1"/>
  <c r="C43"/>
  <c r="Q43" s="1"/>
  <c r="C42"/>
  <c r="Q42" s="1"/>
  <c r="B42"/>
  <c r="P42" s="1"/>
  <c r="B41"/>
  <c r="P41" s="1"/>
  <c r="C41"/>
  <c r="Q41" s="1"/>
  <c r="E42"/>
  <c r="F42" s="1"/>
  <c r="E43"/>
  <c r="F43" s="1"/>
  <c r="E40"/>
  <c r="F40" s="1"/>
  <c r="E41"/>
  <c r="F41" s="1"/>
  <c r="B40"/>
  <c r="P40" s="1"/>
  <c r="C40"/>
  <c r="Q40" s="1"/>
  <c r="B39"/>
  <c r="P39" s="1"/>
  <c r="C39"/>
  <c r="Q39" s="1"/>
  <c r="B38"/>
  <c r="P38" s="1"/>
  <c r="C38"/>
  <c r="Q38" s="1"/>
  <c r="B37"/>
  <c r="P37" s="1"/>
  <c r="C37"/>
  <c r="Q37" s="1"/>
  <c r="E38"/>
  <c r="F38" s="1"/>
  <c r="E39"/>
  <c r="F39" s="1"/>
  <c r="E36"/>
  <c r="F36" s="1"/>
  <c r="E37"/>
  <c r="F37" s="1"/>
  <c r="C36"/>
  <c r="Q36" s="1"/>
  <c r="B36"/>
  <c r="P36" s="1"/>
  <c r="B35"/>
  <c r="P35" s="1"/>
  <c r="C35"/>
  <c r="Q35" s="1"/>
  <c r="B34"/>
  <c r="P34" s="1"/>
  <c r="C34"/>
  <c r="Q34" s="1"/>
  <c r="B33"/>
  <c r="P33" s="1"/>
  <c r="C33"/>
  <c r="Q33" s="1"/>
  <c r="E34"/>
  <c r="F34" s="1"/>
  <c r="E35"/>
  <c r="F35" s="1"/>
  <c r="E32"/>
  <c r="F32" s="1"/>
  <c r="E33"/>
  <c r="F33" s="1"/>
  <c r="B32"/>
  <c r="P32" s="1"/>
  <c r="C32"/>
  <c r="Q32" s="1"/>
  <c r="B30"/>
  <c r="P30" s="1"/>
  <c r="C30"/>
  <c r="Q30" s="1"/>
  <c r="B31"/>
  <c r="P31" s="1"/>
  <c r="C31"/>
  <c r="Q31" s="1"/>
  <c r="E30"/>
  <c r="F30" s="1"/>
  <c r="E31"/>
  <c r="F31" s="1"/>
  <c r="C29"/>
  <c r="Q29" s="1"/>
  <c r="B29"/>
  <c r="P29" s="1"/>
  <c r="C28"/>
  <c r="Q28" s="1"/>
  <c r="B28"/>
  <c r="P28" s="1"/>
  <c r="C27"/>
  <c r="Q27" s="1"/>
  <c r="C26"/>
  <c r="Q26" s="1"/>
  <c r="B27"/>
  <c r="P27" s="1"/>
  <c r="B26"/>
  <c r="P26" s="1"/>
  <c r="B25"/>
  <c r="P25" s="1"/>
  <c r="C25"/>
  <c r="Q25" s="1"/>
  <c r="E28"/>
  <c r="F28" s="1"/>
  <c r="E29"/>
  <c r="F29" s="1"/>
  <c r="E26"/>
  <c r="F26" s="1"/>
  <c r="E27"/>
  <c r="F27" s="1"/>
  <c r="E24"/>
  <c r="F24" s="1"/>
  <c r="E25"/>
  <c r="F25" s="1"/>
  <c r="B23"/>
  <c r="P23" s="1"/>
  <c r="C24"/>
  <c r="Q24" s="1"/>
  <c r="C23"/>
  <c r="Q23" s="1"/>
  <c r="B24"/>
  <c r="P24" s="1"/>
  <c r="E22"/>
  <c r="F22" s="1"/>
  <c r="E23"/>
  <c r="F23" s="1"/>
  <c r="B22"/>
  <c r="P22" s="1"/>
  <c r="C22"/>
  <c r="Q22" s="1"/>
  <c r="B21"/>
  <c r="P21" s="1"/>
  <c r="C21"/>
  <c r="Q21" s="1"/>
  <c r="E20"/>
  <c r="F20" s="1"/>
  <c r="E21"/>
  <c r="F21" s="1"/>
  <c r="C19"/>
  <c r="Q19" s="1"/>
  <c r="B13"/>
  <c r="P13" s="1"/>
  <c r="C13"/>
  <c r="Q13" s="1"/>
  <c r="B14"/>
  <c r="P14" s="1"/>
  <c r="B18"/>
  <c r="P18" s="1"/>
  <c r="B19"/>
  <c r="P19" s="1"/>
  <c r="C14"/>
  <c r="Q14" s="1"/>
  <c r="B20"/>
  <c r="P20" s="1"/>
  <c r="B15"/>
  <c r="P15" s="1"/>
  <c r="C20"/>
  <c r="Q20" s="1"/>
  <c r="C18"/>
  <c r="Q18" s="1"/>
  <c r="C15"/>
  <c r="Q15" s="1"/>
  <c r="E18"/>
  <c r="F18" s="1"/>
  <c r="E19"/>
  <c r="F19" s="1"/>
  <c r="E13"/>
  <c r="F13" s="1"/>
  <c r="E14"/>
  <c r="F14" s="1"/>
  <c r="E3"/>
  <c r="F3" s="1"/>
  <c r="E17"/>
  <c r="F17" s="1"/>
  <c r="E15"/>
  <c r="F15" s="1"/>
  <c r="B17"/>
  <c r="P17" s="1"/>
  <c r="C17"/>
  <c r="Q17" s="1"/>
  <c r="B16"/>
  <c r="P16" s="1"/>
  <c r="C16"/>
  <c r="Q16" s="1"/>
  <c r="E16"/>
  <c r="F16" s="1"/>
  <c r="C12"/>
  <c r="Q12" s="1"/>
  <c r="C9"/>
  <c r="Q9" s="1"/>
  <c r="C10"/>
  <c r="Q10" s="1"/>
  <c r="B12"/>
  <c r="P12" s="1"/>
  <c r="B9"/>
  <c r="P9" s="1"/>
  <c r="B11"/>
  <c r="P11" s="1"/>
  <c r="C11"/>
  <c r="Q11" s="1"/>
  <c r="B10"/>
  <c r="P10" s="1"/>
  <c r="E11"/>
  <c r="F11" s="1"/>
  <c r="E12"/>
  <c r="F12" s="1"/>
  <c r="E4"/>
  <c r="F4" s="1"/>
  <c r="E10"/>
  <c r="F10" s="1"/>
  <c r="E9"/>
  <c r="F9" s="1"/>
  <c r="E2"/>
  <c r="F2" s="1"/>
  <c r="E8"/>
  <c r="F8" s="1"/>
  <c r="E7"/>
  <c r="F7" s="1"/>
  <c r="E6"/>
  <c r="F6" s="1"/>
  <c r="E5"/>
  <c r="F5" s="1"/>
  <c r="B8"/>
  <c r="P8" s="1"/>
  <c r="C8"/>
  <c r="Q8" s="1"/>
  <c r="C7"/>
  <c r="Q7" s="1"/>
  <c r="B7"/>
  <c r="P7" s="1"/>
  <c r="C6"/>
  <c r="Q6" s="1"/>
  <c r="B6"/>
  <c r="P6" s="1"/>
  <c r="N5"/>
  <c r="O5" s="1"/>
  <c r="N7"/>
  <c r="O7" s="1"/>
  <c r="N4"/>
  <c r="O4" s="1"/>
  <c r="N6"/>
  <c r="O6" s="1"/>
  <c r="N3"/>
  <c r="O3" s="1"/>
  <c r="B2"/>
  <c r="P2" s="1"/>
  <c r="B5"/>
  <c r="P5" s="1"/>
  <c r="C5"/>
  <c r="Q5" s="1"/>
  <c r="B4"/>
  <c r="P4" s="1"/>
  <c r="C4"/>
  <c r="Q4" s="1"/>
  <c r="N2"/>
  <c r="O2" s="1"/>
  <c r="C3"/>
  <c r="Q3" s="1"/>
  <c r="C2"/>
  <c r="Q2" s="1"/>
  <c r="B3"/>
  <c r="P3" s="1"/>
  <c r="L5" i="5"/>
  <c r="K5"/>
  <c r="J5"/>
  <c r="P5"/>
  <c r="O5"/>
  <c r="N5"/>
  <c r="M5"/>
  <c r="B15"/>
  <c r="B11" i="6"/>
  <c r="B8" i="5"/>
  <c r="B16"/>
  <c r="B7"/>
  <c r="B21"/>
  <c r="B12"/>
  <c r="B17"/>
  <c r="B18"/>
  <c r="B9"/>
  <c r="B19"/>
  <c r="B10"/>
  <c r="B20"/>
  <c r="B11"/>
  <c r="B13"/>
  <c r="B14"/>
  <c r="D8" i="6" l="1"/>
  <c r="D7"/>
  <c r="U7" s="1"/>
  <c r="V7" s="1"/>
  <c r="D10"/>
  <c r="D9"/>
  <c r="H11"/>
  <c r="H12"/>
  <c r="H13"/>
  <c r="H14"/>
  <c r="H7"/>
  <c r="H8"/>
  <c r="H9"/>
  <c r="H10"/>
  <c r="B15"/>
  <c r="H17" s="1"/>
  <c r="D12"/>
  <c r="D11"/>
  <c r="D13"/>
  <c r="D14"/>
  <c r="M8" i="5"/>
  <c r="L11"/>
  <c r="L8"/>
  <c r="L10"/>
  <c r="J18"/>
  <c r="O18"/>
  <c r="M16"/>
  <c r="N18"/>
  <c r="J12"/>
  <c r="O9"/>
  <c r="L16"/>
  <c r="O11"/>
  <c r="L7"/>
  <c r="O13"/>
  <c r="N19"/>
  <c r="M20"/>
  <c r="J8"/>
  <c r="J7"/>
  <c r="G8"/>
  <c r="G16"/>
  <c r="N11"/>
  <c r="P17"/>
  <c r="M12"/>
  <c r="K13"/>
  <c r="G14"/>
  <c r="O16"/>
  <c r="L20"/>
  <c r="G20"/>
  <c r="N9"/>
  <c r="N16"/>
  <c r="P21"/>
  <c r="L15"/>
  <c r="J14"/>
  <c r="G11"/>
  <c r="G18"/>
  <c r="P11"/>
  <c r="P18"/>
  <c r="M19"/>
  <c r="K21"/>
  <c r="J19"/>
  <c r="G15"/>
  <c r="J17"/>
  <c r="G7"/>
  <c r="N17"/>
  <c r="M11"/>
  <c r="L21"/>
  <c r="J16"/>
  <c r="G13"/>
  <c r="G21"/>
  <c r="P9"/>
  <c r="O7"/>
  <c r="J15"/>
  <c r="G12"/>
  <c r="G19"/>
  <c r="N15"/>
  <c r="O21"/>
  <c r="J11"/>
  <c r="P10"/>
  <c r="O8"/>
  <c r="L13"/>
  <c r="G10"/>
  <c r="N8"/>
  <c r="P13"/>
  <c r="P19"/>
  <c r="L12"/>
  <c r="J9"/>
  <c r="G9"/>
  <c r="G17"/>
  <c r="K19"/>
  <c r="K11"/>
  <c r="M15"/>
  <c r="M10"/>
  <c r="N10"/>
  <c r="M7"/>
  <c r="O14"/>
  <c r="O10"/>
  <c r="K20"/>
  <c r="K18"/>
  <c r="P7"/>
  <c r="J13"/>
  <c r="L19"/>
  <c r="M14"/>
  <c r="M17"/>
  <c r="L9"/>
  <c r="O17"/>
  <c r="J10"/>
  <c r="O19"/>
  <c r="N13"/>
  <c r="O15"/>
  <c r="K14"/>
  <c r="P8"/>
  <c r="K12"/>
  <c r="P12"/>
  <c r="K16"/>
  <c r="J21"/>
  <c r="M18"/>
  <c r="K10"/>
  <c r="M9"/>
  <c r="O12"/>
  <c r="P14"/>
  <c r="K17"/>
  <c r="P16"/>
  <c r="P15"/>
  <c r="L14"/>
  <c r="O20"/>
  <c r="K8"/>
  <c r="M21"/>
  <c r="L18"/>
  <c r="N7"/>
  <c r="M13"/>
  <c r="K7"/>
  <c r="N20"/>
  <c r="N21"/>
  <c r="L17"/>
  <c r="P20"/>
  <c r="J20"/>
  <c r="N12"/>
  <c r="K9"/>
  <c r="N14"/>
  <c r="K15"/>
  <c r="H18" i="6" l="1"/>
  <c r="U10"/>
  <c r="V10" s="1"/>
  <c r="U8"/>
  <c r="V8" s="1"/>
  <c r="W8" s="1"/>
  <c r="X8" s="1"/>
  <c r="U9"/>
  <c r="V9" s="1"/>
  <c r="W7"/>
  <c r="X7" s="1"/>
  <c r="U13"/>
  <c r="V13" s="1"/>
  <c r="W13" s="1"/>
  <c r="X13" s="1"/>
  <c r="U14"/>
  <c r="V14" s="1"/>
  <c r="W14" s="1"/>
  <c r="X14" s="1"/>
  <c r="U12"/>
  <c r="V12" s="1"/>
  <c r="U11"/>
  <c r="V11" s="1"/>
  <c r="H15"/>
  <c r="H16"/>
  <c r="I7"/>
  <c r="I11"/>
  <c r="D16"/>
  <c r="D15"/>
  <c r="U15" s="1"/>
  <c r="V15" s="1"/>
  <c r="B19"/>
  <c r="D17"/>
  <c r="D18"/>
  <c r="O23" i="5"/>
  <c r="N23"/>
  <c r="L23"/>
  <c r="P23"/>
  <c r="K23"/>
  <c r="J23"/>
  <c r="M23"/>
  <c r="G23"/>
  <c r="W10" i="6" l="1"/>
  <c r="X10" s="1"/>
  <c r="W11"/>
  <c r="X11" s="1"/>
  <c r="W15"/>
  <c r="X15" s="1"/>
  <c r="W12"/>
  <c r="X12" s="1"/>
  <c r="W9"/>
  <c r="X9" s="1"/>
  <c r="Y13"/>
  <c r="Z13" s="1"/>
  <c r="AA13" s="1"/>
  <c r="AB13" s="1"/>
  <c r="Y8"/>
  <c r="Y14"/>
  <c r="Z14" s="1"/>
  <c r="AA14" s="1"/>
  <c r="AB14" s="1"/>
  <c r="Y7"/>
  <c r="Z7" s="1"/>
  <c r="AA7" s="1"/>
  <c r="U16"/>
  <c r="V16" s="1"/>
  <c r="W16" s="1"/>
  <c r="X16" s="1"/>
  <c r="U17"/>
  <c r="V17" s="1"/>
  <c r="U18"/>
  <c r="V18" s="1"/>
  <c r="W18" s="1"/>
  <c r="X18" s="1"/>
  <c r="I15"/>
  <c r="H20"/>
  <c r="H22"/>
  <c r="H19"/>
  <c r="H21"/>
  <c r="D20"/>
  <c r="D22"/>
  <c r="D21"/>
  <c r="B23"/>
  <c r="D19"/>
  <c r="U19" s="1"/>
  <c r="V19" s="1"/>
  <c r="Y10" l="1"/>
  <c r="Y11"/>
  <c r="Y12"/>
  <c r="Y15"/>
  <c r="W17"/>
  <c r="X17" s="1"/>
  <c r="Y9"/>
  <c r="Z8"/>
  <c r="AA8" s="1"/>
  <c r="Y16"/>
  <c r="Y18"/>
  <c r="Z18" s="1"/>
  <c r="AA18" s="1"/>
  <c r="AB18" s="1"/>
  <c r="W19"/>
  <c r="X19" s="1"/>
  <c r="U21"/>
  <c r="V21" s="1"/>
  <c r="W21" s="1"/>
  <c r="X21" s="1"/>
  <c r="U20"/>
  <c r="V20" s="1"/>
  <c r="W20" s="1"/>
  <c r="X20" s="1"/>
  <c r="U22"/>
  <c r="V22" s="1"/>
  <c r="W22" s="1"/>
  <c r="X22" s="1"/>
  <c r="I19"/>
  <c r="H23"/>
  <c r="H25"/>
  <c r="H24"/>
  <c r="H26"/>
  <c r="D25"/>
  <c r="D24"/>
  <c r="B27"/>
  <c r="D23"/>
  <c r="U23" s="1"/>
  <c r="V23" s="1"/>
  <c r="D26"/>
  <c r="Z11" l="1"/>
  <c r="AA11" s="1"/>
  <c r="Y17"/>
  <c r="Z17" s="1"/>
  <c r="AA17" s="1"/>
  <c r="Z10"/>
  <c r="AA10" s="1"/>
  <c r="Z9"/>
  <c r="AA9" s="1"/>
  <c r="Z15"/>
  <c r="AA15" s="1"/>
  <c r="Z16"/>
  <c r="AA16" s="1"/>
  <c r="Z12"/>
  <c r="AA12" s="1"/>
  <c r="U24"/>
  <c r="V24" s="1"/>
  <c r="W24" s="1"/>
  <c r="X24" s="1"/>
  <c r="Y21"/>
  <c r="Z21" s="1"/>
  <c r="AA21" s="1"/>
  <c r="AB21" s="1"/>
  <c r="Y19"/>
  <c r="Z19" s="1"/>
  <c r="AA19" s="1"/>
  <c r="Y20"/>
  <c r="Y22"/>
  <c r="Z22" s="1"/>
  <c r="AA22" s="1"/>
  <c r="AB22" s="1"/>
  <c r="W23"/>
  <c r="X23" s="1"/>
  <c r="U25"/>
  <c r="V25" s="1"/>
  <c r="U26"/>
  <c r="V26" s="1"/>
  <c r="W26" s="1"/>
  <c r="X26" s="1"/>
  <c r="I23"/>
  <c r="H28"/>
  <c r="H30"/>
  <c r="H27"/>
  <c r="H29"/>
  <c r="D28"/>
  <c r="D27"/>
  <c r="D29"/>
  <c r="D30"/>
  <c r="Y24" l="1"/>
  <c r="W25"/>
  <c r="X25" s="1"/>
  <c r="AB17"/>
  <c r="AB11"/>
  <c r="AB10"/>
  <c r="Z20"/>
  <c r="AA20" s="1"/>
  <c r="AB20" s="1"/>
  <c r="AB15"/>
  <c r="AB16"/>
  <c r="AB12"/>
  <c r="AB9"/>
  <c r="AB8"/>
  <c r="U27"/>
  <c r="V27" s="1"/>
  <c r="W27" s="1"/>
  <c r="X27" s="1"/>
  <c r="AB7"/>
  <c r="AB19"/>
  <c r="Y23"/>
  <c r="Z23" s="1"/>
  <c r="AA23" s="1"/>
  <c r="AB23" s="1"/>
  <c r="Y26"/>
  <c r="Z26" s="1"/>
  <c r="AA26" s="1"/>
  <c r="AB26" s="1"/>
  <c r="U28"/>
  <c r="V28" s="1"/>
  <c r="U29"/>
  <c r="V29" s="1"/>
  <c r="W29" s="1"/>
  <c r="X29" s="1"/>
  <c r="U30"/>
  <c r="V30" s="1"/>
  <c r="I27"/>
  <c r="I2" s="1"/>
  <c r="J2" s="1"/>
  <c r="W28" l="1"/>
  <c r="X28" s="1"/>
  <c r="W30"/>
  <c r="X30" s="1"/>
  <c r="Y25"/>
  <c r="Z25" s="1"/>
  <c r="AA25" s="1"/>
  <c r="AB25" s="1"/>
  <c r="Z24"/>
  <c r="AA24" s="1"/>
  <c r="AB24" s="1"/>
  <c r="Y27"/>
  <c r="Z27" s="1"/>
  <c r="AA27" s="1"/>
  <c r="AB27" s="1"/>
  <c r="Y29"/>
  <c r="Z29" s="1"/>
  <c r="AA29" s="1"/>
  <c r="AB29" s="1"/>
  <c r="Y28" l="1"/>
  <c r="Z28" s="1"/>
  <c r="AA28" s="1"/>
  <c r="AB28" s="1"/>
  <c r="Y30"/>
  <c r="L7"/>
  <c r="L9"/>
  <c r="L11"/>
  <c r="L10"/>
  <c r="L8"/>
  <c r="Z30" l="1"/>
  <c r="AA30" s="1"/>
  <c r="AB30" s="1"/>
  <c r="N8" s="1"/>
  <c r="K16"/>
  <c r="K24"/>
  <c r="K20"/>
  <c r="K32"/>
  <c r="K28"/>
  <c r="N7" l="1"/>
  <c r="N11"/>
  <c r="N9"/>
  <c r="N10"/>
  <c r="M30"/>
  <c r="Q30" s="1"/>
  <c r="M28"/>
  <c r="Q28" s="1"/>
  <c r="M31"/>
  <c r="Q31" s="1"/>
  <c r="M29"/>
  <c r="Q29" s="1"/>
  <c r="M34"/>
  <c r="Q34" s="1"/>
  <c r="M33"/>
  <c r="Q33" s="1"/>
  <c r="M32"/>
  <c r="Q32" s="1"/>
  <c r="M35"/>
  <c r="Q35" s="1"/>
  <c r="M16"/>
  <c r="Q16" s="1"/>
  <c r="M19"/>
  <c r="Q19" s="1"/>
  <c r="M17"/>
  <c r="Q17" s="1"/>
  <c r="M18"/>
  <c r="Q18" s="1"/>
  <c r="M27"/>
  <c r="Q27" s="1"/>
  <c r="M25"/>
  <c r="Q25" s="1"/>
  <c r="M24"/>
  <c r="Q24" s="1"/>
  <c r="M26"/>
  <c r="Q26" s="1"/>
  <c r="M22"/>
  <c r="Q22" s="1"/>
  <c r="M20"/>
  <c r="Q20" s="1"/>
  <c r="M23"/>
  <c r="Q23" s="1"/>
  <c r="M21"/>
  <c r="Q21" s="1"/>
  <c r="R16" l="1"/>
  <c r="R28"/>
  <c r="R20"/>
  <c r="R32"/>
  <c r="R24"/>
</calcChain>
</file>

<file path=xl/sharedStrings.xml><?xml version="1.0" encoding="utf-8"?>
<sst xmlns="http://schemas.openxmlformats.org/spreadsheetml/2006/main" count="263" uniqueCount="100">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</sst>
</file>

<file path=xl/styles.xml><?xml version="1.0" encoding="utf-8"?>
<styleSheet xmlns="http://schemas.openxmlformats.org/spreadsheetml/2006/main">
  <numFmts count="2">
    <numFmt numFmtId="164" formatCode="dd\/mmm\/yy"/>
    <numFmt numFmtId="165" formatCode="dd\/mmm"/>
  </numFmts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23" formatCode="hh:mm\ AM/PM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bar"/>
        <c:grouping val="clustered"/>
        <c:ser>
          <c:idx val="0"/>
          <c:order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/>
        <c:gapWidth val="0"/>
        <c:overlap val="100"/>
        <c:axId val="79840384"/>
        <c:axId val="79841920"/>
      </c:barChart>
      <c:catAx>
        <c:axId val="79840384"/>
        <c:scaling>
          <c:orientation val="minMax"/>
        </c:scaling>
        <c:axPos val="l"/>
        <c:majorGridlines/>
        <c:numFmt formatCode="General" sourceLinked="0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9841920"/>
        <c:crosses val="autoZero"/>
        <c:auto val="1"/>
        <c:lblAlgn val="ctr"/>
        <c:lblOffset val="100"/>
      </c:catAx>
      <c:valAx>
        <c:axId val="79841920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9840384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stacked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/>
        <c:gapWidth val="20"/>
        <c:overlap val="100"/>
        <c:axId val="79910016"/>
        <c:axId val="79911552"/>
      </c:barChart>
      <c:catAx>
        <c:axId val="79910016"/>
        <c:scaling>
          <c:orientation val="minMax"/>
        </c:scaling>
        <c:axPos val="b"/>
        <c:numFmt formatCode="General" sourceLinked="0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9911552"/>
        <c:crosses val="autoZero"/>
        <c:auto val="1"/>
        <c:lblAlgn val="ctr"/>
        <c:lblOffset val="100"/>
      </c:catAx>
      <c:valAx>
        <c:axId val="7991155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991001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Val val="1"/>
            <c:showCatName val="1"/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CatName val="1"/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</c:title>
    <c:plotArea>
      <c:layout/>
      <c:areaChart>
        <c:grouping val="stacked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419.99999999999994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/>
        <c:axId val="80691200"/>
        <c:axId val="80692736"/>
      </c:areaChart>
      <c:catAx>
        <c:axId val="80691200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0692736"/>
        <c:crosses val="autoZero"/>
        <c:auto val="1"/>
        <c:lblAlgn val="ctr"/>
        <c:lblOffset val="100"/>
      </c:catAx>
      <c:valAx>
        <c:axId val="806927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0691200"/>
        <c:crosses val="autoZero"/>
        <c:crossBetween val="midCat"/>
      </c:valAx>
    </c:plotArea>
    <c:legend>
      <c:legendPos val="b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separator>, </c:separator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419.99999999999994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Percent val="1"/>
        </c:dLbls>
        <c:firstSliceAng val="0"/>
        <c:holeSize val="10"/>
      </c:doughnutChart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Val val="1"/>
            <c:showCatName val="1"/>
            <c:showPercent val="1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-255.00000000000011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TASK 1</c:v>
          </c:tx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showSerName val="1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314.99999999999989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showSerName val="1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-570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showSerName val="1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81486592"/>
        <c:axId val="81488128"/>
      </c:barChart>
      <c:catAx>
        <c:axId val="81486592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1488128"/>
        <c:crosses val="autoZero"/>
        <c:auto val="1"/>
        <c:lblAlgn val="ctr"/>
        <c:lblOffset val="100"/>
      </c:catAx>
      <c:valAx>
        <c:axId val="81488128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1486592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314.99999999999989</c:v>
                </c:pt>
                <c:pt idx="1">
                  <c:v>-570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/>
        <c:gapWidth val="25"/>
        <c:overlap val="40"/>
        <c:axId val="81521280"/>
        <c:axId val="81523072"/>
      </c:barChart>
      <c:dateAx>
        <c:axId val="81521280"/>
        <c:scaling>
          <c:orientation val="maxMin"/>
        </c:scaling>
        <c:axPos val="l"/>
        <c:numFmt formatCode="dd\/mmm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1523072"/>
        <c:crosses val="autoZero"/>
        <c:auto val="1"/>
        <c:lblOffset val="100"/>
        <c:baseTimeUnit val="days"/>
      </c:dateAx>
      <c:valAx>
        <c:axId val="81523072"/>
        <c:scaling>
          <c:orientation val="minMax"/>
        </c:scaling>
        <c:axPos val="t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1521280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8" totalsRowShown="0" headerRowDxfId="31" dataDxfId="30">
  <autoFilter ref="A1:G28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CONCATENATE([Project],"/",[Task])</calculatedColumnFormula>
    </tableColumn>
    <tableColumn id="5" name="PRJ" dataDxfId="24">
      <calculatedColumnFormula>[Project]</calculatedColumnFormula>
    </tableColumn>
    <tableColumn id="6" name="TSK" dataDxfId="23">
      <calculatedColumnFormula>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66" totalsRowShown="0" headerRowDxfId="18" dataDxfId="17">
  <autoFilter ref="A1:Q66"/>
  <tableColumns count="17">
    <tableColumn id="1" name="No" dataDxfId="16">
      <calculatedColumnFormula>IFERROR($A1+1,1)</calculatedColumnFormula>
    </tableColumn>
    <tableColumn id="11" name="PRJ" dataDxfId="15">
      <calculatedColumnFormula>VLOOKUP([Task],ProjectTasks[[TaskProjectCode]:[TSK]],2,0)</calculatedColumnFormula>
    </tableColumn>
    <tableColumn id="12" name="TSK" dataDxfId="14">
      <calculatedColumnFormula>VLOOKUP([Task],ProjectTasks[[TaskProjectCode]:[TSK]],3,0)</calculatedColumnFormula>
    </tableColumn>
    <tableColumn id="13" name="EmployeeDate" dataDxfId="13">
      <calculatedColumnFormula>[Employee]&amp;"/"&amp;[Date]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([End Time]-[Start Time])*1440</calculatedColumnFormula>
    </tableColumn>
    <tableColumn id="8" name="Total" dataDxfId="4">
      <calculatedColumnFormula>TEXT([End Time]-[Start Time],"HH:mm")</calculatedColumnFormula>
    </tableColumn>
    <tableColumn id="9" name="Day Total Minutes" dataDxfId="3">
      <calculatedColumnFormula>SUMIFS([Total Minutes],[Date],[Date],[Employee],[Employee])</calculatedColumnFormula>
    </tableColumn>
    <tableColumn id="10" name="Day Total" dataDxfId="2">
      <calculatedColumnFormula>TEXT([Day Total Minutes]/1440,"HH:mm")</calculatedColumnFormula>
    </tableColumn>
    <tableColumn id="16" name="PRJLST" dataDxfId="1">
      <calculatedColumnFormula>[PRJ]</calculatedColumnFormula>
    </tableColumn>
    <tableColumn id="17" name="TSKLST" dataDxfId="0">
      <calculatedColumnFormula>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E8" sqref="E8"/>
    </sheetView>
  </sheetViews>
  <sheetFormatPr defaultRowHeight="1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28"/>
  <sheetViews>
    <sheetView topLeftCell="A13" workbookViewId="0">
      <selection activeCell="D26" sqref="D26"/>
    </sheetView>
  </sheetViews>
  <sheetFormatPr defaultRowHeight="1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CONCATENATE([Project],"/",[Task])</f>
        <v>TEEBPD/Theme Designing</v>
      </c>
      <c r="F2" s="7" t="str">
        <f>[Project]</f>
        <v>TEEBPD</v>
      </c>
      <c r="G2" s="7" t="str">
        <f>[Task]</f>
        <v>Theme Designing</v>
      </c>
    </row>
    <row r="3" spans="1:7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CONCATENATE([Project],"/",[Task])</f>
        <v>TEEBPD/Database Structure Designing</v>
      </c>
      <c r="F3" s="7" t="str">
        <f>[Project]</f>
        <v>TEEBPD</v>
      </c>
      <c r="G3" s="7" t="str">
        <f>[Task]</f>
        <v>Database Structure Designing</v>
      </c>
    </row>
    <row r="4" spans="1:7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CONCATENATE([Project],"/",[Task])</f>
        <v>TEEBPD/Appframe configuration</v>
      </c>
      <c r="F4" s="7" t="str">
        <f>[Project]</f>
        <v>TEEBPD</v>
      </c>
      <c r="G4" s="7" t="str">
        <f>[Task]</f>
        <v>Appframe configuration</v>
      </c>
    </row>
    <row r="5" spans="1:7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CONCATENATE([Project],"/",[Task])</f>
        <v>TEEBPD/Inhouse Testing</v>
      </c>
      <c r="F5" s="7" t="str">
        <f>[Project]</f>
        <v>TEEBPD</v>
      </c>
      <c r="G5" s="7" t="str">
        <f>[Task]</f>
        <v>Inhouse Testing</v>
      </c>
    </row>
    <row r="6" spans="1:7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CONCATENATE([Project],"/",[Task])</f>
        <v>TEEBPD/Client Demonstration</v>
      </c>
      <c r="F6" s="7" t="str">
        <f>[Project]</f>
        <v>TEEBPD</v>
      </c>
      <c r="G6" s="7" t="str">
        <f>[Task]</f>
        <v>Client Demonstration</v>
      </c>
    </row>
    <row r="7" spans="1:7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CONCATENATE([Project],"/",[Task])</f>
        <v>TEEBPD/Client Suggestion Implementation</v>
      </c>
      <c r="F7" s="7" t="str">
        <f>[Project]</f>
        <v>TEEBPD</v>
      </c>
      <c r="G7" s="7" t="str">
        <f>[Task]</f>
        <v>Client Suggestion Implementation</v>
      </c>
    </row>
    <row r="8" spans="1:7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CONCATENATE([Project],"/",[Task])</f>
        <v>TKT/Database Analysis from Old Project</v>
      </c>
      <c r="F8" s="29" t="str">
        <f>[Project]</f>
        <v>TKT</v>
      </c>
      <c r="G8" s="29" t="str">
        <f>[Task]</f>
        <v>Database Analysis from Old Project</v>
      </c>
    </row>
    <row r="9" spans="1:7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CONCATENATE([Project],"/",[Task])</f>
        <v>TKT/DB Designing</v>
      </c>
      <c r="F9" s="29" t="str">
        <f>[Project]</f>
        <v>TKT</v>
      </c>
      <c r="G9" s="29" t="str">
        <f>[Task]</f>
        <v>DB Designing</v>
      </c>
    </row>
    <row r="10" spans="1:7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CONCATENATE([Project],"/",[Task])</f>
        <v>TKT/Appframe configuration</v>
      </c>
      <c r="F10" s="29" t="str">
        <f>[Project]</f>
        <v>TKT</v>
      </c>
      <c r="G10" s="29" t="str">
        <f>[Task]</f>
        <v>Appframe configuration</v>
      </c>
    </row>
    <row r="11" spans="1:7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CONCATENATE([Project],"/",[Task])</f>
        <v>TKT/Discussion for ticketing modification</v>
      </c>
      <c r="F11" s="39" t="str">
        <f>[Project]</f>
        <v>TKT</v>
      </c>
      <c r="G11" s="39" t="str">
        <f>[Task]</f>
        <v>Discussion for ticketing modification</v>
      </c>
    </row>
    <row r="12" spans="1:7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CONCATENATE([Project],"/",[Task])</f>
        <v>SDS/Decryption</v>
      </c>
      <c r="F12" s="39" t="str">
        <f>[Project]</f>
        <v>SDS</v>
      </c>
      <c r="G12" s="39" t="str">
        <f>[Task]</f>
        <v>Decryption</v>
      </c>
    </row>
    <row r="13" spans="1:7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CONCATENATE([Project],"/",[Task])</f>
        <v>RTM/Solving the issue of repeating icon in tray</v>
      </c>
      <c r="F13" s="39" t="str">
        <f>[Project]</f>
        <v>RTM</v>
      </c>
      <c r="G13" s="39" t="str">
        <f>[Task]</f>
        <v>Solving the issue of repeating icon in tray</v>
      </c>
    </row>
    <row r="14" spans="1:7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CONCATENATE([Project],"/",[Task])</f>
        <v>PPOIO/Project Study</v>
      </c>
      <c r="F14" s="47" t="str">
        <f>[Project]</f>
        <v>PPOIO</v>
      </c>
      <c r="G14" s="47" t="str">
        <f>[Task]</f>
        <v>Project Study</v>
      </c>
    </row>
    <row r="15" spans="1:7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CONCATENATE([Project],"/",[Task])</f>
        <v>PPOIO/Business Plan</v>
      </c>
      <c r="F15" s="47" t="str">
        <f>[Project]</f>
        <v>PPOIO</v>
      </c>
      <c r="G15" s="47" t="str">
        <f>[Task]</f>
        <v>Business Plan</v>
      </c>
    </row>
    <row r="16" spans="1:7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CONCATENATE([Project],"/",[Task])</f>
        <v>APPFRAME/Development</v>
      </c>
      <c r="F16" s="47" t="str">
        <f>[Project]</f>
        <v>APPFRAME</v>
      </c>
      <c r="G16" s="47" t="str">
        <f>[Task]</f>
        <v>Development</v>
      </c>
    </row>
    <row r="17" spans="1:7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CONCATENATE([Project],"/",[Task])</f>
        <v>MITWEB/Modification</v>
      </c>
      <c r="F17" s="47" t="str">
        <f>[Project]</f>
        <v>MITWEB</v>
      </c>
      <c r="G17" s="47" t="str">
        <f>[Task]</f>
        <v>Modification</v>
      </c>
    </row>
    <row r="18" spans="1:7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CONCATENATE([Project],"/",[Task])</f>
        <v>RTM/Getting branchname into tool</v>
      </c>
      <c r="F18" s="39" t="str">
        <f>[Project]</f>
        <v>RTM</v>
      </c>
      <c r="G18" s="39" t="str">
        <f>[Task]</f>
        <v>Getting branchname into tool</v>
      </c>
    </row>
    <row r="19" spans="1:7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CONCATENATE([Project],"/",[Task])</f>
        <v>TKT/Note down table relations</v>
      </c>
      <c r="F19" s="7" t="str">
        <f>[Project]</f>
        <v>TKT</v>
      </c>
      <c r="G19" s="7" t="str">
        <f>[Task]</f>
        <v>Note down table relations</v>
      </c>
    </row>
    <row r="20" spans="1:7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CONCATENATE([Project],"/",[Task])</f>
        <v>TKT/Entering table details into excel sheet</v>
      </c>
      <c r="F20" s="7" t="str">
        <f>[Project]</f>
        <v>TKT</v>
      </c>
      <c r="G20" s="7" t="str">
        <f>[Task]</f>
        <v>Entering table details into excel sheet</v>
      </c>
    </row>
    <row r="21" spans="1:7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CONCATENATE([Project],"/",[Task])</f>
        <v>SDS/Request and get Response from  web</v>
      </c>
      <c r="F21" s="59" t="str">
        <f>[Project]</f>
        <v>SDS</v>
      </c>
      <c r="G21" s="59" t="str">
        <f>[Task]</f>
        <v>Request and get Response from  web</v>
      </c>
    </row>
    <row r="22" spans="1:7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CONCATENATE([Project],"/",[Task])</f>
        <v>TEEBPD/Finalizing</v>
      </c>
      <c r="F22" s="67" t="str">
        <f>[Project]</f>
        <v>TEEBPD</v>
      </c>
      <c r="G22" s="67" t="str">
        <f>[Task]</f>
        <v>Finalizing</v>
      </c>
    </row>
    <row r="23" spans="1:7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CONCATENATE([Project],"/",[Task])</f>
        <v>SDS/Testing</v>
      </c>
      <c r="F23" s="59" t="str">
        <f>[Project]</f>
        <v>SDS</v>
      </c>
      <c r="G23" s="59" t="str">
        <f>[Task]</f>
        <v>Testing</v>
      </c>
    </row>
    <row r="24" spans="1:7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CONCATENATE([Project],"/",[Task])</f>
        <v>SDS/Stage 2</v>
      </c>
      <c r="F24" s="59" t="str">
        <f>[Project]</f>
        <v>SDS</v>
      </c>
      <c r="G24" s="59" t="str">
        <f>[Task]</f>
        <v>Stage 2</v>
      </c>
    </row>
    <row r="25" spans="1:7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CONCATENATE([Project],"/",[Task])</f>
        <v>TEEBPD/Synchronization Implementing</v>
      </c>
      <c r="F25" s="67" t="str">
        <f>[Project]</f>
        <v>TEEBPD</v>
      </c>
      <c r="G25" s="67" t="str">
        <f>[Task]</f>
        <v>Synchronization Implementing</v>
      </c>
    </row>
    <row r="26" spans="1:7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CONCATENATE([Project],"/",[Task])</f>
        <v>TKT/Package Creation-Stage1</v>
      </c>
      <c r="F26" s="59" t="str">
        <f>[Project]</f>
        <v>TKT</v>
      </c>
      <c r="G26" s="59" t="str">
        <f>[Task]</f>
        <v>Package Creation-Stage1</v>
      </c>
    </row>
    <row r="27" spans="1:7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CONCATENATE([Project],"/",[Task])</f>
        <v>SDS/Modification</v>
      </c>
      <c r="F27" s="59" t="str">
        <f>[Project]</f>
        <v>SDS</v>
      </c>
      <c r="G27" s="59" t="str">
        <f>[Task]</f>
        <v>Modification</v>
      </c>
    </row>
    <row r="28" spans="1:7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CONCATENATE([Project],"/",[Task])</f>
        <v>TKT/Package Creation-Stage2(Resource creation)</v>
      </c>
      <c r="F28" s="109" t="str">
        <f>[Project]</f>
        <v>TKT</v>
      </c>
      <c r="G28" s="109" t="str">
        <f>[Task]</f>
        <v>Package Creation-Stage2(Resource creation)</v>
      </c>
    </row>
  </sheetData>
  <dataValidations count="1">
    <dataValidation type="list" allowBlank="1" showInputMessage="1" showErrorMessage="1" sqref="B2:B28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C23" sqref="C23"/>
    </sheetView>
  </sheetViews>
  <sheetFormatPr defaultRowHeight="15"/>
  <cols>
    <col min="2" max="2" width="39.28515625" customWidth="1"/>
  </cols>
  <sheetData>
    <row r="1" spans="1:2">
      <c r="A1" s="1" t="s">
        <v>0</v>
      </c>
      <c r="B1" s="1" t="s">
        <v>15</v>
      </c>
    </row>
    <row r="2" spans="1:2">
      <c r="A2" s="5">
        <f t="shared" ref="A2:A5" si="0">IFERROR($A1+1,1)</f>
        <v>1</v>
      </c>
      <c r="B2" s="1" t="s">
        <v>54</v>
      </c>
    </row>
    <row r="3" spans="1:2">
      <c r="A3" s="5">
        <f t="shared" si="0"/>
        <v>2</v>
      </c>
      <c r="B3" s="1" t="s">
        <v>17</v>
      </c>
    </row>
    <row r="4" spans="1:2">
      <c r="A4" s="5">
        <f t="shared" si="0"/>
        <v>3</v>
      </c>
      <c r="B4" s="1" t="s">
        <v>16</v>
      </c>
    </row>
    <row r="5" spans="1:2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Q66"/>
  <sheetViews>
    <sheetView tabSelected="1" topLeftCell="A52" workbookViewId="0">
      <selection activeCell="G66" sqref="G66"/>
    </sheetView>
  </sheetViews>
  <sheetFormatPr defaultRowHeight="1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>
      <c r="A2" s="5">
        <f t="shared" ref="A2:A28" si="0">IFERROR($A1+1,1)</f>
        <v>1</v>
      </c>
      <c r="B2" s="10" t="str">
        <f>VLOOKUP([Task],ProjectTasks[[TaskProjectCode]:[TSK]],2,0)</f>
        <v>TKT</v>
      </c>
      <c r="C2" s="10" t="str">
        <f>VLOOKUP([Task],ProjectTasks[[TaskProjectCode]:[TSK]],3,0)</f>
        <v>Discussion for ticketing modification</v>
      </c>
      <c r="D2" s="10" t="str">
        <f>[Employee]&amp;"/"&amp;[Date]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([End Time]-[Start Time])*1440</f>
        <v>90</v>
      </c>
      <c r="M2" s="2" t="str">
        <f>TEXT([End Time]-[Start Time],"HH:mm")</f>
        <v>01:30</v>
      </c>
      <c r="N2" s="2">
        <f>SUMIFS([Total Minutes],[Date],[Date],[Employee],[Employee])</f>
        <v>330</v>
      </c>
      <c r="O2" s="2" t="str">
        <f>TEXT([Day Total Minutes]/1440,"HH:mm")</f>
        <v>05:30</v>
      </c>
      <c r="P2" s="10" t="str">
        <f>[PRJ]</f>
        <v>TKT</v>
      </c>
      <c r="Q2" s="10" t="str">
        <f>[TSK]</f>
        <v>Discussion for ticketing modification</v>
      </c>
    </row>
    <row r="3" spans="1:17">
      <c r="A3" s="5">
        <f t="shared" si="0"/>
        <v>2</v>
      </c>
      <c r="B3" s="38" t="str">
        <f>VLOOKUP([Task],ProjectTasks[[TaskProjectCode]:[TSK]],2,0)</f>
        <v>TKT</v>
      </c>
      <c r="C3" s="38" t="str">
        <f>VLOOKUP([Task],ProjectTasks[[TaskProjectCode]:[TSK]],3,0)</f>
        <v>Discussion for ticketing modification</v>
      </c>
      <c r="D3" s="38" t="str">
        <f>[Employee]&amp;"/"&amp;[Date]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([End Time]-[Start Time])*1440</f>
        <v>90</v>
      </c>
      <c r="M3" s="34" t="str">
        <f>TEXT([End Time]-[Start Time],"HH:mm")</f>
        <v>01:30</v>
      </c>
      <c r="N3" s="34">
        <f>SUMIFS([Total Minutes],[Date],[Date],[Employee],[Employee])</f>
        <v>330.99999999999994</v>
      </c>
      <c r="O3" s="34" t="str">
        <f>TEXT([Day Total Minutes]/1440,"HH:mm")</f>
        <v>05:31</v>
      </c>
      <c r="P3" s="38" t="str">
        <f>[PRJ]</f>
        <v>TKT</v>
      </c>
      <c r="Q3" s="38" t="str">
        <f>[TSK]</f>
        <v>Discussion for ticketing modification</v>
      </c>
    </row>
    <row r="4" spans="1:17">
      <c r="A4" s="5">
        <f t="shared" si="0"/>
        <v>3</v>
      </c>
      <c r="B4" s="38" t="str">
        <f>VLOOKUP([Task],ProjectTasks[[TaskProjectCode]:[TSK]],2,0)</f>
        <v>SDS</v>
      </c>
      <c r="C4" s="38" t="str">
        <f>VLOOKUP([Task],ProjectTasks[[TaskProjectCode]:[TSK]],3,0)</f>
        <v>Decryption</v>
      </c>
      <c r="D4" s="38" t="str">
        <f>[Employee]&amp;"/"&amp;[Date]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([End Time]-[Start Time])*1440</f>
        <v>30.000000000000053</v>
      </c>
      <c r="M4" s="34" t="str">
        <f>TEXT([End Time]-[Start Time],"HH:mm")</f>
        <v>00:30</v>
      </c>
      <c r="N4" s="34">
        <f>SUMIFS([Total Minutes],[Date],[Date],[Employee],[Employee])</f>
        <v>330</v>
      </c>
      <c r="O4" s="34" t="str">
        <f>TEXT([Day Total Minutes]/1440,"HH:mm")</f>
        <v>05:30</v>
      </c>
      <c r="P4" s="38" t="str">
        <f>[PRJ]</f>
        <v>SDS</v>
      </c>
      <c r="Q4" s="38" t="str">
        <f>[TSK]</f>
        <v>Decryption</v>
      </c>
    </row>
    <row r="5" spans="1:17">
      <c r="A5" s="5">
        <f t="shared" si="0"/>
        <v>4</v>
      </c>
      <c r="B5" s="38" t="str">
        <f>VLOOKUP([Task],ProjectTasks[[TaskProjectCode]:[TSK]],2,0)</f>
        <v>TKT</v>
      </c>
      <c r="C5" s="38" t="str">
        <f>VLOOKUP([Task],ProjectTasks[[TaskProjectCode]:[TSK]],3,0)</f>
        <v>Database Analysis from Old Project</v>
      </c>
      <c r="D5" s="38" t="str">
        <f>[Employee]&amp;"/"&amp;[Date]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([End Time]-[Start Time])*1440</f>
        <v>121.00000000000006</v>
      </c>
      <c r="M5" s="34" t="str">
        <f>TEXT([End Time]-[Start Time],"HH:mm")</f>
        <v>02:01</v>
      </c>
      <c r="N5" s="34">
        <f>SUMIFS([Total Minutes],[Date],[Date],[Employee],[Employee])</f>
        <v>330.99999999999994</v>
      </c>
      <c r="O5" s="34" t="str">
        <f>TEXT([Day Total Minutes]/1440,"HH:mm")</f>
        <v>05:31</v>
      </c>
      <c r="P5" s="38" t="str">
        <f>[PRJ]</f>
        <v>TKT</v>
      </c>
      <c r="Q5" s="38" t="str">
        <f>[TSK]</f>
        <v>Database Analysis from Old Project</v>
      </c>
    </row>
    <row r="6" spans="1:17">
      <c r="A6" s="5">
        <f t="shared" si="0"/>
        <v>5</v>
      </c>
      <c r="B6" s="38" t="str">
        <f>VLOOKUP([Task],ProjectTasks[[TaskProjectCode]:[TSK]],2,0)</f>
        <v>RTM</v>
      </c>
      <c r="C6" s="38" t="str">
        <f>VLOOKUP([Task],ProjectTasks[[TaskProjectCode]:[TSK]],3,0)</f>
        <v>Solving the issue of repeating icon in tray</v>
      </c>
      <c r="D6" s="38" t="str">
        <f>[Employee]&amp;"/"&amp;[Date]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([End Time]-[Start Time])*1440</f>
        <v>89.999999999999915</v>
      </c>
      <c r="M6" s="34" t="str">
        <f>TEXT([End Time]-[Start Time],"HH:mm")</f>
        <v>01:30</v>
      </c>
      <c r="N6" s="34">
        <f>SUMIFS([Total Minutes],[Date],[Date],[Employee],[Employee])</f>
        <v>330</v>
      </c>
      <c r="O6" s="34" t="str">
        <f>TEXT([Day Total Minutes]/1440,"HH:mm")</f>
        <v>05:30</v>
      </c>
      <c r="P6" s="38" t="str">
        <f>[PRJ]</f>
        <v>RTM</v>
      </c>
      <c r="Q6" s="38" t="str">
        <f>[TSK]</f>
        <v>Solving the issue of repeating icon in tray</v>
      </c>
    </row>
    <row r="7" spans="1:17">
      <c r="A7" s="5">
        <f t="shared" si="0"/>
        <v>6</v>
      </c>
      <c r="B7" s="38" t="str">
        <f>VLOOKUP([Task],ProjectTasks[[TaskProjectCode]:[TSK]],2,0)</f>
        <v>TKT</v>
      </c>
      <c r="C7" s="38" t="str">
        <f>VLOOKUP([Task],ProjectTasks[[TaskProjectCode]:[TSK]],3,0)</f>
        <v>Database Analysis from Old Project</v>
      </c>
      <c r="D7" s="38" t="str">
        <f>[Employee]&amp;"/"&amp;[Date]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([End Time]-[Start Time])*1440</f>
        <v>119.99999999999989</v>
      </c>
      <c r="M7" s="34" t="str">
        <f>TEXT([End Time]-[Start Time],"HH:mm")</f>
        <v>02:00</v>
      </c>
      <c r="N7" s="34">
        <f>SUMIFS([Total Minutes],[Date],[Date],[Employee],[Employee])</f>
        <v>330.99999999999994</v>
      </c>
      <c r="O7" s="34" t="str">
        <f>TEXT([Day Total Minutes]/1440,"HH:mm")</f>
        <v>05:31</v>
      </c>
      <c r="P7" s="38" t="str">
        <f>[PRJ]</f>
        <v>TKT</v>
      </c>
      <c r="Q7" s="38" t="str">
        <f>[TSK]</f>
        <v>Database Analysis from Old Project</v>
      </c>
    </row>
    <row r="8" spans="1:17">
      <c r="A8" s="5">
        <f t="shared" si="0"/>
        <v>7</v>
      </c>
      <c r="B8" s="38" t="str">
        <f>VLOOKUP([Task],ProjectTasks[[TaskProjectCode]:[TSK]],2,0)</f>
        <v>RTM</v>
      </c>
      <c r="C8" s="38" t="str">
        <f>VLOOKUP([Task],ProjectTasks[[TaskProjectCode]:[TSK]],3,0)</f>
        <v>Solving the issue of repeating icon in tray</v>
      </c>
      <c r="D8" s="38" t="str">
        <f>[Employee]&amp;"/"&amp;[Date]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([End Time]-[Start Time])*1440</f>
        <v>120.00000000000006</v>
      </c>
      <c r="M8" s="34" t="str">
        <f>TEXT([End Time]-[Start Time],"HH:mm")</f>
        <v>02:00</v>
      </c>
      <c r="N8" s="34">
        <f>SUMIFS([Total Minutes],[Date],[Date],[Employee],[Employee])</f>
        <v>330</v>
      </c>
      <c r="O8" s="34" t="str">
        <f>TEXT([Day Total Minutes]/1440,"HH:mm")</f>
        <v>05:30</v>
      </c>
      <c r="P8" s="38" t="str">
        <f>[PRJ]</f>
        <v>RTM</v>
      </c>
      <c r="Q8" s="38" t="str">
        <f>[TSK]</f>
        <v>Solving the issue of repeating icon in tray</v>
      </c>
    </row>
    <row r="9" spans="1:17">
      <c r="A9" s="5">
        <f t="shared" si="0"/>
        <v>8</v>
      </c>
      <c r="B9" s="46" t="str">
        <f>VLOOKUP([Task],ProjectTasks[[TaskProjectCode]:[TSK]],2,0)</f>
        <v>TKT</v>
      </c>
      <c r="C9" s="46" t="str">
        <f>VLOOKUP([Task],ProjectTasks[[TaskProjectCode]:[TSK]],3,0)</f>
        <v>Discussion for ticketing modification</v>
      </c>
      <c r="D9" s="46" t="str">
        <f>[Employee]&amp;"/"&amp;[Date]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([End Time]-[Start Time])*1440</f>
        <v>59.999999999999943</v>
      </c>
      <c r="M9" s="45" t="str">
        <f>TEXT([End Time]-[Start Time],"HH:mm")</f>
        <v>01:00</v>
      </c>
      <c r="N9" s="45">
        <f>SUMIFS([Total Minutes],[Date],[Date],[Employee],[Employee])</f>
        <v>419.99999999999989</v>
      </c>
      <c r="O9" s="45" t="str">
        <f>TEXT([Day Total Minutes]/1440,"HH:mm")</f>
        <v>07:00</v>
      </c>
      <c r="P9" s="46" t="str">
        <f>[PRJ]</f>
        <v>TKT</v>
      </c>
      <c r="Q9" s="46" t="str">
        <f>[TSK]</f>
        <v>Discussion for ticketing modification</v>
      </c>
    </row>
    <row r="10" spans="1:17">
      <c r="A10" s="5">
        <f t="shared" si="0"/>
        <v>9</v>
      </c>
      <c r="B10" s="46" t="str">
        <f>VLOOKUP([Task],ProjectTasks[[TaskProjectCode]:[TSK]],2,0)</f>
        <v>PPOIO</v>
      </c>
      <c r="C10" s="46" t="str">
        <f>VLOOKUP([Task],ProjectTasks[[TaskProjectCode]:[TSK]],3,0)</f>
        <v>Project Study</v>
      </c>
      <c r="D10" s="46" t="str">
        <f>[Employee]&amp;"/"&amp;[Date]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([End Time]-[Start Time])*1440</f>
        <v>119.99999999999997</v>
      </c>
      <c r="M10" s="45" t="str">
        <f>TEXT([End Time]-[Start Time],"HH:mm")</f>
        <v>02:00</v>
      </c>
      <c r="N10" s="45">
        <f>SUMIFS([Total Minutes],[Date],[Date],[Employee],[Employee])</f>
        <v>419.99999999999989</v>
      </c>
      <c r="O10" s="45" t="str">
        <f>TEXT([Day Total Minutes]/1440,"HH:mm")</f>
        <v>07:00</v>
      </c>
      <c r="P10" s="46" t="str">
        <f>[PRJ]</f>
        <v>PPOIO</v>
      </c>
      <c r="Q10" s="46" t="str">
        <f>[TSK]</f>
        <v>Project Study</v>
      </c>
    </row>
    <row r="11" spans="1:17">
      <c r="A11" s="5">
        <f t="shared" si="0"/>
        <v>10</v>
      </c>
      <c r="B11" s="46" t="str">
        <f>VLOOKUP([Task],ProjectTasks[[TaskProjectCode]:[TSK]],2,0)</f>
        <v>PPOIO</v>
      </c>
      <c r="C11" s="46" t="str">
        <f>VLOOKUP([Task],ProjectTasks[[TaskProjectCode]:[TSK]],3,0)</f>
        <v>Business Plan</v>
      </c>
      <c r="D11" s="46" t="str">
        <f>[Employee]&amp;"/"&amp;[Date]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([End Time]-[Start Time])*1440</f>
        <v>239.99999999999994</v>
      </c>
      <c r="M11" s="45" t="str">
        <f>TEXT([End Time]-[Start Time],"HH:mm")</f>
        <v>04:00</v>
      </c>
      <c r="N11" s="45">
        <f>SUMIFS([Total Minutes],[Date],[Date],[Employee],[Employee])</f>
        <v>419.99999999999989</v>
      </c>
      <c r="O11" s="45" t="str">
        <f>TEXT([Day Total Minutes]/1440,"HH:mm")</f>
        <v>07:00</v>
      </c>
      <c r="P11" s="46" t="str">
        <f>[PRJ]</f>
        <v>PPOIO</v>
      </c>
      <c r="Q11" s="46" t="str">
        <f>[TSK]</f>
        <v>Business Plan</v>
      </c>
    </row>
    <row r="12" spans="1:17">
      <c r="A12" s="5">
        <f t="shared" si="0"/>
        <v>11</v>
      </c>
      <c r="B12" s="46" t="str">
        <f>VLOOKUP([Task],ProjectTasks[[TaskProjectCode]:[TSK]],2,0)</f>
        <v>TEEBPD</v>
      </c>
      <c r="C12" s="46" t="str">
        <f>VLOOKUP([Task],ProjectTasks[[TaskProjectCode]:[TSK]],3,0)</f>
        <v>Client Suggestion Implementation</v>
      </c>
      <c r="D12" s="46" t="str">
        <f>[Employee]&amp;"/"&amp;[Date]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([End Time]-[Start Time])*1440</f>
        <v>480.00000000000006</v>
      </c>
      <c r="M12" s="45" t="str">
        <f>TEXT([End Time]-[Start Time],"HH:mm")</f>
        <v>08:00</v>
      </c>
      <c r="N12" s="45">
        <f>SUMIFS([Total Minutes],[Date],[Date],[Employee],[Employee])</f>
        <v>480.00000000000006</v>
      </c>
      <c r="O12" s="45" t="str">
        <f>TEXT([Day Total Minutes]/1440,"HH:mm")</f>
        <v>08:00</v>
      </c>
      <c r="P12" s="46" t="str">
        <f>[PRJ]</f>
        <v>TEEBPD</v>
      </c>
      <c r="Q12" s="46" t="str">
        <f>[TSK]</f>
        <v>Client Suggestion Implementation</v>
      </c>
    </row>
    <row r="13" spans="1:17">
      <c r="A13" s="5">
        <f t="shared" si="0"/>
        <v>12</v>
      </c>
      <c r="B13" s="46" t="str">
        <f>VLOOKUP([Task],ProjectTasks[[TaskProjectCode]:[TSK]],2,0)</f>
        <v>TKT</v>
      </c>
      <c r="C13" s="46" t="str">
        <f>VLOOKUP([Task],ProjectTasks[[TaskProjectCode]:[TSK]],3,0)</f>
        <v>Database Analysis from Old Project</v>
      </c>
      <c r="D13" s="46" t="str">
        <f>[Employee]&amp;"/"&amp;[Date]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([End Time]-[Start Time])*1440</f>
        <v>135</v>
      </c>
      <c r="M13" s="45" t="str">
        <f>TEXT([End Time]-[Start Time],"HH:mm")</f>
        <v>02:15</v>
      </c>
      <c r="N13" s="45">
        <f>SUMIFS([Total Minutes],[Date],[Date],[Employee],[Employee])</f>
        <v>135</v>
      </c>
      <c r="O13" s="45" t="str">
        <f>TEXT([Day Total Minutes]/1440,"HH:mm")</f>
        <v>02:15</v>
      </c>
      <c r="P13" s="46" t="str">
        <f>[PRJ]</f>
        <v>TKT</v>
      </c>
      <c r="Q13" s="46" t="str">
        <f>[TSK]</f>
        <v>Database Analysis from Old Project</v>
      </c>
    </row>
    <row r="14" spans="1:17">
      <c r="A14" s="5">
        <f t="shared" si="0"/>
        <v>13</v>
      </c>
      <c r="B14" s="46" t="str">
        <f>VLOOKUP([Task],ProjectTasks[[TaskProjectCode]:[TSK]],2,0)</f>
        <v>RTM</v>
      </c>
      <c r="C14" s="46" t="str">
        <f>VLOOKUP([Task],ProjectTasks[[TaskProjectCode]:[TSK]],3,0)</f>
        <v>Solving the issue of repeating icon in tray</v>
      </c>
      <c r="D14" s="46" t="str">
        <f>[Employee]&amp;"/"&amp;[Date]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([End Time]-[Start Time])*1440</f>
        <v>45</v>
      </c>
      <c r="M14" s="45" t="str">
        <f>TEXT([End Time]-[Start Time],"HH:mm")</f>
        <v>00:45</v>
      </c>
      <c r="N14" s="45">
        <f>SUMIFS([Total Minutes],[Date],[Date],[Employee],[Employee])</f>
        <v>144.99999999999989</v>
      </c>
      <c r="O14" s="45" t="str">
        <f>TEXT([Day Total Minutes]/1440,"HH:mm")</f>
        <v>02:25</v>
      </c>
      <c r="P14" s="46" t="str">
        <f>[PRJ]</f>
        <v>RTM</v>
      </c>
      <c r="Q14" s="46" t="str">
        <f>[TSK]</f>
        <v>Solving the issue of repeating icon in tray</v>
      </c>
    </row>
    <row r="15" spans="1:17">
      <c r="A15" s="5">
        <f t="shared" si="0"/>
        <v>14</v>
      </c>
      <c r="B15" s="46" t="str">
        <f>VLOOKUP([Task],ProjectTasks[[TaskProjectCode]:[TSK]],2,0)</f>
        <v>RTM</v>
      </c>
      <c r="C15" s="46" t="str">
        <f>VLOOKUP([Task],ProjectTasks[[TaskProjectCode]:[TSK]],3,0)</f>
        <v>Solving the issue of repeating icon in tray</v>
      </c>
      <c r="D15" s="46" t="str">
        <f>[Employee]&amp;"/"&amp;[Date]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([End Time]-[Start Time])*1440</f>
        <v>99.999999999999886</v>
      </c>
      <c r="M15" s="45" t="str">
        <f>TEXT([End Time]-[Start Time],"HH:mm")</f>
        <v>01:40</v>
      </c>
      <c r="N15" s="45">
        <f>SUMIFS([Total Minutes],[Date],[Date],[Employee],[Employee])</f>
        <v>144.99999999999989</v>
      </c>
      <c r="O15" s="45" t="str">
        <f>TEXT([Day Total Minutes]/1440,"HH:mm")</f>
        <v>02:25</v>
      </c>
      <c r="P15" s="46" t="str">
        <f>[PRJ]</f>
        <v>RTM</v>
      </c>
      <c r="Q15" s="46" t="str">
        <f>[TSK]</f>
        <v>Solving the issue of repeating icon in tray</v>
      </c>
    </row>
    <row r="16" spans="1:17">
      <c r="A16" s="5">
        <f t="shared" si="0"/>
        <v>15</v>
      </c>
      <c r="B16" s="46" t="str">
        <f>VLOOKUP([Task],ProjectTasks[[TaskProjectCode]:[TSK]],2,0)</f>
        <v>MITWEB</v>
      </c>
      <c r="C16" s="46" t="str">
        <f>VLOOKUP([Task],ProjectTasks[[TaskProjectCode]:[TSK]],3,0)</f>
        <v>Modification</v>
      </c>
      <c r="D16" s="46" t="str">
        <f>[Employee]&amp;"/"&amp;[Date]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([End Time]-[Start Time])*1440</f>
        <v>60.000000000000028</v>
      </c>
      <c r="M16" s="45" t="str">
        <f>TEXT([End Time]-[Start Time],"HH:mm")</f>
        <v>01:00</v>
      </c>
      <c r="N16" s="45">
        <f>SUMIFS([Total Minutes],[Date],[Date],[Employee],[Employee])</f>
        <v>210.00000000000006</v>
      </c>
      <c r="O16" s="45" t="str">
        <f>TEXT([Day Total Minutes]/1440,"HH:mm")</f>
        <v>03:30</v>
      </c>
      <c r="P16" s="46" t="str">
        <f>[PRJ]</f>
        <v>MITWEB</v>
      </c>
      <c r="Q16" s="46" t="str">
        <f>[TSK]</f>
        <v>Modification</v>
      </c>
    </row>
    <row r="17" spans="1:17">
      <c r="A17" s="5">
        <f t="shared" si="0"/>
        <v>16</v>
      </c>
      <c r="B17" s="46" t="str">
        <f>VLOOKUP([Task],ProjectTasks[[TaskProjectCode]:[TSK]],2,0)</f>
        <v>TKT</v>
      </c>
      <c r="C17" s="46" t="str">
        <f>VLOOKUP([Task],ProjectTasks[[TaskProjectCode]:[TSK]],3,0)</f>
        <v>Discussion for ticketing modification</v>
      </c>
      <c r="D17" s="46" t="str">
        <f>[Employee]&amp;"/"&amp;[Date]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([End Time]-[Start Time])*1440</f>
        <v>29.999999999999972</v>
      </c>
      <c r="M17" s="45" t="str">
        <f>TEXT([End Time]-[Start Time],"HH:mm")</f>
        <v>00:30</v>
      </c>
      <c r="N17" s="45">
        <f>SUMIFS([Total Minutes],[Date],[Date],[Employee],[Employee])</f>
        <v>210.00000000000006</v>
      </c>
      <c r="O17" s="45" t="str">
        <f>TEXT([Day Total Minutes]/1440,"HH:mm")</f>
        <v>03:30</v>
      </c>
      <c r="P17" s="46" t="str">
        <f>[PRJ]</f>
        <v>TKT</v>
      </c>
      <c r="Q17" s="46" t="str">
        <f>[TSK]</f>
        <v>Discussion for ticketing modification</v>
      </c>
    </row>
    <row r="18" spans="1:17">
      <c r="A18" s="5">
        <f t="shared" si="0"/>
        <v>17</v>
      </c>
      <c r="B18" s="38" t="str">
        <f>VLOOKUP([Task],ProjectTasks[[TaskProjectCode]:[TSK]],2,0)</f>
        <v>TKT</v>
      </c>
      <c r="C18" s="38" t="str">
        <f>VLOOKUP([Task],ProjectTasks[[TaskProjectCode]:[TSK]],3,0)</f>
        <v>Note down table relations</v>
      </c>
      <c r="D18" s="38" t="str">
        <f>[Employee]&amp;"/"&amp;[Date]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([End Time]-[Start Time])*1440</f>
        <v>380.00000000000011</v>
      </c>
      <c r="M18" s="34" t="str">
        <f>TEXT([End Time]-[Start Time],"HH:mm")</f>
        <v>06:20</v>
      </c>
      <c r="N18" s="34">
        <f>SUMIFS([Total Minutes],[Date],[Date],[Employee],[Employee])</f>
        <v>380.00000000000011</v>
      </c>
      <c r="O18" s="34" t="str">
        <f>TEXT([Day Total Minutes]/1440,"HH:mm")</f>
        <v>06:20</v>
      </c>
      <c r="P18" s="38" t="str">
        <f>[PRJ]</f>
        <v>TKT</v>
      </c>
      <c r="Q18" s="38" t="str">
        <f>[TSK]</f>
        <v>Note down table relations</v>
      </c>
    </row>
    <row r="19" spans="1:17">
      <c r="A19" s="5">
        <f t="shared" si="0"/>
        <v>18</v>
      </c>
      <c r="B19" s="38" t="str">
        <f>VLOOKUP([Task],ProjectTasks[[TaskProjectCode]:[TSK]],2,0)</f>
        <v>SDS</v>
      </c>
      <c r="C19" s="38" t="str">
        <f>VLOOKUP([Task],ProjectTasks[[TaskProjectCode]:[TSK]],3,0)</f>
        <v>Decryption</v>
      </c>
      <c r="D19" s="38" t="str">
        <f>[Employee]&amp;"/"&amp;[Date]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([End Time]-[Start Time])*1440</f>
        <v>69.999999999999915</v>
      </c>
      <c r="M19" s="34" t="str">
        <f>TEXT([End Time]-[Start Time],"HH:mm")</f>
        <v>01:10</v>
      </c>
      <c r="N19" s="34">
        <f>SUMIFS([Total Minutes],[Date],[Date],[Employee],[Employee])</f>
        <v>320</v>
      </c>
      <c r="O19" s="34" t="str">
        <f>TEXT([Day Total Minutes]/1440,"HH:mm")</f>
        <v>05:20</v>
      </c>
      <c r="P19" s="38" t="str">
        <f>[PRJ]</f>
        <v>SDS</v>
      </c>
      <c r="Q19" s="38" t="str">
        <f>[TSK]</f>
        <v>Decryption</v>
      </c>
    </row>
    <row r="20" spans="1:17">
      <c r="A20" s="5">
        <f t="shared" si="0"/>
        <v>19</v>
      </c>
      <c r="B20" s="38" t="str">
        <f>VLOOKUP([Task],ProjectTasks[[TaskProjectCode]:[TSK]],2,0)</f>
        <v>RTM</v>
      </c>
      <c r="C20" s="38" t="str">
        <f>VLOOKUP([Task],ProjectTasks[[TaskProjectCode]:[TSK]],3,0)</f>
        <v>Getting branchname into tool</v>
      </c>
      <c r="D20" s="38" t="str">
        <f>[Employee]&amp;"/"&amp;[Date]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([End Time]-[Start Time])*1440</f>
        <v>30.000000000000053</v>
      </c>
      <c r="M20" s="34" t="str">
        <f>TEXT([End Time]-[Start Time],"HH:mm")</f>
        <v>00:30</v>
      </c>
      <c r="N20" s="34">
        <f>SUMIFS([Total Minutes],[Date],[Date],[Employee],[Employee])</f>
        <v>320</v>
      </c>
      <c r="O20" s="34" t="str">
        <f>TEXT([Day Total Minutes]/1440,"HH:mm")</f>
        <v>05:20</v>
      </c>
      <c r="P20" s="38" t="str">
        <f>[PRJ]</f>
        <v>RTM</v>
      </c>
      <c r="Q20" s="38" t="str">
        <f>[TSK]</f>
        <v>Getting branchname into tool</v>
      </c>
    </row>
    <row r="21" spans="1:17">
      <c r="A21" s="5">
        <f t="shared" si="0"/>
        <v>20</v>
      </c>
      <c r="B21" s="38" t="str">
        <f>VLOOKUP([Task],ProjectTasks[[TaskProjectCode]:[TSK]],2,0)</f>
        <v>SDS</v>
      </c>
      <c r="C21" s="38" t="str">
        <f>VLOOKUP([Task],ProjectTasks[[TaskProjectCode]:[TSK]],3,0)</f>
        <v>Decryption</v>
      </c>
      <c r="D21" s="38" t="str">
        <f>[Employee]&amp;"/"&amp;[Date]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([End Time]-[Start Time])*1440</f>
        <v>220.00000000000003</v>
      </c>
      <c r="M21" s="34" t="str">
        <f>TEXT([End Time]-[Start Time],"HH:mm")</f>
        <v>03:40</v>
      </c>
      <c r="N21" s="34">
        <f>SUMIFS([Total Minutes],[Date],[Date],[Employee],[Employee])</f>
        <v>320</v>
      </c>
      <c r="O21" s="34" t="str">
        <f>TEXT([Day Total Minutes]/1440,"HH:mm")</f>
        <v>05:20</v>
      </c>
      <c r="P21" s="38" t="str">
        <f>[PRJ]</f>
        <v>SDS</v>
      </c>
      <c r="Q21" s="38" t="str">
        <f>[TSK]</f>
        <v>Decryption</v>
      </c>
    </row>
    <row r="22" spans="1:17">
      <c r="A22" s="5">
        <f t="shared" si="0"/>
        <v>21</v>
      </c>
      <c r="B22" s="38" t="str">
        <f>VLOOKUP([Task],ProjectTasks[[TaskProjectCode]:[TSK]],2,0)</f>
        <v>TKT</v>
      </c>
      <c r="C22" s="38" t="str">
        <f>VLOOKUP([Task],ProjectTasks[[TaskProjectCode]:[TSK]],3,0)</f>
        <v>Note down table relations</v>
      </c>
      <c r="D22" s="38" t="str">
        <f>[Employee]&amp;"/"&amp;[Date]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([End Time]-[Start Time])*1440</f>
        <v>130.00000000000003</v>
      </c>
      <c r="M22" s="34" t="str">
        <f>TEXT([End Time]-[Start Time],"HH:mm")</f>
        <v>02:10</v>
      </c>
      <c r="N22" s="34">
        <f>SUMIFS([Total Minutes],[Date],[Date],[Employee],[Employee])</f>
        <v>250.00000000000009</v>
      </c>
      <c r="O22" s="34" t="str">
        <f>TEXT([Day Total Minutes]/1440,"HH:mm")</f>
        <v>04:10</v>
      </c>
      <c r="P22" s="38" t="str">
        <f>[PRJ]</f>
        <v>TKT</v>
      </c>
      <c r="Q22" s="38" t="str">
        <f>[TSK]</f>
        <v>Note down table relations</v>
      </c>
    </row>
    <row r="23" spans="1:17">
      <c r="A23" s="5">
        <f t="shared" si="0"/>
        <v>22</v>
      </c>
      <c r="B23" s="10" t="str">
        <f>VLOOKUP([Task],ProjectTasks[[TaskProjectCode]:[TSK]],2,0)</f>
        <v>TKT</v>
      </c>
      <c r="C23" s="10" t="str">
        <f>VLOOKUP([Task],ProjectTasks[[TaskProjectCode]:[TSK]],3,0)</f>
        <v>Entering table details into excel sheet</v>
      </c>
      <c r="D23" s="10" t="str">
        <f>[Employee]&amp;"/"&amp;[Date]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([End Time]-[Start Time])*1440</f>
        <v>120.00000000000006</v>
      </c>
      <c r="M23" s="2" t="str">
        <f>TEXT([End Time]-[Start Time],"HH:mm")</f>
        <v>02:00</v>
      </c>
      <c r="N23" s="2">
        <f>SUMIFS([Total Minutes],[Date],[Date],[Employee],[Employee])</f>
        <v>250.00000000000009</v>
      </c>
      <c r="O23" s="2" t="str">
        <f>TEXT([Day Total Minutes]/1440,"HH:mm")</f>
        <v>04:10</v>
      </c>
      <c r="P23" s="10" t="str">
        <f>[PRJ]</f>
        <v>TKT</v>
      </c>
      <c r="Q23" s="10" t="str">
        <f>[TSK]</f>
        <v>Entering table details into excel sheet</v>
      </c>
    </row>
    <row r="24" spans="1:17">
      <c r="A24" s="5">
        <f t="shared" si="0"/>
        <v>23</v>
      </c>
      <c r="B24" s="54" t="str">
        <f>VLOOKUP([Task],ProjectTasks[[TaskProjectCode]:[TSK]],2,0)</f>
        <v>SDS</v>
      </c>
      <c r="C24" s="54" t="str">
        <f>VLOOKUP([Task],ProjectTasks[[TaskProjectCode]:[TSK]],3,0)</f>
        <v>Request and get Response from  web</v>
      </c>
      <c r="D24" s="54" t="str">
        <f>[Employee]&amp;"/"&amp;[Date]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([End Time]-[Start Time])*1440</f>
        <v>227.99999999999991</v>
      </c>
      <c r="M24" s="58" t="str">
        <f>TEXT([End Time]-[Start Time],"HH:mm")</f>
        <v>03:48</v>
      </c>
      <c r="N24" s="58">
        <f>SUMIFS([Total Minutes],[Date],[Date],[Employee],[Employee])</f>
        <v>423</v>
      </c>
      <c r="O24" s="58" t="str">
        <f>TEXT([Day Total Minutes]/1440,"HH:mm")</f>
        <v>07:03</v>
      </c>
      <c r="P24" s="54" t="str">
        <f>[PRJ]</f>
        <v>SDS</v>
      </c>
      <c r="Q24" s="54" t="str">
        <f>[TSK]</f>
        <v>Request and get Response from  web</v>
      </c>
    </row>
    <row r="25" spans="1:17">
      <c r="A25" s="5">
        <f t="shared" si="0"/>
        <v>24</v>
      </c>
      <c r="B25" s="54" t="str">
        <f>VLOOKUP([Task],ProjectTasks[[TaskProjectCode]:[TSK]],2,0)</f>
        <v>TKT</v>
      </c>
      <c r="C25" s="54" t="str">
        <f>VLOOKUP([Task],ProjectTasks[[TaskProjectCode]:[TSK]],3,0)</f>
        <v>Entering table details into excel sheet</v>
      </c>
      <c r="D25" s="54" t="str">
        <f>[Employee]&amp;"/"&amp;[Date]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([End Time]-[Start Time])*1440</f>
        <v>204.99999999999991</v>
      </c>
      <c r="M25" s="58" t="str">
        <f>TEXT([End Time]-[Start Time],"HH:mm")</f>
        <v>03:25</v>
      </c>
      <c r="N25" s="58">
        <f>SUMIFS([Total Minutes],[Date],[Date],[Employee],[Employee])</f>
        <v>389.99999999999989</v>
      </c>
      <c r="O25" s="58" t="str">
        <f>TEXT([Day Total Minutes]/1440,"HH:mm")</f>
        <v>06:30</v>
      </c>
      <c r="P25" s="54" t="str">
        <f>[PRJ]</f>
        <v>TKT</v>
      </c>
      <c r="Q25" s="54" t="str">
        <f>[TSK]</f>
        <v>Entering table details into excel sheet</v>
      </c>
    </row>
    <row r="26" spans="1:17">
      <c r="A26" s="5">
        <f t="shared" si="0"/>
        <v>25</v>
      </c>
      <c r="B26" s="54" t="str">
        <f>VLOOKUP([Task],ProjectTasks[[TaskProjectCode]:[TSK]],2,0)</f>
        <v>SDS</v>
      </c>
      <c r="C26" s="54" t="str">
        <f>VLOOKUP([Task],ProjectTasks[[TaskProjectCode]:[TSK]],3,0)</f>
        <v>Request and get Response from  web</v>
      </c>
      <c r="D26" s="54" t="str">
        <f>[Employee]&amp;"/"&amp;[Date]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([End Time]-[Start Time])*1440</f>
        <v>195.00000000000011</v>
      </c>
      <c r="M26" s="58" t="str">
        <f>TEXT([End Time]-[Start Time],"HH:mm")</f>
        <v>03:15</v>
      </c>
      <c r="N26" s="58">
        <f>SUMIFS([Total Minutes],[Date],[Date],[Employee],[Employee])</f>
        <v>423</v>
      </c>
      <c r="O26" s="58" t="str">
        <f>TEXT([Day Total Minutes]/1440,"HH:mm")</f>
        <v>07:03</v>
      </c>
      <c r="P26" s="54" t="str">
        <f>[PRJ]</f>
        <v>SDS</v>
      </c>
      <c r="Q26" s="54" t="str">
        <f>[TSK]</f>
        <v>Request and get Response from  web</v>
      </c>
    </row>
    <row r="27" spans="1:17">
      <c r="A27" s="5">
        <f t="shared" si="0"/>
        <v>26</v>
      </c>
      <c r="B27" s="54" t="str">
        <f>VLOOKUP([Task],ProjectTasks[[TaskProjectCode]:[TSK]],2,0)</f>
        <v>TKT</v>
      </c>
      <c r="C27" s="54" t="str">
        <f>VLOOKUP([Task],ProjectTasks[[TaskProjectCode]:[TSK]],3,0)</f>
        <v>Entering table details into excel sheet</v>
      </c>
      <c r="D27" s="54" t="str">
        <f>[Employee]&amp;"/"&amp;[Date]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([End Time]-[Start Time])*1440</f>
        <v>125.00000000000003</v>
      </c>
      <c r="M27" s="58" t="str">
        <f>TEXT([End Time]-[Start Time],"HH:mm")</f>
        <v>02:05</v>
      </c>
      <c r="N27" s="58">
        <f>SUMIFS([Total Minutes],[Date],[Date],[Employee],[Employee])</f>
        <v>389.99999999999989</v>
      </c>
      <c r="O27" s="58" t="str">
        <f>TEXT([Day Total Minutes]/1440,"HH:mm")</f>
        <v>06:30</v>
      </c>
      <c r="P27" s="54" t="str">
        <f>[PRJ]</f>
        <v>TKT</v>
      </c>
      <c r="Q27" s="54" t="str">
        <f>[TSK]</f>
        <v>Entering table details into excel sheet</v>
      </c>
    </row>
    <row r="28" spans="1:17">
      <c r="A28" s="5">
        <f t="shared" si="0"/>
        <v>27</v>
      </c>
      <c r="B28" s="54" t="str">
        <f>VLOOKUP([Task],ProjectTasks[[TaskProjectCode]:[TSK]],2,0)</f>
        <v>TEEBPD</v>
      </c>
      <c r="C28" s="54" t="str">
        <f>VLOOKUP([Task],ProjectTasks[[TaskProjectCode]:[TSK]],3,0)</f>
        <v>Inhouse Testing</v>
      </c>
      <c r="D28" s="54" t="str">
        <f>[Employee]&amp;"/"&amp;[Date]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([End Time]-[Start Time])*1440</f>
        <v>59.999999999999943</v>
      </c>
      <c r="M28" s="58" t="str">
        <f>TEXT([End Time]-[Start Time],"HH:mm")</f>
        <v>01:00</v>
      </c>
      <c r="N28" s="58">
        <f>SUMIFS([Total Minutes],[Date],[Date],[Employee],[Employee])</f>
        <v>389.99999999999989</v>
      </c>
      <c r="O28" s="58" t="str">
        <f>TEXT([Day Total Minutes]/1440,"HH:mm")</f>
        <v>06:30</v>
      </c>
      <c r="P28" s="54" t="str">
        <f>[PRJ]</f>
        <v>TEEBPD</v>
      </c>
      <c r="Q28" s="54" t="str">
        <f>[TSK]</f>
        <v>Inhouse Testing</v>
      </c>
    </row>
    <row r="29" spans="1:17">
      <c r="A29" s="61">
        <f t="shared" ref="A29:A37" si="1">IFERROR($A28+1,1)</f>
        <v>28</v>
      </c>
      <c r="B29" s="62" t="str">
        <f>VLOOKUP([Task],ProjectTasks[[TaskProjectCode]:[TSK]],2,0)</f>
        <v>TEEBPD</v>
      </c>
      <c r="C29" s="62" t="str">
        <f>VLOOKUP([Task],ProjectTasks[[TaskProjectCode]:[TSK]],3,0)</f>
        <v>Finalizing</v>
      </c>
      <c r="D29" s="62" t="str">
        <f>[Employee]&amp;"/"&amp;[Date]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([End Time]-[Start Time])*1440</f>
        <v>120.00000000000006</v>
      </c>
      <c r="M29" s="66" t="str">
        <f>TEXT([End Time]-[Start Time],"HH:mm")</f>
        <v>02:00</v>
      </c>
      <c r="N29" s="66">
        <f>SUMIFS([Total Minutes],[Date],[Date],[Employee],[Employee])</f>
        <v>210.00000000000006</v>
      </c>
      <c r="O29" s="66" t="str">
        <f>TEXT([Day Total Minutes]/1440,"HH:mm")</f>
        <v>03:30</v>
      </c>
      <c r="P29" s="62" t="str">
        <f>[PRJ]</f>
        <v>TEEBPD</v>
      </c>
      <c r="Q29" s="62" t="str">
        <f>[TSK]</f>
        <v>Finalizing</v>
      </c>
    </row>
    <row r="30" spans="1:17">
      <c r="A30" s="61">
        <f t="shared" si="1"/>
        <v>29</v>
      </c>
      <c r="B30" s="62" t="str">
        <f>VLOOKUP([Task],ProjectTasks[[TaskProjectCode]:[TSK]],2,0)</f>
        <v>TEEBPD</v>
      </c>
      <c r="C30" s="62" t="str">
        <f>VLOOKUP([Task],ProjectTasks[[TaskProjectCode]:[TSK]],3,0)</f>
        <v>Finalizing</v>
      </c>
      <c r="D30" s="62" t="str">
        <f>[Employee]&amp;"/"&amp;[Date]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([End Time]-[Start Time])*1440</f>
        <v>420</v>
      </c>
      <c r="M30" s="66" t="str">
        <f>TEXT([End Time]-[Start Time],"HH:mm")</f>
        <v>07:00</v>
      </c>
      <c r="N30" s="66">
        <f>SUMIFS([Total Minutes],[Date],[Date],[Employee],[Employee])</f>
        <v>420</v>
      </c>
      <c r="O30" s="66" t="str">
        <f>TEXT([Day Total Minutes]/1440,"HH:mm")</f>
        <v>07:00</v>
      </c>
      <c r="P30" s="62" t="str">
        <f>[PRJ]</f>
        <v>TEEBPD</v>
      </c>
      <c r="Q30" s="62" t="str">
        <f>[TSK]</f>
        <v>Finalizing</v>
      </c>
    </row>
    <row r="31" spans="1:17">
      <c r="A31" s="61">
        <f t="shared" si="1"/>
        <v>30</v>
      </c>
      <c r="B31" s="62" t="str">
        <f>VLOOKUP([Task],ProjectTasks[[TaskProjectCode]:[TSK]],2,0)</f>
        <v>TEEBPD</v>
      </c>
      <c r="C31" s="62" t="str">
        <f>VLOOKUP([Task],ProjectTasks[[TaskProjectCode]:[TSK]],3,0)</f>
        <v>Finalizing</v>
      </c>
      <c r="D31" s="62" t="str">
        <f>[Employee]&amp;"/"&amp;[Date]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([End Time]-[Start Time])*1440</f>
        <v>180</v>
      </c>
      <c r="M31" s="66" t="str">
        <f>TEXT([End Time]-[Start Time],"HH:mm")</f>
        <v>03:00</v>
      </c>
      <c r="N31" s="66">
        <f>SUMIFS([Total Minutes],[Date],[Date],[Employee],[Employee])</f>
        <v>360</v>
      </c>
      <c r="O31" s="66" t="str">
        <f>TEXT([Day Total Minutes]/1440,"HH:mm")</f>
        <v>06:00</v>
      </c>
      <c r="P31" s="62" t="str">
        <f>[PRJ]</f>
        <v>TEEBPD</v>
      </c>
      <c r="Q31" s="62" t="str">
        <f>[TSK]</f>
        <v>Finalizing</v>
      </c>
    </row>
    <row r="32" spans="1:17">
      <c r="A32" s="61">
        <f t="shared" si="1"/>
        <v>31</v>
      </c>
      <c r="B32" s="62" t="str">
        <f>VLOOKUP([Task],ProjectTasks[[TaskProjectCode]:[TSK]],2,0)</f>
        <v>TEEBPD</v>
      </c>
      <c r="C32" s="62" t="str">
        <f>VLOOKUP([Task],ProjectTasks[[TaskProjectCode]:[TSK]],3,0)</f>
        <v>Inhouse Testing</v>
      </c>
      <c r="D32" s="62" t="str">
        <f>[Employee]&amp;"/"&amp;[Date]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([End Time]-[Start Time])*1440</f>
        <v>180</v>
      </c>
      <c r="M32" s="66" t="str">
        <f>TEXT([End Time]-[Start Time],"HH:mm")</f>
        <v>03:00</v>
      </c>
      <c r="N32" s="66">
        <f>SUMIFS([Total Minutes],[Date],[Date],[Employee],[Employee])</f>
        <v>360</v>
      </c>
      <c r="O32" s="66" t="str">
        <f>TEXT([Day Total Minutes]/1440,"HH:mm")</f>
        <v>06:00</v>
      </c>
      <c r="P32" s="62" t="str">
        <f>[PRJ]</f>
        <v>TEEBPD</v>
      </c>
      <c r="Q32" s="62" t="str">
        <f>[TSK]</f>
        <v>Inhouse Testing</v>
      </c>
    </row>
    <row r="33" spans="1:17">
      <c r="A33" s="5">
        <f t="shared" si="1"/>
        <v>32</v>
      </c>
      <c r="B33" s="10" t="str">
        <f>VLOOKUP([Task],ProjectTasks[[TaskProjectCode]:[TSK]],2,0)</f>
        <v>TKT</v>
      </c>
      <c r="C33" s="10" t="str">
        <f>VLOOKUP([Task],ProjectTasks[[TaskProjectCode]:[TSK]],3,0)</f>
        <v>Entering table details into excel sheet</v>
      </c>
      <c r="D33" s="10" t="str">
        <f>[Employee]&amp;"/"&amp;[Date]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([End Time]-[Start Time])*1440</f>
        <v>90.000000000000085</v>
      </c>
      <c r="M33" s="2" t="str">
        <f>TEXT([End Time]-[Start Time],"HH:mm")</f>
        <v>01:30</v>
      </c>
      <c r="N33" s="2">
        <f>SUMIFS([Total Minutes],[Date],[Date],[Employee],[Employee])</f>
        <v>210.00000000000014</v>
      </c>
      <c r="O33" s="2" t="str">
        <f>TEXT([Day Total Minutes]/1440,"HH:mm")</f>
        <v>03:30</v>
      </c>
      <c r="P33" s="10" t="str">
        <f>[PRJ]</f>
        <v>TKT</v>
      </c>
      <c r="Q33" s="10" t="str">
        <f>[TSK]</f>
        <v>Entering table details into excel sheet</v>
      </c>
    </row>
    <row r="34" spans="1:17">
      <c r="A34" s="53">
        <f t="shared" si="1"/>
        <v>33</v>
      </c>
      <c r="B34" s="54" t="str">
        <f>VLOOKUP([Task],ProjectTasks[[TaskProjectCode]:[TSK]],2,0)</f>
        <v>SDS</v>
      </c>
      <c r="C34" s="54" t="str">
        <f>VLOOKUP([Task],ProjectTasks[[TaskProjectCode]:[TSK]],3,0)</f>
        <v>Request and get Response from  web</v>
      </c>
      <c r="D34" s="54" t="str">
        <f>[Employee]&amp;"/"&amp;[Date]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([End Time]-[Start Time])*1440</f>
        <v>210.00000000000006</v>
      </c>
      <c r="M34" s="58" t="str">
        <f>TEXT([End Time]-[Start Time],"HH:mm")</f>
        <v>03:30</v>
      </c>
      <c r="N34" s="58">
        <f>SUMIFS([Total Minutes],[Date],[Date],[Employee],[Employee])</f>
        <v>375.00000000000011</v>
      </c>
      <c r="O34" s="58" t="str">
        <f>TEXT([Day Total Minutes]/1440,"HH:mm")</f>
        <v>06:15</v>
      </c>
      <c r="P34" s="54" t="str">
        <f>[PRJ]</f>
        <v>SDS</v>
      </c>
      <c r="Q34" s="54" t="str">
        <f>[TSK]</f>
        <v>Request and get Response from  web</v>
      </c>
    </row>
    <row r="35" spans="1:17">
      <c r="A35" s="53">
        <f t="shared" si="1"/>
        <v>34</v>
      </c>
      <c r="B35" s="54" t="str">
        <f>VLOOKUP([Task],ProjectTasks[[TaskProjectCode]:[TSK]],2,0)</f>
        <v>SDS</v>
      </c>
      <c r="C35" s="54" t="str">
        <f>VLOOKUP([Task],ProjectTasks[[TaskProjectCode]:[TSK]],3,0)</f>
        <v>Testing</v>
      </c>
      <c r="D35" s="54" t="str">
        <f>[Employee]&amp;"/"&amp;[Date]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([End Time]-[Start Time])*1440</f>
        <v>20.000000000000089</v>
      </c>
      <c r="M35" s="58" t="str">
        <f>TEXT([End Time]-[Start Time],"HH:mm")</f>
        <v>00:20</v>
      </c>
      <c r="N35" s="58">
        <f>SUMIFS([Total Minutes],[Date],[Date],[Employee],[Employee])</f>
        <v>375.00000000000011</v>
      </c>
      <c r="O35" s="58" t="str">
        <f>TEXT([Day Total Minutes]/1440,"HH:mm")</f>
        <v>06:15</v>
      </c>
      <c r="P35" s="54" t="str">
        <f>[PRJ]</f>
        <v>SDS</v>
      </c>
      <c r="Q35" s="54" t="str">
        <f>[TSK]</f>
        <v>Testing</v>
      </c>
    </row>
    <row r="36" spans="1:17">
      <c r="A36" s="53">
        <f t="shared" si="1"/>
        <v>35</v>
      </c>
      <c r="B36" s="54" t="str">
        <f>VLOOKUP([Task],ProjectTasks[[TaskProjectCode]:[TSK]],2,0)</f>
        <v>SDS</v>
      </c>
      <c r="C36" s="54" t="str">
        <f>VLOOKUP([Task],ProjectTasks[[TaskProjectCode]:[TSK]],3,0)</f>
        <v>Testing</v>
      </c>
      <c r="D36" s="54" t="str">
        <f>[Employee]&amp;"/"&amp;[Date]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([End Time]-[Start Time])*1440</f>
        <v>64.999999999999929</v>
      </c>
      <c r="M36" s="58" t="str">
        <f>TEXT([End Time]-[Start Time],"HH:mm")</f>
        <v>01:05</v>
      </c>
      <c r="N36" s="58">
        <f>SUMIFS([Total Minutes],[Date],[Date],[Employee],[Employee])</f>
        <v>375.00000000000011</v>
      </c>
      <c r="O36" s="58" t="str">
        <f>TEXT([Day Total Minutes]/1440,"HH:mm")</f>
        <v>06:15</v>
      </c>
      <c r="P36" s="54" t="str">
        <f>[PRJ]</f>
        <v>SDS</v>
      </c>
      <c r="Q36" s="54" t="str">
        <f>[TSK]</f>
        <v>Testing</v>
      </c>
    </row>
    <row r="37" spans="1:17">
      <c r="A37" s="53">
        <f t="shared" si="1"/>
        <v>36</v>
      </c>
      <c r="B37" s="54" t="str">
        <f>VLOOKUP([Task],ProjectTasks[[TaskProjectCode]:[TSK]],2,0)</f>
        <v>SDS</v>
      </c>
      <c r="C37" s="54" t="str">
        <f>VLOOKUP([Task],ProjectTasks[[TaskProjectCode]:[TSK]],3,0)</f>
        <v>Stage 2</v>
      </c>
      <c r="D37" s="54" t="str">
        <f>[Employee]&amp;"/"&amp;[Date]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([End Time]-[Start Time])*1440</f>
        <v>80.000000000000028</v>
      </c>
      <c r="M37" s="58" t="str">
        <f>TEXT([End Time]-[Start Time],"HH:mm")</f>
        <v>01:20</v>
      </c>
      <c r="N37" s="58">
        <f>SUMIFS([Total Minutes],[Date],[Date],[Employee],[Employee])</f>
        <v>375.00000000000011</v>
      </c>
      <c r="O37" s="58" t="str">
        <f>TEXT([Day Total Minutes]/1440,"HH:mm")</f>
        <v>06:15</v>
      </c>
      <c r="P37" s="54" t="str">
        <f>[PRJ]</f>
        <v>SDS</v>
      </c>
      <c r="Q37" s="54" t="str">
        <f>[TSK]</f>
        <v>Stage 2</v>
      </c>
    </row>
    <row r="38" spans="1:17">
      <c r="A38" s="53">
        <f t="shared" ref="A38:A44" si="2">IFERROR($A37+1,1)</f>
        <v>37</v>
      </c>
      <c r="B38" s="54" t="str">
        <f>VLOOKUP([Task],ProjectTasks[[TaskProjectCode]:[TSK]],2,0)</f>
        <v>TKT</v>
      </c>
      <c r="C38" s="54" t="str">
        <f>VLOOKUP([Task],ProjectTasks[[TaskProjectCode]:[TSK]],3,0)</f>
        <v>Entering table details into excel sheet</v>
      </c>
      <c r="D38" s="54" t="str">
        <f>[Employee]&amp;"/"&amp;[Date]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([End Time]-[Start Time])*1440</f>
        <v>120.00000000000006</v>
      </c>
      <c r="M38" s="58" t="str">
        <f>TEXT([End Time]-[Start Time],"HH:mm")</f>
        <v>02:00</v>
      </c>
      <c r="N38" s="58">
        <f>SUMIFS([Total Minutes],[Date],[Date],[Employee],[Employee])</f>
        <v>210.00000000000014</v>
      </c>
      <c r="O38" s="58" t="str">
        <f>TEXT([Day Total Minutes]/1440,"HH:mm")</f>
        <v>03:30</v>
      </c>
      <c r="P38" s="54" t="str">
        <f>[PRJ]</f>
        <v>TKT</v>
      </c>
      <c r="Q38" s="54" t="str">
        <f>[TSK]</f>
        <v>Entering table details into excel sheet</v>
      </c>
    </row>
    <row r="39" spans="1:17">
      <c r="A39" s="6">
        <f t="shared" si="2"/>
        <v>38</v>
      </c>
      <c r="B39" s="11" t="str">
        <f>VLOOKUP([Task],ProjectTasks[[TaskProjectCode]:[TSK]],2,0)</f>
        <v>MITWEB</v>
      </c>
      <c r="C39" s="11" t="str">
        <f>VLOOKUP([Task],ProjectTasks[[TaskProjectCode]:[TSK]],3,0)</f>
        <v>Modification</v>
      </c>
      <c r="D39" s="11" t="str">
        <f>[Employee]&amp;"/"&amp;[Date]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([End Time]-[Start Time])*1440</f>
        <v>119.99999999999997</v>
      </c>
      <c r="M39" s="3" t="str">
        <f>TEXT([End Time]-[Start Time],"HH:mm")</f>
        <v>02:00</v>
      </c>
      <c r="N39" s="3">
        <f>SUMIFS([Total Minutes],[Date],[Date],[Employee],[Employee])</f>
        <v>240.00000000000003</v>
      </c>
      <c r="O39" s="3" t="str">
        <f>TEXT([Day Total Minutes]/1440,"HH:mm")</f>
        <v>04:00</v>
      </c>
      <c r="P39" s="11" t="str">
        <f>[PRJ]</f>
        <v>MITWEB</v>
      </c>
      <c r="Q39" s="11" t="str">
        <f>[TSK]</f>
        <v>Modification</v>
      </c>
    </row>
    <row r="40" spans="1:17">
      <c r="A40" s="6">
        <f t="shared" si="2"/>
        <v>39</v>
      </c>
      <c r="B40" s="11" t="str">
        <f>VLOOKUP([Task],ProjectTasks[[TaskProjectCode]:[TSK]],2,0)</f>
        <v>TEEBPD</v>
      </c>
      <c r="C40" s="11" t="str">
        <f>VLOOKUP([Task],ProjectTasks[[TaskProjectCode]:[TSK]],3,0)</f>
        <v>Client Suggestion Implementation</v>
      </c>
      <c r="D40" s="11" t="str">
        <f>[Employee]&amp;"/"&amp;[Date]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([End Time]-[Start Time])*1440</f>
        <v>120.00000000000006</v>
      </c>
      <c r="M40" s="3" t="str">
        <f>TEXT([End Time]-[Start Time],"HH:mm")</f>
        <v>02:00</v>
      </c>
      <c r="N40" s="3">
        <f>SUMIFS([Total Minutes],[Date],[Date],[Employee],[Employee])</f>
        <v>240.00000000000003</v>
      </c>
      <c r="O40" s="3" t="str">
        <f>TEXT([Day Total Minutes]/1440,"HH:mm")</f>
        <v>04:00</v>
      </c>
      <c r="P40" s="11" t="str">
        <f>[PRJ]</f>
        <v>TEEBPD</v>
      </c>
      <c r="Q40" s="11" t="str">
        <f>[TSK]</f>
        <v>Client Suggestion Implementation</v>
      </c>
    </row>
    <row r="41" spans="1:17">
      <c r="A41" s="61">
        <f t="shared" si="2"/>
        <v>40</v>
      </c>
      <c r="B41" s="54" t="str">
        <f>VLOOKUP([Task],ProjectTasks[[TaskProjectCode]:[TSK]],2,0)</f>
        <v>SDS</v>
      </c>
      <c r="C41" s="54" t="str">
        <f>VLOOKUP([Task],ProjectTasks[[TaskProjectCode]:[TSK]],3,0)</f>
        <v>Stage 2</v>
      </c>
      <c r="D41" s="54" t="str">
        <f>[Employee]&amp;"/"&amp;[Date]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([End Time]-[Start Time])*1440</f>
        <v>119.99999999999997</v>
      </c>
      <c r="M41" s="58" t="str">
        <f>TEXT([End Time]-[Start Time],"HH:mm")</f>
        <v>02:00</v>
      </c>
      <c r="N41" s="58">
        <f>SUMIFS([Total Minutes],[Date],[Date],[Employee],[Employee])</f>
        <v>352.99999999999994</v>
      </c>
      <c r="O41" s="58" t="str">
        <f>TEXT([Day Total Minutes]/1440,"HH:mm")</f>
        <v>05:53</v>
      </c>
      <c r="P41" s="54" t="str">
        <f>[PRJ]</f>
        <v>SDS</v>
      </c>
      <c r="Q41" s="54" t="str">
        <f>[TSK]</f>
        <v>Stage 2</v>
      </c>
    </row>
    <row r="42" spans="1:17">
      <c r="A42" s="61">
        <f t="shared" si="2"/>
        <v>41</v>
      </c>
      <c r="B42" s="54" t="str">
        <f>VLOOKUP([Task],ProjectTasks[[TaskProjectCode]:[TSK]],2,0)</f>
        <v>SDS</v>
      </c>
      <c r="C42" s="54" t="str">
        <f>VLOOKUP([Task],ProjectTasks[[TaskProjectCode]:[TSK]],3,0)</f>
        <v>Stage 2</v>
      </c>
      <c r="D42" s="54" t="str">
        <f>[Employee]&amp;"/"&amp;[Date]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([End Time]-[Start Time])*1440</f>
        <v>59.999999999999943</v>
      </c>
      <c r="M42" s="58" t="str">
        <f>TEXT([End Time]-[Start Time],"HH:mm")</f>
        <v>01:00</v>
      </c>
      <c r="N42" s="58">
        <f>SUMIFS([Total Minutes],[Date],[Date],[Employee],[Employee])</f>
        <v>352.99999999999994</v>
      </c>
      <c r="O42" s="58" t="str">
        <f>TEXT([Day Total Minutes]/1440,"HH:mm")</f>
        <v>05:53</v>
      </c>
      <c r="P42" s="54" t="str">
        <f>[PRJ]</f>
        <v>SDS</v>
      </c>
      <c r="Q42" s="54" t="str">
        <f>[TSK]</f>
        <v>Stage 2</v>
      </c>
    </row>
    <row r="43" spans="1:17">
      <c r="A43" s="53">
        <f t="shared" si="2"/>
        <v>42</v>
      </c>
      <c r="B43" s="54" t="str">
        <f>VLOOKUP([Task],ProjectTasks[[TaskProjectCode]:[TSK]],2,0)</f>
        <v>SDS</v>
      </c>
      <c r="C43" s="54" t="str">
        <f>VLOOKUP([Task],ProjectTasks[[TaskProjectCode]:[TSK]],3,0)</f>
        <v>Stage 2</v>
      </c>
      <c r="D43" s="54" t="str">
        <f>[Employee]&amp;"/"&amp;[Date]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([End Time]-[Start Time])*1440</f>
        <v>83.000000000000028</v>
      </c>
      <c r="M43" s="58" t="str">
        <f>TEXT([End Time]-[Start Time],"HH:mm")</f>
        <v>01:23</v>
      </c>
      <c r="N43" s="58">
        <f>SUMIFS([Total Minutes],[Date],[Date],[Employee],[Employee])</f>
        <v>352.99999999999994</v>
      </c>
      <c r="O43" s="58" t="str">
        <f>TEXT([Day Total Minutes]/1440,"HH:mm")</f>
        <v>05:53</v>
      </c>
      <c r="P43" s="54" t="str">
        <f>[PRJ]</f>
        <v>SDS</v>
      </c>
      <c r="Q43" s="54" t="str">
        <f>[TSK]</f>
        <v>Stage 2</v>
      </c>
    </row>
    <row r="44" spans="1:17">
      <c r="A44" s="53">
        <f t="shared" si="2"/>
        <v>43</v>
      </c>
      <c r="B44" s="54" t="str">
        <f>VLOOKUP([Task],ProjectTasks[[TaskProjectCode]:[TSK]],2,0)</f>
        <v>SDS</v>
      </c>
      <c r="C44" s="54" t="str">
        <f>VLOOKUP([Task],ProjectTasks[[TaskProjectCode]:[TSK]],3,0)</f>
        <v>Stage 2</v>
      </c>
      <c r="D44" s="54" t="str">
        <f>[Employee]&amp;"/"&amp;[Date]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([End Time]-[Start Time])*1440</f>
        <v>90</v>
      </c>
      <c r="M44" s="58" t="str">
        <f>TEXT([End Time]-[Start Time],"HH:mm")</f>
        <v>01:30</v>
      </c>
      <c r="N44" s="58">
        <f>SUMIFS([Total Minutes],[Date],[Date],[Employee],[Employee])</f>
        <v>352.99999999999994</v>
      </c>
      <c r="O44" s="58" t="str">
        <f>TEXT([Day Total Minutes]/1440,"HH:mm")</f>
        <v>05:53</v>
      </c>
      <c r="P44" s="54" t="str">
        <f>[PRJ]</f>
        <v>SDS</v>
      </c>
      <c r="Q44" s="54" t="str">
        <f>[TSK]</f>
        <v>Stage 2</v>
      </c>
    </row>
    <row r="45" spans="1:17">
      <c r="A45" s="61">
        <f t="shared" ref="A45:A50" si="3">IFERROR($A44+1,1)</f>
        <v>44</v>
      </c>
      <c r="B45" s="62" t="str">
        <f>VLOOKUP([Task],ProjectTasks[[TaskProjectCode]:[TSK]],2,0)</f>
        <v>TEEBPD</v>
      </c>
      <c r="C45" s="62" t="str">
        <f>VLOOKUP([Task],ProjectTasks[[TaskProjectCode]:[TSK]],3,0)</f>
        <v>Synchronization Implementing</v>
      </c>
      <c r="D45" s="62" t="str">
        <f>[Employee]&amp;"/"&amp;[Date]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([End Time]-[Start Time])*1440</f>
        <v>480.00000000000006</v>
      </c>
      <c r="M45" s="66" t="str">
        <f>TEXT([End Time]-[Start Time],"HH:mm")</f>
        <v>08:00</v>
      </c>
      <c r="N45" s="66">
        <f>SUMIFS([Total Minutes],[Date],[Date],[Employee],[Employee])</f>
        <v>480.00000000000006</v>
      </c>
      <c r="O45" s="66" t="str">
        <f>TEXT([Day Total Minutes]/1440,"HH:mm")</f>
        <v>08:00</v>
      </c>
      <c r="P45" s="62" t="str">
        <f>[PRJ]</f>
        <v>TEEBPD</v>
      </c>
      <c r="Q45" s="62" t="str">
        <f>[TSK]</f>
        <v>Synchronization Implementing</v>
      </c>
    </row>
    <row r="46" spans="1:17">
      <c r="A46" s="53">
        <f t="shared" si="3"/>
        <v>45</v>
      </c>
      <c r="B46" s="54" t="str">
        <f>VLOOKUP([Task],ProjectTasks[[TaskProjectCode]:[TSK]],2,0)</f>
        <v>TKT</v>
      </c>
      <c r="C46" s="54" t="str">
        <f>VLOOKUP([Task],ProjectTasks[[TaskProjectCode]:[TSK]],3,0)</f>
        <v>Entering table details into excel sheet</v>
      </c>
      <c r="D46" s="54" t="str">
        <f>[Employee]&amp;"/"&amp;[Date]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([End Time]-[Start Time])*1440</f>
        <v>150.00000000000003</v>
      </c>
      <c r="M46" s="58" t="str">
        <f>TEXT([End Time]-[Start Time],"HH:mm")</f>
        <v>02:30</v>
      </c>
      <c r="N46" s="58">
        <f>SUMIFS([Total Minutes],[Date],[Date],[Employee],[Employee])</f>
        <v>150.00000000000003</v>
      </c>
      <c r="O46" s="58" t="str">
        <f>TEXT([Day Total Minutes]/1440,"HH:mm")</f>
        <v>02:30</v>
      </c>
      <c r="P46" s="54" t="str">
        <f>[PRJ]</f>
        <v>TKT</v>
      </c>
      <c r="Q46" s="54" t="str">
        <f>[TSK]</f>
        <v>Entering table details into excel sheet</v>
      </c>
    </row>
    <row r="47" spans="1:17">
      <c r="A47" s="53">
        <f t="shared" si="3"/>
        <v>46</v>
      </c>
      <c r="B47" s="54" t="str">
        <f>VLOOKUP([Task],ProjectTasks[[TaskProjectCode]:[TSK]],2,0)</f>
        <v>SDS</v>
      </c>
      <c r="C47" s="54" t="str">
        <f>VLOOKUP([Task],ProjectTasks[[TaskProjectCode]:[TSK]],3,0)</f>
        <v>Request and get Response from  web</v>
      </c>
      <c r="D47" s="54" t="str">
        <f>[Employee]&amp;"/"&amp;[Date]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([End Time]-[Start Time])*1440</f>
        <v>150.00000000000003</v>
      </c>
      <c r="M47" s="58" t="str">
        <f>TEXT([End Time]-[Start Time],"HH:mm")</f>
        <v>02:30</v>
      </c>
      <c r="N47" s="58">
        <f>SUMIFS([Total Minutes],[Date],[Date],[Employee],[Employee])</f>
        <v>150.00000000000003</v>
      </c>
      <c r="O47" s="58" t="str">
        <f>TEXT([Day Total Minutes]/1440,"HH:mm")</f>
        <v>02:30</v>
      </c>
      <c r="P47" s="54" t="str">
        <f>[PRJ]</f>
        <v>SDS</v>
      </c>
      <c r="Q47" s="54" t="str">
        <f>[TSK]</f>
        <v>Request and get Response from  web</v>
      </c>
    </row>
    <row r="48" spans="1:17">
      <c r="A48" s="53">
        <f t="shared" si="3"/>
        <v>47</v>
      </c>
      <c r="B48" s="54" t="str">
        <f>VLOOKUP([Task],ProjectTasks[[TaskProjectCode]:[TSK]],2,0)</f>
        <v>TKT</v>
      </c>
      <c r="C48" s="54" t="str">
        <f>VLOOKUP([Task],ProjectTasks[[TaskProjectCode]:[TSK]],3,0)</f>
        <v>Package Creation-Stage1</v>
      </c>
      <c r="D48" s="54" t="str">
        <f>[Employee]&amp;"/"&amp;[Date]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([End Time]-[Start Time])*1440</f>
        <v>180</v>
      </c>
      <c r="M48" s="58" t="str">
        <f>TEXT([End Time]-[Start Time],"HH:mm")</f>
        <v>03:00</v>
      </c>
      <c r="N48" s="58">
        <f>SUMIFS([Total Minutes],[Date],[Date],[Employee],[Employee])</f>
        <v>180</v>
      </c>
      <c r="O48" s="58" t="str">
        <f>TEXT([Day Total Minutes]/1440,"HH:mm")</f>
        <v>03:00</v>
      </c>
      <c r="P48" s="54" t="str">
        <f>[PRJ]</f>
        <v>TKT</v>
      </c>
      <c r="Q48" s="54" t="str">
        <f>[TSK]</f>
        <v>Package Creation-Stage1</v>
      </c>
    </row>
    <row r="49" spans="1:17">
      <c r="A49" s="53">
        <f t="shared" si="3"/>
        <v>48</v>
      </c>
      <c r="B49" s="54" t="str">
        <f>VLOOKUP([Task],ProjectTasks[[TaskProjectCode]:[TSK]],2,0)</f>
        <v>SDS</v>
      </c>
      <c r="C49" s="54" t="str">
        <f>VLOOKUP([Task],ProjectTasks[[TaskProjectCode]:[TSK]],3,0)</f>
        <v>Request and get Response from  web</v>
      </c>
      <c r="D49" s="54" t="str">
        <f>[Employee]&amp;"/"&amp;[Date]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([End Time]-[Start Time])*1440</f>
        <v>129.99999999999994</v>
      </c>
      <c r="M49" s="58" t="str">
        <f>TEXT([End Time]-[Start Time],"HH:mm")</f>
        <v>02:10</v>
      </c>
      <c r="N49" s="58">
        <f>SUMIFS([Total Minutes],[Date],[Date],[Employee],[Employee])</f>
        <v>254</v>
      </c>
      <c r="O49" s="58" t="str">
        <f>TEXT([Day Total Minutes]/1440,"HH:mm")</f>
        <v>04:14</v>
      </c>
      <c r="P49" s="54" t="str">
        <f>[PRJ]</f>
        <v>SDS</v>
      </c>
      <c r="Q49" s="54" t="str">
        <f>[TSK]</f>
        <v>Request and get Response from  web</v>
      </c>
    </row>
    <row r="50" spans="1:17">
      <c r="A50" s="53">
        <f t="shared" si="3"/>
        <v>49</v>
      </c>
      <c r="B50" s="54" t="str">
        <f>VLOOKUP([Task],ProjectTasks[[TaskProjectCode]:[TSK]],2,0)</f>
        <v>SDS</v>
      </c>
      <c r="C50" s="54" t="str">
        <f>VLOOKUP([Task],ProjectTasks[[TaskProjectCode]:[TSK]],3,0)</f>
        <v>Request and get Response from  web</v>
      </c>
      <c r="D50" s="54" t="str">
        <f>[Employee]&amp;"/"&amp;[Date]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([End Time]-[Start Time])*1440</f>
        <v>124.00000000000004</v>
      </c>
      <c r="M50" s="58" t="str">
        <f>TEXT([End Time]-[Start Time],"HH:mm")</f>
        <v>02:04</v>
      </c>
      <c r="N50" s="58">
        <f>SUMIFS([Total Minutes],[Date],[Date],[Employee],[Employee])</f>
        <v>254</v>
      </c>
      <c r="O50" s="58" t="str">
        <f>TEXT([Day Total Minutes]/1440,"HH:mm")</f>
        <v>04:14</v>
      </c>
      <c r="P50" s="54" t="str">
        <f>[PRJ]</f>
        <v>SDS</v>
      </c>
      <c r="Q50" s="54" t="str">
        <f>[TSK]</f>
        <v>Request and get Response from  web</v>
      </c>
    </row>
    <row r="51" spans="1:17">
      <c r="A51" s="53">
        <f t="shared" ref="A51:A58" si="4">IFERROR($A50+1,1)</f>
        <v>50</v>
      </c>
      <c r="B51" s="54" t="str">
        <f>VLOOKUP([Task],ProjectTasks[[TaskProjectCode]:[TSK]],2,0)</f>
        <v>TKT</v>
      </c>
      <c r="C51" s="54" t="str">
        <f>VLOOKUP([Task],ProjectTasks[[TaskProjectCode]:[TSK]],3,0)</f>
        <v>Package Creation-Stage1</v>
      </c>
      <c r="D51" s="54" t="str">
        <f>[Employee]&amp;"/"&amp;[Date]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([End Time]-[Start Time])*1440</f>
        <v>119.99999999999997</v>
      </c>
      <c r="M51" s="58" t="str">
        <f>TEXT([End Time]-[Start Time],"HH:mm")</f>
        <v>02:00</v>
      </c>
      <c r="N51" s="58">
        <f>SUMIFS([Total Minutes],[Date],[Date],[Employee],[Employee])</f>
        <v>119.99999999999997</v>
      </c>
      <c r="O51" s="58" t="str">
        <f>TEXT([Day Total Minutes]/1440,"HH:mm")</f>
        <v>02:00</v>
      </c>
      <c r="P51" s="54" t="str">
        <f>[PRJ]</f>
        <v>TKT</v>
      </c>
      <c r="Q51" s="54" t="str">
        <f>[TSK]</f>
        <v>Package Creation-Stage1</v>
      </c>
    </row>
    <row r="52" spans="1:17">
      <c r="A52" s="53">
        <f t="shared" si="4"/>
        <v>51</v>
      </c>
      <c r="B52" s="54" t="str">
        <f>VLOOKUP([Task],ProjectTasks[[TaskProjectCode]:[TSK]],2,0)</f>
        <v>SDS</v>
      </c>
      <c r="C52" s="54" t="str">
        <f>VLOOKUP([Task],ProjectTasks[[TaskProjectCode]:[TSK]],3,0)</f>
        <v>Request and get Response from  web</v>
      </c>
      <c r="D52" s="54" t="str">
        <f>[Employee]&amp;"/"&amp;[Date]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([End Time]-[Start Time])*1440</f>
        <v>45</v>
      </c>
      <c r="M52" s="58" t="str">
        <f>TEXT([End Time]-[Start Time],"HH:mm")</f>
        <v>00:45</v>
      </c>
      <c r="N52" s="58">
        <f>SUMIFS([Total Minutes],[Date],[Date],[Employee],[Employee])</f>
        <v>104.99999999999994</v>
      </c>
      <c r="O52" s="58" t="str">
        <f>TEXT([Day Total Minutes]/1440,"HH:mm")</f>
        <v>01:45</v>
      </c>
      <c r="P52" s="54" t="str">
        <f>[PRJ]</f>
        <v>SDS</v>
      </c>
      <c r="Q52" s="54" t="str">
        <f>[TSK]</f>
        <v>Request and get Response from  web</v>
      </c>
    </row>
    <row r="53" spans="1:17">
      <c r="A53" s="53">
        <f t="shared" si="4"/>
        <v>52</v>
      </c>
      <c r="B53" s="54" t="str">
        <f>VLOOKUP([Task],ProjectTasks[[TaskProjectCode]:[TSK]],2,0)</f>
        <v>TKT</v>
      </c>
      <c r="C53" s="54" t="str">
        <f>VLOOKUP([Task],ProjectTasks[[TaskProjectCode]:[TSK]],3,0)</f>
        <v>Package Creation-Stage1</v>
      </c>
      <c r="D53" s="54" t="str">
        <f>[Employee]&amp;"/"&amp;[Date]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([End Time]-[Start Time])*1440</f>
        <v>390</v>
      </c>
      <c r="M53" s="58" t="str">
        <f>TEXT([End Time]-[Start Time],"HH:mm")</f>
        <v>06:30</v>
      </c>
      <c r="N53" s="58">
        <f>SUMIFS([Total Minutes],[Date],[Date],[Employee],[Employee])</f>
        <v>390</v>
      </c>
      <c r="O53" s="58" t="str">
        <f>TEXT([Day Total Minutes]/1440,"HH:mm")</f>
        <v>06:30</v>
      </c>
      <c r="P53" s="54" t="str">
        <f>[PRJ]</f>
        <v>TKT</v>
      </c>
      <c r="Q53" s="54" t="str">
        <f>[TSK]</f>
        <v>Package Creation-Stage1</v>
      </c>
    </row>
    <row r="54" spans="1:17">
      <c r="A54" s="61">
        <f t="shared" si="4"/>
        <v>53</v>
      </c>
      <c r="B54" s="62" t="str">
        <f>VLOOKUP([Task],ProjectTasks[[TaskProjectCode]:[TSK]],2,0)</f>
        <v>TEEBPD</v>
      </c>
      <c r="C54" s="62" t="str">
        <f>VLOOKUP([Task],ProjectTasks[[TaskProjectCode]:[TSK]],3,0)</f>
        <v>Client Suggestion Implementation</v>
      </c>
      <c r="D54" s="62" t="str">
        <f>[Employee]&amp;"/"&amp;[Date]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([End Time]-[Start Time])*1440</f>
        <v>480</v>
      </c>
      <c r="M54" s="66" t="str">
        <f>TEXT([End Time]-[Start Time],"HH:mm")</f>
        <v>08:00</v>
      </c>
      <c r="N54" s="66">
        <f>SUMIFS([Total Minutes],[Date],[Date],[Employee],[Employee])</f>
        <v>480</v>
      </c>
      <c r="O54" s="66" t="str">
        <f>TEXT([Day Total Minutes]/1440,"HH:mm")</f>
        <v>08:00</v>
      </c>
      <c r="P54" s="62" t="str">
        <f>[PRJ]</f>
        <v>TEEBPD</v>
      </c>
      <c r="Q54" s="62" t="str">
        <f>[TSK]</f>
        <v>Client Suggestion Implementation</v>
      </c>
    </row>
    <row r="55" spans="1:17">
      <c r="A55" s="61">
        <f t="shared" si="4"/>
        <v>54</v>
      </c>
      <c r="B55" s="62" t="str">
        <f>VLOOKUP([Task],ProjectTasks[[TaskProjectCode]:[TSK]],2,0)</f>
        <v>TEEBPD</v>
      </c>
      <c r="C55" s="62" t="str">
        <f>VLOOKUP([Task],ProjectTasks[[TaskProjectCode]:[TSK]],3,0)</f>
        <v>Client Suggestion Implementation</v>
      </c>
      <c r="D55" s="62" t="str">
        <f>[Employee]&amp;"/"&amp;[Date]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([End Time]-[Start Time])*1440</f>
        <v>119.99999999999997</v>
      </c>
      <c r="M55" s="66" t="str">
        <f>TEXT([End Time]-[Start Time],"HH:mm")</f>
        <v>02:00</v>
      </c>
      <c r="N55" s="66">
        <f>SUMIFS([Total Minutes],[Date],[Date],[Employee],[Employee])</f>
        <v>239.99999999999986</v>
      </c>
      <c r="O55" s="66" t="str">
        <f>TEXT([Day Total Minutes]/1440,"HH:mm")</f>
        <v>04:00</v>
      </c>
      <c r="P55" s="62" t="str">
        <f>[PRJ]</f>
        <v>TEEBPD</v>
      </c>
      <c r="Q55" s="62" t="str">
        <f>[TSK]</f>
        <v>Client Suggestion Implementation</v>
      </c>
    </row>
    <row r="56" spans="1:17">
      <c r="A56" s="61">
        <f t="shared" si="4"/>
        <v>55</v>
      </c>
      <c r="B56" s="62" t="str">
        <f>VLOOKUP([Task],ProjectTasks[[TaskProjectCode]:[TSK]],2,0)</f>
        <v>TEEBPD</v>
      </c>
      <c r="C56" s="62" t="str">
        <f>VLOOKUP([Task],ProjectTasks[[TaskProjectCode]:[TSK]],3,0)</f>
        <v>Finalizing</v>
      </c>
      <c r="D56" s="62" t="str">
        <f>[Employee]&amp;"/"&amp;[Date]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([End Time]-[Start Time])*1440</f>
        <v>119.99999999999989</v>
      </c>
      <c r="M56" s="66" t="str">
        <f>TEXT([End Time]-[Start Time],"HH:mm")</f>
        <v>02:00</v>
      </c>
      <c r="N56" s="66">
        <f>SUMIFS([Total Minutes],[Date],[Date],[Employee],[Employee])</f>
        <v>239.99999999999986</v>
      </c>
      <c r="O56" s="66" t="str">
        <f>TEXT([Day Total Minutes]/1440,"HH:mm")</f>
        <v>04:00</v>
      </c>
      <c r="P56" s="62" t="str">
        <f>[PRJ]</f>
        <v>TEEBPD</v>
      </c>
      <c r="Q56" s="62" t="str">
        <f>[TSK]</f>
        <v>Finalizing</v>
      </c>
    </row>
    <row r="57" spans="1:17">
      <c r="A57" s="61">
        <f t="shared" si="4"/>
        <v>56</v>
      </c>
      <c r="B57" s="62" t="str">
        <f>VLOOKUP([Task],ProjectTasks[[TaskProjectCode]:[TSK]],2,0)</f>
        <v>MITWEB</v>
      </c>
      <c r="C57" s="62" t="str">
        <f>VLOOKUP([Task],ProjectTasks[[TaskProjectCode]:[TSK]],3,0)</f>
        <v>Modification</v>
      </c>
      <c r="D57" s="62" t="str">
        <f>[Employee]&amp;"/"&amp;[Date]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([End Time]-[Start Time])*1440</f>
        <v>239.99999999999994</v>
      </c>
      <c r="M57" s="66" t="str">
        <f>TEXT([End Time]-[Start Time],"HH:mm")</f>
        <v>04:00</v>
      </c>
      <c r="N57" s="66">
        <f>SUMIFS([Total Minutes],[Date],[Date],[Employee],[Employee])</f>
        <v>239.99999999999994</v>
      </c>
      <c r="O57" s="66" t="str">
        <f>TEXT([Day Total Minutes]/1440,"HH:mm")</f>
        <v>04:00</v>
      </c>
      <c r="P57" s="62" t="str">
        <f>[PRJ]</f>
        <v>MITWEB</v>
      </c>
      <c r="Q57" s="62" t="str">
        <f>[TSK]</f>
        <v>Modification</v>
      </c>
    </row>
    <row r="58" spans="1:17">
      <c r="A58" s="61">
        <f t="shared" si="4"/>
        <v>57</v>
      </c>
      <c r="B58" s="54" t="str">
        <f>VLOOKUP([Task],ProjectTasks[[TaskProjectCode]:[TSK]],2,0)</f>
        <v>SDS</v>
      </c>
      <c r="C58" s="54" t="str">
        <f>VLOOKUP([Task],ProjectTasks[[TaskProjectCode]:[TSK]],3,0)</f>
        <v>Modification</v>
      </c>
      <c r="D58" s="54" t="str">
        <f>[Employee]&amp;"/"&amp;[Date]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([End Time]-[Start Time])*1440</f>
        <v>59.999999999999943</v>
      </c>
      <c r="M58" s="58" t="str">
        <f>TEXT([End Time]-[Start Time],"HH:mm")</f>
        <v>01:00</v>
      </c>
      <c r="N58" s="58">
        <f>SUMIFS([Total Minutes],[Date],[Date],[Employee],[Employee])</f>
        <v>104.99999999999994</v>
      </c>
      <c r="O58" s="58" t="str">
        <f>TEXT([Day Total Minutes]/1440,"HH:mm")</f>
        <v>01:45</v>
      </c>
      <c r="P58" s="54" t="str">
        <f>[PRJ]</f>
        <v>SDS</v>
      </c>
      <c r="Q58" s="54" t="str">
        <f>[TSK]</f>
        <v>Modification</v>
      </c>
    </row>
    <row r="59" spans="1:17">
      <c r="A59" s="5">
        <f t="shared" ref="A59:A66" si="5">IFERROR($A58+1,1)</f>
        <v>58</v>
      </c>
      <c r="B59" s="10" t="str">
        <f>VLOOKUP([Task],ProjectTasks[[TaskProjectCode]:[TSK]],2,0)</f>
        <v>TKT</v>
      </c>
      <c r="C59" s="10" t="str">
        <f>VLOOKUP([Task],ProjectTasks[[TaskProjectCode]:[TSK]],3,0)</f>
        <v>Package Creation-Stage1</v>
      </c>
      <c r="D59" s="10" t="str">
        <f>[Employee]&amp;"/"&amp;[Date]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([End Time]-[Start Time])*1440</f>
        <v>165.99999999999997</v>
      </c>
      <c r="M59" s="2" t="str">
        <f>TEXT([End Time]-[Start Time],"HH:mm")</f>
        <v>02:46</v>
      </c>
      <c r="N59" s="2">
        <f>SUMIFS([Total Minutes],[Date],[Date],[Employee],[Employee])</f>
        <v>251</v>
      </c>
      <c r="O59" s="2" t="str">
        <f>TEXT([Day Total Minutes]/1440,"HH:mm")</f>
        <v>04:11</v>
      </c>
      <c r="P59" s="10" t="str">
        <f>[PRJ]</f>
        <v>TKT</v>
      </c>
      <c r="Q59" s="10" t="str">
        <f>[TSK]</f>
        <v>Package Creation-Stage1</v>
      </c>
    </row>
    <row r="60" spans="1:17">
      <c r="A60" s="5">
        <f t="shared" si="5"/>
        <v>59</v>
      </c>
      <c r="B60" s="10" t="str">
        <f>VLOOKUP([Task],ProjectTasks[[TaskProjectCode]:[TSK]],2,0)</f>
        <v>SDS</v>
      </c>
      <c r="C60" s="10" t="str">
        <f>VLOOKUP([Task],ProjectTasks[[TaskProjectCode]:[TSK]],3,0)</f>
        <v>Modification</v>
      </c>
      <c r="D60" s="10" t="str">
        <f>[Employee]&amp;"/"&amp;[Date]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([End Time]-[Start Time])*1440</f>
        <v>240.00000000000003</v>
      </c>
      <c r="M60" s="2" t="str">
        <f>TEXT([End Time]-[Start Time],"HH:mm")</f>
        <v>04:00</v>
      </c>
      <c r="N60" s="2">
        <f>SUMIFS([Total Minutes],[Date],[Date],[Employee],[Employee])</f>
        <v>240.00000000000003</v>
      </c>
      <c r="O60" s="2" t="str">
        <f>TEXT([Day Total Minutes]/1440,"HH:mm")</f>
        <v>04:00</v>
      </c>
      <c r="P60" s="10" t="str">
        <f>[PRJ]</f>
        <v>SDS</v>
      </c>
      <c r="Q60" s="10" t="str">
        <f>[TSK]</f>
        <v>Modification</v>
      </c>
    </row>
    <row r="61" spans="1:17">
      <c r="A61" s="94">
        <f t="shared" si="5"/>
        <v>60</v>
      </c>
      <c r="B61" s="95" t="str">
        <f>VLOOKUP([Task],ProjectTasks[[TaskProjectCode]:[TSK]],2,0)</f>
        <v>TKT</v>
      </c>
      <c r="C61" s="95" t="str">
        <f>VLOOKUP([Task],ProjectTasks[[TaskProjectCode]:[TSK]],3,0)</f>
        <v>Package Creation-Stage1</v>
      </c>
      <c r="D61" s="95" t="str">
        <f>[Employee]&amp;"/"&amp;[Date]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([End Time]-[Start Time])*1440</f>
        <v>45</v>
      </c>
      <c r="M61" s="99" t="str">
        <f>TEXT([End Time]-[Start Time],"HH:mm")</f>
        <v>00:45</v>
      </c>
      <c r="N61" s="99">
        <f>SUMIFS([Total Minutes],[Date],[Date],[Employee],[Employee])</f>
        <v>251</v>
      </c>
      <c r="O61" s="99" t="str">
        <f>TEXT([Day Total Minutes]/1440,"HH:mm")</f>
        <v>04:11</v>
      </c>
      <c r="P61" s="95" t="str">
        <f>[PRJ]</f>
        <v>TKT</v>
      </c>
      <c r="Q61" s="95" t="str">
        <f>[TSK]</f>
        <v>Package Creation-Stage1</v>
      </c>
    </row>
    <row r="62" spans="1:17">
      <c r="A62" s="101">
        <f t="shared" si="5"/>
        <v>61</v>
      </c>
      <c r="B62" s="102" t="str">
        <f>VLOOKUP([Task],ProjectTasks[[TaskProjectCode]:[TSK]],2,0)</f>
        <v>TKT</v>
      </c>
      <c r="C62" s="102" t="str">
        <f>VLOOKUP([Task],ProjectTasks[[TaskProjectCode]:[TSK]],3,0)</f>
        <v>Package Creation-Stage1</v>
      </c>
      <c r="D62" s="102" t="str">
        <f>[Employee]&amp;"/"&amp;[Date]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([End Time]-[Start Time])*1440</f>
        <v>40.000000000000014</v>
      </c>
      <c r="M62" s="99" t="str">
        <f>TEXT([End Time]-[Start Time],"HH:mm")</f>
        <v>00:40</v>
      </c>
      <c r="N62" s="106">
        <f>SUMIFS([Total Minutes],[Date],[Date],[Employee],[Employee])</f>
        <v>251</v>
      </c>
      <c r="O62" s="106" t="str">
        <f>TEXT([Day Total Minutes]/1440,"HH:mm")</f>
        <v>04:11</v>
      </c>
      <c r="P62" s="102" t="str">
        <f>[PRJ]</f>
        <v>TKT</v>
      </c>
      <c r="Q62" s="102" t="str">
        <f>[TSK]</f>
        <v>Package Creation-Stage1</v>
      </c>
    </row>
    <row r="63" spans="1:17">
      <c r="A63" s="101">
        <f t="shared" si="5"/>
        <v>62</v>
      </c>
      <c r="B63" s="102" t="str">
        <f>VLOOKUP([Task],ProjectTasks[[TaskProjectCode]:[TSK]],2,0)</f>
        <v>TKT</v>
      </c>
      <c r="C63" s="102" t="str">
        <f>VLOOKUP([Task],ProjectTasks[[TaskProjectCode]:[TSK]],3,0)</f>
        <v>Package Creation-Stage1</v>
      </c>
      <c r="D63" s="102" t="str">
        <f>[Employee]&amp;"/"&amp;[Date]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([End Time]-[Start Time])*1440</f>
        <v>164.99999999999997</v>
      </c>
      <c r="M63" s="106" t="str">
        <f>TEXT([End Time]-[Start Time],"HH:mm")</f>
        <v>02:45</v>
      </c>
      <c r="N63" s="106">
        <f>SUMIFS([Total Minutes],[Date],[Date],[Employee],[Employee])</f>
        <v>314.99999999999989</v>
      </c>
      <c r="O63" s="106" t="str">
        <f>TEXT([Day Total Minutes]/1440,"HH:mm")</f>
        <v>05:15</v>
      </c>
      <c r="P63" s="102" t="str">
        <f>[PRJ]</f>
        <v>TKT</v>
      </c>
      <c r="Q63" s="102" t="str">
        <f>[TSK]</f>
        <v>Package Creation-Stage1</v>
      </c>
    </row>
    <row r="64" spans="1:17">
      <c r="A64" s="101">
        <f t="shared" si="5"/>
        <v>63</v>
      </c>
      <c r="B64" s="102" t="str">
        <f>VLOOKUP([Task],ProjectTasks[[TaskProjectCode]:[TSK]],2,0)</f>
        <v>TKT</v>
      </c>
      <c r="C64" s="102" t="str">
        <f>VLOOKUP([Task],ProjectTasks[[TaskProjectCode]:[TSK]],3,0)</f>
        <v>Package Creation-Stage1</v>
      </c>
      <c r="D64" s="102" t="str">
        <f>[Employee]&amp;"/"&amp;[Date]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([End Time]-[Start Time])*1440</f>
        <v>149.99999999999994</v>
      </c>
      <c r="M64" s="106" t="str">
        <f>TEXT([End Time]-[Start Time],"HH:mm")</f>
        <v>02:30</v>
      </c>
      <c r="N64" s="106">
        <f>SUMIFS([Total Minutes],[Date],[Date],[Employee],[Employee])</f>
        <v>314.99999999999989</v>
      </c>
      <c r="O64" s="106" t="str">
        <f>TEXT([Day Total Minutes]/1440,"HH:mm")</f>
        <v>05:15</v>
      </c>
      <c r="P64" s="102" t="str">
        <f>[PRJ]</f>
        <v>TKT</v>
      </c>
      <c r="Q64" s="102" t="str">
        <f>[TSK]</f>
        <v>Package Creation-Stage1</v>
      </c>
    </row>
    <row r="65" spans="1:17">
      <c r="A65" s="101">
        <f t="shared" si="5"/>
        <v>64</v>
      </c>
      <c r="B65" s="102" t="str">
        <f>VLOOKUP([Task],ProjectTasks[[TaskProjectCode]:[TSK]],2,0)</f>
        <v>TKT</v>
      </c>
      <c r="C65" s="102" t="str">
        <f>VLOOKUP([Task],ProjectTasks[[TaskProjectCode]:[TSK]],3,0)</f>
        <v>Package Creation-Stage2(Resource creation)</v>
      </c>
      <c r="D65" s="102" t="str">
        <f>[Employee]&amp;"/"&amp;[Date]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06"/>
      <c r="L65" s="106">
        <f>([End Time]-[Start Time])*1440</f>
        <v>-570</v>
      </c>
      <c r="M65" s="106" t="e">
        <f>TEXT([End Time]-[Start Time],"HH:mm")</f>
        <v>#VALUE!</v>
      </c>
      <c r="N65" s="106">
        <f>SUMIFS([Total Minutes],[Date],[Date],[Employee],[Employee])</f>
        <v>-570</v>
      </c>
      <c r="O65" s="106" t="e">
        <f>TEXT([Day Total Minutes]/1440,"HH:mm")</f>
        <v>#VALUE!</v>
      </c>
      <c r="P65" s="102" t="str">
        <f>[PRJ]</f>
        <v>TKT</v>
      </c>
      <c r="Q65" s="102" t="str">
        <f>[TSK]</f>
        <v>Package Creation-Stage2(Resource creation)</v>
      </c>
    </row>
    <row r="66" spans="1:17">
      <c r="A66" s="101">
        <f t="shared" si="5"/>
        <v>65</v>
      </c>
      <c r="B66" s="159" t="str">
        <f>VLOOKUP([Task],ProjectTasks[[TaskProjectCode]:[TSK]],2,0)</f>
        <v>APPFRAME</v>
      </c>
      <c r="C66" s="159" t="str">
        <f>VLOOKUP([Task],ProjectTasks[[TaskProjectCode]:[TSK]],3,0)</f>
        <v>Development</v>
      </c>
      <c r="D66" s="159" t="str">
        <f>[Employee]&amp;"/"&amp;[Date]</f>
        <v>Firose/43444</v>
      </c>
      <c r="E66" s="159">
        <f>COUNTIF($D$1:TaskTimings[[#This Row],[EmployeeDate]],TaskTimings[[#This Row],[EmployeeDate]])</f>
        <v>1</v>
      </c>
      <c r="F66" s="159" t="str">
        <f>TaskTimings[[#This Row],[EmployeeDate]]&amp;"/"&amp;TaskTimings[[#This Row],[EmployeeDateSeq]]</f>
        <v>Firose/43444/1</v>
      </c>
      <c r="G66" s="160" t="s">
        <v>99</v>
      </c>
      <c r="H66" s="160" t="s">
        <v>34</v>
      </c>
      <c r="I66" s="161">
        <v>43444</v>
      </c>
      <c r="J66" s="162">
        <v>0.375</v>
      </c>
      <c r="K66" s="162">
        <v>0.70833333333333337</v>
      </c>
      <c r="L66" s="163">
        <f>([End Time]-[Start Time])*1440</f>
        <v>480.00000000000006</v>
      </c>
      <c r="M66" s="163" t="str">
        <f>TEXT([End Time]-[Start Time],"HH:mm")</f>
        <v>08:00</v>
      </c>
      <c r="N66" s="163">
        <f>SUMIFS([Total Minutes],[Date],[Date],[Employee],[Employee])</f>
        <v>480.00000000000006</v>
      </c>
      <c r="O66" s="163" t="str">
        <f>TEXT([Day Total Minutes]/1440,"HH:mm")</f>
        <v>08:00</v>
      </c>
      <c r="P66" s="159" t="str">
        <f>[PRJ]</f>
        <v>APPFRAME</v>
      </c>
      <c r="Q66" s="159" t="str">
        <f>[TSK]</f>
        <v>Development</v>
      </c>
    </row>
  </sheetData>
  <dataValidations count="2">
    <dataValidation type="list" allowBlank="1" showInputMessage="1" showErrorMessage="1" sqref="H2:H66">
      <formula1>EmployeeNames</formula1>
    </dataValidation>
    <dataValidation type="list" allowBlank="1" showInputMessage="1" showErrorMessage="1" sqref="G2:G66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P24"/>
  <sheetViews>
    <sheetView topLeftCell="A7" workbookViewId="0">
      <selection sqref="A1:E3"/>
    </sheetView>
  </sheetViews>
  <sheetFormatPr defaultRowHeight="15"/>
  <cols>
    <col min="10" max="16" width="13.28515625" customWidth="1"/>
  </cols>
  <sheetData>
    <row r="1" spans="1:16">
      <c r="A1" s="131" t="s">
        <v>72</v>
      </c>
      <c r="B1" s="131"/>
      <c r="C1" s="131"/>
      <c r="D1" s="131"/>
      <c r="E1" s="131"/>
    </row>
    <row r="2" spans="1:16">
      <c r="A2" s="131"/>
      <c r="B2" s="131"/>
      <c r="C2" s="131"/>
      <c r="D2" s="131"/>
      <c r="E2" s="131"/>
      <c r="J2" s="116" t="s">
        <v>33</v>
      </c>
      <c r="K2" s="116"/>
      <c r="L2" s="116"/>
    </row>
    <row r="3" spans="1:16">
      <c r="A3" s="131"/>
      <c r="B3" s="131"/>
      <c r="C3" s="131"/>
      <c r="D3" s="131"/>
      <c r="E3" s="131"/>
      <c r="J3" s="116"/>
      <c r="K3" s="116"/>
      <c r="L3" s="116"/>
    </row>
    <row r="4" spans="1:16" ht="15.75" thickBot="1">
      <c r="A4" s="132" t="str">
        <f>VLOOKUP($A$1,Project[[Project]:[Project Code]],2,0)</f>
        <v>MITWEB</v>
      </c>
      <c r="B4" s="132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>
      <c r="A5" s="123" t="s">
        <v>31</v>
      </c>
      <c r="B5" s="133" t="s">
        <v>29</v>
      </c>
      <c r="C5" s="133"/>
      <c r="D5" s="133"/>
      <c r="E5" s="133"/>
      <c r="F5" s="133"/>
      <c r="G5" s="112" t="s">
        <v>32</v>
      </c>
      <c r="H5" s="114"/>
      <c r="J5" s="123" t="str">
        <f>IFERROR(VLOOKUP(J$4,Employees[],2,0),"")</f>
        <v>Aswathy</v>
      </c>
      <c r="K5" s="112" t="str">
        <f>IFERROR(VLOOKUP(K$4,Employees[],2,0),"")</f>
        <v>Vishnu</v>
      </c>
      <c r="L5" s="112" t="str">
        <f>IFERROR(VLOOKUP(L$4,Employees[],2,0),"")</f>
        <v>Shareena</v>
      </c>
      <c r="M5" s="112" t="str">
        <f>IFERROR(VLOOKUP(M$4,Employees[],2,0),"")</f>
        <v>Firose</v>
      </c>
      <c r="N5" s="112" t="str">
        <f>IFERROR(VLOOKUP(N$4,Employees[],2,0),"")</f>
        <v/>
      </c>
      <c r="O5" s="112" t="str">
        <f>IFERROR(VLOOKUP(O$4,Employees[],2,0),"")</f>
        <v/>
      </c>
      <c r="P5" s="114" t="str">
        <f>IFERROR(VLOOKUP(P$4,Employees[],2,0),"")</f>
        <v/>
      </c>
    </row>
    <row r="6" spans="1:16">
      <c r="A6" s="124"/>
      <c r="B6" s="134"/>
      <c r="C6" s="134"/>
      <c r="D6" s="134"/>
      <c r="E6" s="134"/>
      <c r="F6" s="134"/>
      <c r="G6" s="113"/>
      <c r="H6" s="115"/>
      <c r="J6" s="124"/>
      <c r="K6" s="113"/>
      <c r="L6" s="113"/>
      <c r="M6" s="113"/>
      <c r="N6" s="113"/>
      <c r="O6" s="113"/>
      <c r="P6" s="115"/>
    </row>
    <row r="7" spans="1:16">
      <c r="A7" s="12">
        <v>1</v>
      </c>
      <c r="B7" s="127" t="str">
        <f>IFERROR(VLOOKUP($A$4&amp;"-"&amp;$A7,ProjectTasks[[PRJTSKSEQ]:[Task]],2,0),"")</f>
        <v>Modification</v>
      </c>
      <c r="C7" s="127"/>
      <c r="D7" s="127"/>
      <c r="E7" s="127"/>
      <c r="F7" s="127"/>
      <c r="G7" s="125">
        <f>SUMIFS(TaskTimings[Total Minutes],TaskTimings[PRJ],$A$4,TaskTimings[TSK],$B7)</f>
        <v>419.99999999999994</v>
      </c>
      <c r="H7" s="126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419.99999999999994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>
      <c r="A8" s="12">
        <v>2</v>
      </c>
      <c r="B8" s="127" t="str">
        <f>IFERROR(VLOOKUP($A$4&amp;"-"&amp;$A8,ProjectTasks[[PRJTSKSEQ]:[Task]],2,0),"")</f>
        <v/>
      </c>
      <c r="C8" s="127"/>
      <c r="D8" s="127"/>
      <c r="E8" s="127"/>
      <c r="F8" s="127"/>
      <c r="G8" s="125">
        <f>SUMIFS(TaskTimings[Total Minutes],TaskTimings[PRJ],$A$4,TaskTimings[TSK],$B8)</f>
        <v>0</v>
      </c>
      <c r="H8" s="126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>
      <c r="A9" s="12">
        <v>3</v>
      </c>
      <c r="B9" s="127" t="str">
        <f>IFERROR(VLOOKUP($A$4&amp;"-"&amp;$A9,ProjectTasks[[PRJTSKSEQ]:[Task]],2,0),"")</f>
        <v/>
      </c>
      <c r="C9" s="127"/>
      <c r="D9" s="127"/>
      <c r="E9" s="127"/>
      <c r="F9" s="127"/>
      <c r="G9" s="125">
        <f>SUMIFS(TaskTimings[Total Minutes],TaskTimings[PRJ],$A$4,TaskTimings[TSK],$B9)</f>
        <v>0</v>
      </c>
      <c r="H9" s="126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>
      <c r="A10" s="12">
        <v>4</v>
      </c>
      <c r="B10" s="127" t="str">
        <f>IFERROR(VLOOKUP($A$4&amp;"-"&amp;$A10,ProjectTasks[[PRJTSKSEQ]:[Task]],2,0),"")</f>
        <v/>
      </c>
      <c r="C10" s="127"/>
      <c r="D10" s="127"/>
      <c r="E10" s="127"/>
      <c r="F10" s="127"/>
      <c r="G10" s="125">
        <f>SUMIFS(TaskTimings[Total Minutes],TaskTimings[PRJ],$A$4,TaskTimings[TSK],$B10)</f>
        <v>0</v>
      </c>
      <c r="H10" s="126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>
      <c r="A11" s="12">
        <v>5</v>
      </c>
      <c r="B11" s="127" t="str">
        <f>IFERROR(VLOOKUP($A$4&amp;"-"&amp;$A11,ProjectTasks[[PRJTSKSEQ]:[Task]],2,0),"")</f>
        <v/>
      </c>
      <c r="C11" s="127"/>
      <c r="D11" s="127"/>
      <c r="E11" s="127"/>
      <c r="F11" s="127"/>
      <c r="G11" s="125">
        <f>SUMIFS(TaskTimings[Total Minutes],TaskTimings[PRJ],$A$4,TaskTimings[TSK],$B11)</f>
        <v>0</v>
      </c>
      <c r="H11" s="126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>
      <c r="A12" s="12">
        <v>6</v>
      </c>
      <c r="B12" s="127" t="str">
        <f>IFERROR(VLOOKUP($A$4&amp;"-"&amp;$A12,ProjectTasks[[PRJTSKSEQ]:[Task]],2,0),"")</f>
        <v/>
      </c>
      <c r="C12" s="127"/>
      <c r="D12" s="127"/>
      <c r="E12" s="127"/>
      <c r="F12" s="127"/>
      <c r="G12" s="125">
        <f>SUMIFS(TaskTimings[Total Minutes],TaskTimings[PRJ],$A$4,TaskTimings[TSK],$B12)</f>
        <v>0</v>
      </c>
      <c r="H12" s="126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>
      <c r="A13" s="12">
        <v>7</v>
      </c>
      <c r="B13" s="127" t="str">
        <f>IFERROR(VLOOKUP($A$4&amp;"-"&amp;$A13,ProjectTasks[[PRJTSKSEQ]:[Task]],2,0),"")</f>
        <v/>
      </c>
      <c r="C13" s="127"/>
      <c r="D13" s="127"/>
      <c r="E13" s="127"/>
      <c r="F13" s="127"/>
      <c r="G13" s="125">
        <f>SUMIFS(TaskTimings[Total Minutes],TaskTimings[PRJ],$A$4,TaskTimings[TSK],$B13)</f>
        <v>0</v>
      </c>
      <c r="H13" s="126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>
      <c r="A14" s="12">
        <v>8</v>
      </c>
      <c r="B14" s="127" t="str">
        <f>IFERROR(VLOOKUP($A$4&amp;"-"&amp;$A14,ProjectTasks[[PRJTSKSEQ]:[Task]],2,0),"")</f>
        <v/>
      </c>
      <c r="C14" s="127"/>
      <c r="D14" s="127"/>
      <c r="E14" s="127"/>
      <c r="F14" s="127"/>
      <c r="G14" s="125">
        <f>SUMIFS(TaskTimings[Total Minutes],TaskTimings[PRJ],$A$4,TaskTimings[TSK],$B14)</f>
        <v>0</v>
      </c>
      <c r="H14" s="126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>
      <c r="A15" s="12">
        <v>9</v>
      </c>
      <c r="B15" s="127" t="str">
        <f>IFERROR(VLOOKUP($A$4&amp;"-"&amp;$A15,ProjectTasks[[PRJTSKSEQ]:[Task]],2,0),"")</f>
        <v/>
      </c>
      <c r="C15" s="127"/>
      <c r="D15" s="127"/>
      <c r="E15" s="127"/>
      <c r="F15" s="127"/>
      <c r="G15" s="125">
        <f>SUMIFS(TaskTimings[Total Minutes],TaskTimings[PRJ],$A$4,TaskTimings[TSK],$B15)</f>
        <v>0</v>
      </c>
      <c r="H15" s="126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>
      <c r="A16" s="12">
        <v>10</v>
      </c>
      <c r="B16" s="127" t="str">
        <f>IFERROR(VLOOKUP($A$4&amp;"-"&amp;$A16,ProjectTasks[[PRJTSKSEQ]:[Task]],2,0),"")</f>
        <v/>
      </c>
      <c r="C16" s="127"/>
      <c r="D16" s="127"/>
      <c r="E16" s="127"/>
      <c r="F16" s="127"/>
      <c r="G16" s="125">
        <f>SUMIFS(TaskTimings[Total Minutes],TaskTimings[PRJ],$A$4,TaskTimings[TSK],$B16)</f>
        <v>0</v>
      </c>
      <c r="H16" s="126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>
      <c r="A17" s="12">
        <v>11</v>
      </c>
      <c r="B17" s="127" t="str">
        <f>IFERROR(VLOOKUP($A$4&amp;"-"&amp;$A17,ProjectTasks[[PRJTSKSEQ]:[Task]],2,0),"")</f>
        <v/>
      </c>
      <c r="C17" s="127"/>
      <c r="D17" s="127"/>
      <c r="E17" s="127"/>
      <c r="F17" s="127"/>
      <c r="G17" s="125">
        <f>SUMIFS(TaskTimings[Total Minutes],TaskTimings[PRJ],$A$4,TaskTimings[TSK],$B17)</f>
        <v>0</v>
      </c>
      <c r="H17" s="126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>
      <c r="A18" s="12">
        <v>12</v>
      </c>
      <c r="B18" s="127" t="str">
        <f>IFERROR(VLOOKUP($A$4&amp;"-"&amp;$A18,ProjectTasks[[PRJTSKSEQ]:[Task]],2,0),"")</f>
        <v/>
      </c>
      <c r="C18" s="127"/>
      <c r="D18" s="127"/>
      <c r="E18" s="127"/>
      <c r="F18" s="127"/>
      <c r="G18" s="125">
        <f>SUMIFS(TaskTimings[Total Minutes],TaskTimings[PRJ],$A$4,TaskTimings[TSK],$B18)</f>
        <v>0</v>
      </c>
      <c r="H18" s="126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>
      <c r="A19" s="12">
        <v>13</v>
      </c>
      <c r="B19" s="127" t="str">
        <f>IFERROR(VLOOKUP($A$4&amp;"-"&amp;$A19,ProjectTasks[[PRJTSKSEQ]:[Task]],2,0),"")</f>
        <v/>
      </c>
      <c r="C19" s="127"/>
      <c r="D19" s="127"/>
      <c r="E19" s="127"/>
      <c r="F19" s="127"/>
      <c r="G19" s="125">
        <f>SUMIFS(TaskTimings[Total Minutes],TaskTimings[PRJ],$A$4,TaskTimings[TSK],$B19)</f>
        <v>0</v>
      </c>
      <c r="H19" s="126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>
      <c r="A20" s="12">
        <v>14</v>
      </c>
      <c r="B20" s="127" t="str">
        <f>IFERROR(VLOOKUP($A$4&amp;"-"&amp;$A20,ProjectTasks[[PRJTSKSEQ]:[Task]],2,0),"")</f>
        <v/>
      </c>
      <c r="C20" s="127"/>
      <c r="D20" s="127"/>
      <c r="E20" s="127"/>
      <c r="F20" s="127"/>
      <c r="G20" s="125">
        <f>SUMIFS(TaskTimings[Total Minutes],TaskTimings[PRJ],$A$4,TaskTimings[TSK],$B20)</f>
        <v>0</v>
      </c>
      <c r="H20" s="126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>
      <c r="A21" s="13">
        <v>15</v>
      </c>
      <c r="B21" s="130" t="str">
        <f>IFERROR(VLOOKUP($A$4&amp;"-"&amp;$A21,ProjectTasks[[PRJTSKSEQ]:[Task]],2,0),"")</f>
        <v/>
      </c>
      <c r="C21" s="130"/>
      <c r="D21" s="130"/>
      <c r="E21" s="130"/>
      <c r="F21" s="130"/>
      <c r="G21" s="128">
        <f>SUMIFS(TaskTimings[Total Minutes],TaskTimings[PRJ],$A$4,TaskTimings[TSK],$B21)</f>
        <v>0</v>
      </c>
      <c r="H21" s="129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/>
    <row r="23" spans="1:16">
      <c r="D23" s="117" t="s">
        <v>24</v>
      </c>
      <c r="E23" s="118"/>
      <c r="F23" s="119"/>
      <c r="G23" s="117">
        <f>SUM(G7:H21)</f>
        <v>419.99999999999994</v>
      </c>
      <c r="H23" s="119"/>
      <c r="J23" s="110">
        <f>SUM(J7:J21)</f>
        <v>0</v>
      </c>
      <c r="K23" s="110">
        <f t="shared" ref="K23:P23" si="0">SUM(K7:K21)</f>
        <v>0</v>
      </c>
      <c r="L23" s="110">
        <f t="shared" si="0"/>
        <v>0</v>
      </c>
      <c r="M23" s="110">
        <f t="shared" si="0"/>
        <v>419.99999999999994</v>
      </c>
      <c r="N23" s="110">
        <f t="shared" si="0"/>
        <v>0</v>
      </c>
      <c r="O23" s="110">
        <f t="shared" si="0"/>
        <v>0</v>
      </c>
      <c r="P23" s="110">
        <f t="shared" si="0"/>
        <v>0</v>
      </c>
    </row>
    <row r="24" spans="1:16" ht="15.75" thickBot="1">
      <c r="D24" s="120"/>
      <c r="E24" s="121"/>
      <c r="F24" s="122"/>
      <c r="G24" s="120"/>
      <c r="H24" s="122"/>
      <c r="J24" s="111"/>
      <c r="K24" s="111"/>
      <c r="L24" s="111"/>
      <c r="M24" s="111"/>
      <c r="N24" s="111"/>
      <c r="O24" s="111"/>
      <c r="P24" s="111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35"/>
  <sheetViews>
    <sheetView workbookViewId="0">
      <selection sqref="A1:D3"/>
    </sheetView>
  </sheetViews>
  <sheetFormatPr defaultRowHeight="15"/>
  <cols>
    <col min="10" max="10" width="10.5703125" customWidth="1"/>
  </cols>
  <sheetData>
    <row r="1" spans="1:28">
      <c r="A1" s="137" t="s">
        <v>16</v>
      </c>
      <c r="B1" s="137"/>
      <c r="C1" s="137"/>
      <c r="D1" s="137"/>
      <c r="F1" s="139" t="s">
        <v>35</v>
      </c>
      <c r="G1" s="139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>
      <c r="A2" s="137"/>
      <c r="B2" s="137"/>
      <c r="C2" s="137"/>
      <c r="D2" s="137"/>
      <c r="F2" s="138">
        <v>43444</v>
      </c>
      <c r="G2" s="138"/>
      <c r="I2" s="155">
        <f>SUM(I7:I30)</f>
        <v>-255.00000000000011</v>
      </c>
      <c r="J2" s="149" t="str">
        <f>INT($I$2/60)&amp;":"&amp;MOD(INT($I$2),60)</f>
        <v>-5:45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>
      <c r="A3" s="137"/>
      <c r="B3" s="137"/>
      <c r="C3" s="137"/>
      <c r="D3" s="137"/>
      <c r="F3" s="138"/>
      <c r="G3" s="138"/>
      <c r="I3" s="156"/>
      <c r="J3" s="150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>
      <c r="K4" s="116" t="s">
        <v>44</v>
      </c>
      <c r="L4" s="116"/>
      <c r="M4" s="116"/>
    </row>
    <row r="5" spans="1:28" ht="15.75" thickBot="1">
      <c r="B5" s="116" t="s">
        <v>45</v>
      </c>
      <c r="C5" s="116"/>
      <c r="D5" s="116"/>
      <c r="E5" s="116"/>
      <c r="F5" s="116"/>
      <c r="K5" s="135"/>
      <c r="L5" s="135"/>
      <c r="M5" s="135"/>
    </row>
    <row r="6" spans="1:28" ht="15.75" thickBot="1">
      <c r="A6" s="14">
        <v>1</v>
      </c>
      <c r="B6" s="136"/>
      <c r="C6" s="136"/>
      <c r="D6" s="136"/>
      <c r="E6" s="136"/>
      <c r="F6" s="136"/>
      <c r="J6" s="25"/>
      <c r="K6" s="32" t="s">
        <v>0</v>
      </c>
      <c r="L6" s="146" t="s">
        <v>4</v>
      </c>
      <c r="M6" s="146"/>
      <c r="N6" s="33" t="s">
        <v>41</v>
      </c>
      <c r="O6" s="25"/>
      <c r="P6" s="25"/>
      <c r="Q6" s="25"/>
      <c r="R6" s="25"/>
      <c r="S6" s="25"/>
      <c r="T6" s="25"/>
    </row>
    <row r="7" spans="1:28">
      <c r="A7" s="14">
        <v>2</v>
      </c>
      <c r="B7" s="140">
        <f>$F$2</f>
        <v>43444</v>
      </c>
      <c r="C7" s="112"/>
      <c r="D7" s="141" t="str">
        <f>IFERROR(VLOOKUP($A$1&amp;"/"&amp;$B$7&amp;"/"&amp;$A6,TaskTimings[[EmployeeDateSeqCode]:[Task]],2,0),"")</f>
        <v>TKT/Package Creation-Stage1</v>
      </c>
      <c r="E7" s="141"/>
      <c r="F7" s="141"/>
      <c r="G7" s="141"/>
      <c r="H7" s="23">
        <f>IFERROR(VLOOKUP($A$1&amp;"/"&amp;$B$7&amp;"/"&amp;$A6,TaskTimings[[EmployeeDateSeqCode]:[Total Minutes]],7,0),0)</f>
        <v>164.99999999999997</v>
      </c>
      <c r="I7" s="148">
        <f>SUM(H7:H10)</f>
        <v>314.99999999999989</v>
      </c>
      <c r="J7" s="25"/>
      <c r="K7" s="70">
        <v>1</v>
      </c>
      <c r="L7" s="151" t="str">
        <f>IFERROR(VLOOKUP($K7,$X$7:$Y$30,2,0),"")</f>
        <v>TKT</v>
      </c>
      <c r="M7" s="151"/>
      <c r="N7" s="72">
        <f>SUMIFS($AB$7:$AB$30,$Y$7:$Y$30,$L7)</f>
        <v>-255.00000000000011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TKT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TKT</v>
      </c>
      <c r="Z7" s="78" t="str">
        <f>IF($Y7="","",$Y7&amp;"/"&amp;COUNTIF($Y$7:$Y7,$Y7))</f>
        <v>TKT/1</v>
      </c>
      <c r="AA7" s="78" t="str">
        <f>IF($Z7="","",VLOOKUP($D7,TaskTimings[[Task]:[TSKLST]],11,0))</f>
        <v>Package Creation-Stage1</v>
      </c>
      <c r="AB7" s="81">
        <f>IF($AA7="",0,SUMIFS($H$7:$H$30,$D$7:$D$30,$Y7&amp;"/"&amp;$AA7))</f>
        <v>314.99999999999989</v>
      </c>
    </row>
    <row r="8" spans="1:28">
      <c r="A8" s="14">
        <v>3</v>
      </c>
      <c r="B8" s="124"/>
      <c r="C8" s="113"/>
      <c r="D8" s="142" t="str">
        <f>IFERROR(VLOOKUP($A$1&amp;"/"&amp;$B$7&amp;"/"&amp;$A7,TaskTimings[[EmployeeDateSeqCode]:[Task]],2,0),"")</f>
        <v>TKT/Package Creation-Stage1</v>
      </c>
      <c r="E8" s="142"/>
      <c r="F8" s="142"/>
      <c r="G8" s="142"/>
      <c r="H8" s="22">
        <f>IFERROR(VLOOKUP($A$1&amp;"/"&amp;$B$7&amp;"/"&amp;$A7,TaskTimings[[EmployeeDateSeqCode]:[Total Minutes]],7,0),0)</f>
        <v>149.99999999999994</v>
      </c>
      <c r="I8" s="149"/>
      <c r="J8" s="25"/>
      <c r="K8" s="70">
        <v>2</v>
      </c>
      <c r="L8" s="151" t="str">
        <f>IFERROR(VLOOKUP($K8,$X$7:$Y$30,2,0),"")</f>
        <v/>
      </c>
      <c r="M8" s="151"/>
      <c r="N8" s="72">
        <f>SUMIFS($AB$7:$AB$30,$Y$7:$Y$30,$L8)</f>
        <v>0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>
      <c r="A9" s="14">
        <v>4</v>
      </c>
      <c r="B9" s="124"/>
      <c r="C9" s="113"/>
      <c r="D9" s="142" t="str">
        <f>IFERROR(VLOOKUP($A$1&amp;"/"&amp;$B$7&amp;"/"&amp;$A8,TaskTimings[[EmployeeDateSeqCode]:[Task]],2,0),"")</f>
        <v/>
      </c>
      <c r="E9" s="142"/>
      <c r="F9" s="142"/>
      <c r="G9" s="142"/>
      <c r="H9" s="22">
        <f>IFERROR(VLOOKUP($A$1&amp;"/"&amp;$B$7&amp;"/"&amp;$A8,TaskTimings[[EmployeeDateSeqCode]:[Total Minutes]],7,0),0)</f>
        <v>0</v>
      </c>
      <c r="I9" s="149"/>
      <c r="J9" s="25"/>
      <c r="K9" s="70">
        <v>3</v>
      </c>
      <c r="L9" s="151" t="str">
        <f>IFERROR(VLOOKUP($K9,$X$7:$Y$30,2,0),"")</f>
        <v/>
      </c>
      <c r="M9" s="151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>
      <c r="A10" s="14">
        <v>1</v>
      </c>
      <c r="B10" s="124"/>
      <c r="C10" s="113"/>
      <c r="D10" s="142" t="str">
        <f>IFERROR(VLOOKUP($A$1&amp;"/"&amp;$B$7&amp;"/"&amp;$A9,TaskTimings[[EmployeeDateSeqCode]:[Task]],2,0),"")</f>
        <v/>
      </c>
      <c r="E10" s="142"/>
      <c r="F10" s="142"/>
      <c r="G10" s="142"/>
      <c r="H10" s="22">
        <f>IFERROR(VLOOKUP($A$1&amp;"/"&amp;$B$7&amp;"/"&amp;$A9,TaskTimings[[EmployeeDateSeqCode]:[Total Minutes]],7,0),0)</f>
        <v>0</v>
      </c>
      <c r="I10" s="149"/>
      <c r="J10" s="25"/>
      <c r="K10" s="70">
        <v>4</v>
      </c>
      <c r="L10" s="151" t="str">
        <f>IFERROR(VLOOKUP($K10,$X$7:$Y$30,2,0),"")</f>
        <v/>
      </c>
      <c r="M10" s="151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>
      <c r="A11" s="14">
        <v>2</v>
      </c>
      <c r="B11" s="143">
        <f>B7+1</f>
        <v>43445</v>
      </c>
      <c r="C11" s="113"/>
      <c r="D11" s="142" t="str">
        <f>IFERROR(VLOOKUP($A$1&amp;"/"&amp;$B$11&amp;"/"&amp;$A10,TaskTimings[[EmployeeDateSeqCode]:[Task]],2,0),"")</f>
        <v>TKT/Package Creation-Stage2(Resource creation)</v>
      </c>
      <c r="E11" s="142"/>
      <c r="F11" s="142"/>
      <c r="G11" s="142"/>
      <c r="H11" s="22">
        <f>IFERROR(VLOOKUP($A$1&amp;"/"&amp;$B$11&amp;"/"&amp;$A10,TaskTimings[[EmployeeDateSeqCode]:[Total Minutes]],7,0),0)</f>
        <v>-570</v>
      </c>
      <c r="I11" s="149">
        <f t="shared" ref="I11" si="2">SUM(H11:H14)</f>
        <v>-570</v>
      </c>
      <c r="J11" s="25"/>
      <c r="K11" s="71">
        <v>5</v>
      </c>
      <c r="L11" s="154" t="str">
        <f>IFERROR(VLOOKUP($K11,$X$7:$Y$30,2,0),"")</f>
        <v/>
      </c>
      <c r="M11" s="154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TKT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TKT</v>
      </c>
      <c r="Z11" s="83" t="str">
        <f>IF($Y11="","",$Y11&amp;"/"&amp;COUNTIF($Y$7:$Y11,$Y11))</f>
        <v>TKT/2</v>
      </c>
      <c r="AA11" s="83" t="str">
        <f>IF($Z11="","",VLOOKUP($D11,TaskTimings[[Task]:[TSKLST]],11,0))</f>
        <v>Package Creation-Stage2(Resource creation)</v>
      </c>
      <c r="AB11" s="86">
        <f t="shared" si="1"/>
        <v>-570</v>
      </c>
    </row>
    <row r="12" spans="1:28">
      <c r="A12" s="14">
        <v>3</v>
      </c>
      <c r="B12" s="124"/>
      <c r="C12" s="113"/>
      <c r="D12" s="142" t="str">
        <f>IFERROR(VLOOKUP($A$1&amp;"/"&amp;$B$11&amp;"/"&amp;$A11,TaskTimings[[EmployeeDateSeqCode]:[Task]],2,0),"")</f>
        <v/>
      </c>
      <c r="E12" s="142"/>
      <c r="F12" s="142"/>
      <c r="G12" s="142"/>
      <c r="H12" s="22">
        <f>IFERROR(VLOOKUP($A$1&amp;"/"&amp;$B$11&amp;"/"&amp;$A11,TaskTimings[[EmployeeDateSeqCode]:[Total Minutes]],7,0),0)</f>
        <v>0</v>
      </c>
      <c r="I12" s="149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>
      <c r="A13" s="14">
        <v>4</v>
      </c>
      <c r="B13" s="124"/>
      <c r="C13" s="113"/>
      <c r="D13" s="142" t="str">
        <f>IFERROR(VLOOKUP($A$1&amp;"/"&amp;$B$11&amp;"/"&amp;$A12,TaskTimings[[EmployeeDateSeqCode]:[Task]],2,0),"")</f>
        <v/>
      </c>
      <c r="E13" s="142"/>
      <c r="F13" s="142"/>
      <c r="G13" s="142"/>
      <c r="H13" s="22">
        <f>IFERROR(VLOOKUP($A$1&amp;"/"&amp;$B$11&amp;"/"&amp;$A12,TaskTimings[[EmployeeDateSeqCode]:[Total Minutes]],7,0),0)</f>
        <v>0</v>
      </c>
      <c r="I13" s="149"/>
      <c r="J13" s="25"/>
      <c r="K13" s="135" t="s">
        <v>46</v>
      </c>
      <c r="L13" s="135"/>
      <c r="M13" s="135"/>
      <c r="N13" s="135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>
      <c r="A14" s="14">
        <v>1</v>
      </c>
      <c r="B14" s="124"/>
      <c r="C14" s="113"/>
      <c r="D14" s="142" t="str">
        <f>IFERROR(VLOOKUP($A$1&amp;"/"&amp;$B$11&amp;"/"&amp;$A13,TaskTimings[[EmployeeDateSeqCode]:[Task]],2,0),"")</f>
        <v/>
      </c>
      <c r="E14" s="142"/>
      <c r="F14" s="142"/>
      <c r="G14" s="142"/>
      <c r="H14" s="22">
        <f>IFERROR(VLOOKUP($A$1&amp;"/"&amp;$B$11&amp;"/"&amp;$A13,TaskTimings[[EmployeeDateSeqCode]:[Total Minutes]],7,0),0)</f>
        <v>0</v>
      </c>
      <c r="I14" s="149"/>
      <c r="J14" s="25"/>
      <c r="K14" s="136"/>
      <c r="L14" s="136"/>
      <c r="M14" s="136"/>
      <c r="N14" s="136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>
      <c r="A15" s="14">
        <v>2</v>
      </c>
      <c r="B15" s="143">
        <f>B11+1</f>
        <v>43446</v>
      </c>
      <c r="C15" s="113"/>
      <c r="D15" s="142" t="str">
        <f>IFERROR(VLOOKUP($A$1&amp;"/"&amp;$B$15&amp;"/"&amp;$A14,TaskTimings[[EmployeeDateSeqCode]:[Task]],2,0),"")</f>
        <v/>
      </c>
      <c r="E15" s="142"/>
      <c r="F15" s="142"/>
      <c r="G15" s="142"/>
      <c r="H15" s="22">
        <f>IFERROR(VLOOKUP($A$1&amp;"/"&amp;$B$15&amp;"/"&amp;$A14,TaskTimings[[EmployeeDateSeqCode]:[Total Minutes]],7,0),0)</f>
        <v>0</v>
      </c>
      <c r="I15" s="149">
        <f t="shared" ref="I15" si="3">SUM(H15:H18)</f>
        <v>0</v>
      </c>
      <c r="J15" s="25"/>
      <c r="K15" s="152" t="s">
        <v>4</v>
      </c>
      <c r="L15" s="153"/>
      <c r="M15" s="153" t="s">
        <v>29</v>
      </c>
      <c r="N15" s="153"/>
      <c r="O15" s="153"/>
      <c r="P15" s="153"/>
      <c r="Q15" s="23" t="s">
        <v>42</v>
      </c>
      <c r="R15" s="27" t="s">
        <v>24</v>
      </c>
      <c r="S15" s="25"/>
      <c r="T15" s="25"/>
      <c r="U15" s="82">
        <f>IF(COUNTIFS($D$6:$D15,D15)=1,1,0)</f>
        <v>0</v>
      </c>
      <c r="V15" s="83" t="str">
        <f>IF($U15=0,"",VLOOKUP($D15,TaskTimings[[Task]:[PRJLST]],10,0))</f>
        <v/>
      </c>
      <c r="W15" s="84" t="str">
        <f>IF($V15="","",COUNTIF($V$7:$V15,$V15))</f>
        <v/>
      </c>
      <c r="X15" s="84" t="str">
        <f>IF($W15=1,MAX($X$6:$X14)+1,"")</f>
        <v/>
      </c>
      <c r="Y15" s="85" t="str">
        <f t="shared" si="0"/>
        <v/>
      </c>
      <c r="Z15" s="83" t="str">
        <f>IF($Y15="","",$Y15&amp;"/"&amp;COUNTIF($Y$7:$Y15,$Y15))</f>
        <v/>
      </c>
      <c r="AA15" s="83" t="str">
        <f>IF($Z15="","",VLOOKUP($D15,TaskTimings[[Task]:[TSKLST]],11,0))</f>
        <v/>
      </c>
      <c r="AB15" s="86">
        <f t="shared" si="1"/>
        <v>0</v>
      </c>
    </row>
    <row r="16" spans="1:28">
      <c r="A16" s="14">
        <v>3</v>
      </c>
      <c r="B16" s="124"/>
      <c r="C16" s="113"/>
      <c r="D16" s="142" t="str">
        <f>IFERROR(VLOOKUP($A$1&amp;"/"&amp;$B$15&amp;"/"&amp;$A15,TaskTimings[[EmployeeDateSeqCode]:[Task]],2,0),"")</f>
        <v/>
      </c>
      <c r="E16" s="142"/>
      <c r="F16" s="142"/>
      <c r="G16" s="142"/>
      <c r="H16" s="22">
        <f>IFERROR(VLOOKUP($A$1&amp;"/"&amp;$B$15&amp;"/"&amp;$A15,TaskTimings[[EmployeeDateSeqCode]:[Total Minutes]],7,0),0)</f>
        <v>0</v>
      </c>
      <c r="I16" s="149"/>
      <c r="J16" s="26">
        <v>1</v>
      </c>
      <c r="K16" s="157" t="str">
        <f>VLOOKUP(1,$K$7:$M$11,2,0)</f>
        <v>TKT</v>
      </c>
      <c r="L16" s="125"/>
      <c r="M16" s="151" t="str">
        <f>IF($K$16="","",IFERROR(VLOOKUP($K$16&amp;"/"&amp;$J16,$Z$7:$AA$30,2,0),""))</f>
        <v>Package Creation-Stage1</v>
      </c>
      <c r="N16" s="151"/>
      <c r="O16" s="151"/>
      <c r="P16" s="151"/>
      <c r="Q16" s="22">
        <f>IF($M16="","",SUMIFS($H$7:$H$30,$D$7:$D$30,$K$16&amp;"/"&amp;$M16))</f>
        <v>314.99999999999989</v>
      </c>
      <c r="R16" s="149">
        <f>SUM(Q16:Q19)</f>
        <v>-255.00000000000011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>
      <c r="A17" s="14">
        <v>4</v>
      </c>
      <c r="B17" s="124"/>
      <c r="C17" s="113"/>
      <c r="D17" s="142" t="str">
        <f>IFERROR(VLOOKUP($A$1&amp;"/"&amp;$B$15&amp;"/"&amp;$A16,TaskTimings[[EmployeeDateSeqCode]:[Task]],2,0),"")</f>
        <v/>
      </c>
      <c r="E17" s="142"/>
      <c r="F17" s="142"/>
      <c r="G17" s="142"/>
      <c r="H17" s="22">
        <f>IFERROR(VLOOKUP($A$1&amp;"/"&amp;$B$15&amp;"/"&amp;$A16,TaskTimings[[EmployeeDateSeqCode]:[Total Minutes]],7,0),0)</f>
        <v>0</v>
      </c>
      <c r="I17" s="149"/>
      <c r="J17" s="26">
        <v>2</v>
      </c>
      <c r="K17" s="157"/>
      <c r="L17" s="125"/>
      <c r="M17" s="151" t="str">
        <f>IF($K$16="","",IFERROR(VLOOKUP($K$16&amp;"/"&amp;$J17,$Z$7:$AA$30,2,0),""))</f>
        <v>Package Creation-Stage2(Resource creation)</v>
      </c>
      <c r="N17" s="151"/>
      <c r="O17" s="151"/>
      <c r="P17" s="151"/>
      <c r="Q17" s="22">
        <f>IF($M17="","",SUMIFS($H$7:$H$30,$D$7:$D$30,$K$16&amp;"/"&amp;$M17))</f>
        <v>-570</v>
      </c>
      <c r="R17" s="149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>
      <c r="A18" s="14">
        <v>1</v>
      </c>
      <c r="B18" s="124"/>
      <c r="C18" s="113"/>
      <c r="D18" s="142" t="str">
        <f>IFERROR(VLOOKUP($A$1&amp;"/"&amp;$B$15&amp;"/"&amp;$A17,TaskTimings[[EmployeeDateSeqCode]:[Task]],2,0),"")</f>
        <v/>
      </c>
      <c r="E18" s="142"/>
      <c r="F18" s="142"/>
      <c r="G18" s="142"/>
      <c r="H18" s="22">
        <f>IFERROR(VLOOKUP($A$1&amp;"/"&amp;$B$15&amp;"/"&amp;$A17,TaskTimings[[EmployeeDateSeqCode]:[Total Minutes]],7,0),0)</f>
        <v>0</v>
      </c>
      <c r="I18" s="149"/>
      <c r="J18" s="26">
        <v>3</v>
      </c>
      <c r="K18" s="157"/>
      <c r="L18" s="125"/>
      <c r="M18" s="151" t="str">
        <f>IF($K$16="","",IFERROR(VLOOKUP($K$16&amp;"/"&amp;$J18,$Z$7:$AA$30,2,0),""))</f>
        <v/>
      </c>
      <c r="N18" s="151"/>
      <c r="O18" s="151"/>
      <c r="P18" s="151"/>
      <c r="Q18" s="22" t="str">
        <f>IF($M18="","",SUMIFS($H$7:$H$30,$D$7:$D$30,$K$16&amp;"/"&amp;$M18))</f>
        <v/>
      </c>
      <c r="R18" s="149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>
      <c r="A19" s="14">
        <v>2</v>
      </c>
      <c r="B19" s="143">
        <f>B15+1</f>
        <v>43447</v>
      </c>
      <c r="C19" s="113"/>
      <c r="D19" s="142" t="str">
        <f>IFERROR(VLOOKUP($A$1&amp;"/"&amp;$B$19&amp;"/"&amp;$A18,TaskTimings[[EmployeeDateSeqCode]:[Task]],2,0),"")</f>
        <v/>
      </c>
      <c r="E19" s="142"/>
      <c r="F19" s="142"/>
      <c r="G19" s="142"/>
      <c r="H19" s="22">
        <f>IFERROR(VLOOKUP($A$1&amp;"/"&amp;$B$19&amp;"/"&amp;$A18,TaskTimings[[EmployeeDateSeqCode]:[Total Minutes]],7,0),0)</f>
        <v>0</v>
      </c>
      <c r="I19" s="149">
        <f t="shared" ref="I19" si="4">SUM(H19:H22)</f>
        <v>0</v>
      </c>
      <c r="J19" s="26">
        <v>4</v>
      </c>
      <c r="K19" s="157"/>
      <c r="L19" s="125"/>
      <c r="M19" s="151" t="str">
        <f>IF($K$16="","",IFERROR(VLOOKUP($K$16&amp;"/"&amp;$J19,$Z$7:$AA$30,2,0),""))</f>
        <v/>
      </c>
      <c r="N19" s="151"/>
      <c r="O19" s="151"/>
      <c r="P19" s="151"/>
      <c r="Q19" s="22" t="str">
        <f>IF($M19="","",SUMIFS($H$7:$H$30,$D$7:$D$30,$K$16&amp;"/"&amp;$M19))</f>
        <v/>
      </c>
      <c r="R19" s="149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>
      <c r="A20" s="14">
        <v>3</v>
      </c>
      <c r="B20" s="124"/>
      <c r="C20" s="113"/>
      <c r="D20" s="142" t="str">
        <f>IFERROR(VLOOKUP($A$1&amp;"/"&amp;$B$19&amp;"/"&amp;$A19,TaskTimings[[EmployeeDateSeqCode]:[Task]],2,0),"")</f>
        <v/>
      </c>
      <c r="E20" s="142"/>
      <c r="F20" s="142"/>
      <c r="G20" s="142"/>
      <c r="H20" s="22">
        <f>IFERROR(VLOOKUP($A$1&amp;"/"&amp;$B$19&amp;"/"&amp;$A19,TaskTimings[[EmployeeDateSeqCode]:[Total Minutes]],7,0),0)</f>
        <v>0</v>
      </c>
      <c r="I20" s="149"/>
      <c r="J20" s="26">
        <v>1</v>
      </c>
      <c r="K20" s="157" t="str">
        <f>VLOOKUP(2,$K$7:$M$11,2,0)</f>
        <v/>
      </c>
      <c r="L20" s="125"/>
      <c r="M20" s="151" t="str">
        <f>IF($K$20="","",IFERROR(VLOOKUP($K$20&amp;"/"&amp;$J20,$Z$7:$AA$30,2,0),""))</f>
        <v/>
      </c>
      <c r="N20" s="151"/>
      <c r="O20" s="151"/>
      <c r="P20" s="151"/>
      <c r="Q20" s="22" t="str">
        <f>IF($M20="","",SUMIFS($H$7:$H$30,$D$7:$D$30,$K$20&amp;"/"&amp;$M20))</f>
        <v/>
      </c>
      <c r="R20" s="149">
        <f t="shared" ref="R20" si="5">SUM(Q20:Q23)</f>
        <v>0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>
      <c r="A21" s="14">
        <v>4</v>
      </c>
      <c r="B21" s="124"/>
      <c r="C21" s="113"/>
      <c r="D21" s="142" t="str">
        <f>IFERROR(VLOOKUP($A$1&amp;"/"&amp;$B$19&amp;"/"&amp;$A20,TaskTimings[[EmployeeDateSeqCode]:[Task]],2,0),"")</f>
        <v/>
      </c>
      <c r="E21" s="142"/>
      <c r="F21" s="142"/>
      <c r="G21" s="142"/>
      <c r="H21" s="22">
        <f>IFERROR(VLOOKUP($A$1&amp;"/"&amp;$B$19&amp;"/"&amp;$A20,TaskTimings[[EmployeeDateSeqCode]:[Total Minutes]],7,0),0)</f>
        <v>0</v>
      </c>
      <c r="I21" s="149"/>
      <c r="J21" s="26">
        <v>2</v>
      </c>
      <c r="K21" s="157"/>
      <c r="L21" s="125"/>
      <c r="M21" s="151" t="str">
        <f>IF($K$20="","",IFERROR(VLOOKUP($K$20&amp;"/"&amp;$J21,$Z$7:$AA$30,2,0),""))</f>
        <v/>
      </c>
      <c r="N21" s="151"/>
      <c r="O21" s="151"/>
      <c r="P21" s="151"/>
      <c r="Q21" s="22" t="str">
        <f>IF($M21="","",SUMIFS($H$7:$H$30,$D$7:$D$30,$K$20&amp;"/"&amp;$M21))</f>
        <v/>
      </c>
      <c r="R21" s="149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>
      <c r="A22" s="14">
        <v>1</v>
      </c>
      <c r="B22" s="124"/>
      <c r="C22" s="113"/>
      <c r="D22" s="142" t="str">
        <f>IFERROR(VLOOKUP($A$1&amp;"/"&amp;$B$19&amp;"/"&amp;$A21,TaskTimings[[EmployeeDateSeqCode]:[Task]],2,0),"")</f>
        <v/>
      </c>
      <c r="E22" s="142"/>
      <c r="F22" s="142"/>
      <c r="G22" s="142"/>
      <c r="H22" s="22">
        <f>IFERROR(VLOOKUP($A$1&amp;"/"&amp;$B$19&amp;"/"&amp;$A21,TaskTimings[[EmployeeDateSeqCode]:[Total Minutes]],7,0),0)</f>
        <v>0</v>
      </c>
      <c r="I22" s="149"/>
      <c r="J22" s="26">
        <v>3</v>
      </c>
      <c r="K22" s="157"/>
      <c r="L22" s="125"/>
      <c r="M22" s="151" t="str">
        <f>IF($K$20="","",IFERROR(VLOOKUP($K$20&amp;"/"&amp;$J22,$Z$7:$AA$30,2,0),""))</f>
        <v/>
      </c>
      <c r="N22" s="151"/>
      <c r="O22" s="151"/>
      <c r="P22" s="151"/>
      <c r="Q22" s="22" t="str">
        <f>IF($M22="","",SUMIFS($H$7:$H$30,$D$7:$D$30,$K$20&amp;"/"&amp;$M22))</f>
        <v/>
      </c>
      <c r="R22" s="149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>
      <c r="A23" s="14">
        <v>2</v>
      </c>
      <c r="B23" s="143">
        <f>B19+1</f>
        <v>43448</v>
      </c>
      <c r="C23" s="113"/>
      <c r="D23" s="142" t="str">
        <f>IFERROR(VLOOKUP($A$1&amp;"/"&amp;$B$23&amp;"/"&amp;$A22,TaskTimings[[EmployeeDateSeqCode]:[Task]],2,0),"")</f>
        <v/>
      </c>
      <c r="E23" s="142"/>
      <c r="F23" s="142"/>
      <c r="G23" s="142"/>
      <c r="H23" s="22">
        <f>IFERROR(VLOOKUP($A$1&amp;"/"&amp;$B$23&amp;"/"&amp;$A22,TaskTimings[[EmployeeDateSeqCode]:[Total Minutes]],7,0),0)</f>
        <v>0</v>
      </c>
      <c r="I23" s="149">
        <f t="shared" ref="I23" si="6">SUM(H23:H26)</f>
        <v>0</v>
      </c>
      <c r="J23" s="26">
        <v>4</v>
      </c>
      <c r="K23" s="157"/>
      <c r="L23" s="125"/>
      <c r="M23" s="151" t="str">
        <f>IF($K$20="","",IFERROR(VLOOKUP($K$20&amp;"/"&amp;$J23,$Z$7:$AA$30,2,0),""))</f>
        <v/>
      </c>
      <c r="N23" s="151"/>
      <c r="O23" s="151"/>
      <c r="P23" s="151"/>
      <c r="Q23" s="22" t="str">
        <f>IF($M23="","",SUMIFS($H$7:$H$30,$D$7:$D$30,$K$20&amp;"/"&amp;$M23))</f>
        <v/>
      </c>
      <c r="R23" s="149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>
      <c r="A24" s="14">
        <v>3</v>
      </c>
      <c r="B24" s="124"/>
      <c r="C24" s="113"/>
      <c r="D24" s="142" t="str">
        <f>IFERROR(VLOOKUP($A$1&amp;"/"&amp;$B$23&amp;"/"&amp;$A23,TaskTimings[[EmployeeDateSeqCode]:[Task]],2,0),"")</f>
        <v/>
      </c>
      <c r="E24" s="142"/>
      <c r="F24" s="142"/>
      <c r="G24" s="142"/>
      <c r="H24" s="22">
        <f>IFERROR(VLOOKUP($A$1&amp;"/"&amp;$B$23&amp;"/"&amp;$A23,TaskTimings[[EmployeeDateSeqCode]:[Total Minutes]],7,0),0)</f>
        <v>0</v>
      </c>
      <c r="I24" s="149"/>
      <c r="J24" s="26">
        <v>1</v>
      </c>
      <c r="K24" s="157" t="str">
        <f>VLOOKUP(3,$K$7:$M$11,2,0)</f>
        <v/>
      </c>
      <c r="L24" s="125"/>
      <c r="M24" s="151" t="str">
        <f>IF($K$24="","",IFERROR(VLOOKUP($K$24&amp;"/"&amp;$J24,$Z$7:$AA$30,2,0),""))</f>
        <v/>
      </c>
      <c r="N24" s="151"/>
      <c r="O24" s="151"/>
      <c r="P24" s="151"/>
      <c r="Q24" s="22" t="str">
        <f>IF($M24="","",SUMIFS($H$7:$H$30,$D$7:$D$30,$K$24&amp;"/"&amp;$M24))</f>
        <v/>
      </c>
      <c r="R24" s="149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>
      <c r="A25" s="14">
        <v>4</v>
      </c>
      <c r="B25" s="124"/>
      <c r="C25" s="113"/>
      <c r="D25" s="142" t="str">
        <f>IFERROR(VLOOKUP($A$1&amp;"/"&amp;$B$23&amp;"/"&amp;$A24,TaskTimings[[EmployeeDateSeqCode]:[Task]],2,0),"")</f>
        <v/>
      </c>
      <c r="E25" s="142"/>
      <c r="F25" s="142"/>
      <c r="G25" s="142"/>
      <c r="H25" s="22">
        <f>IFERROR(VLOOKUP($A$1&amp;"/"&amp;$B$23&amp;"/"&amp;$A24,TaskTimings[[EmployeeDateSeqCode]:[Total Minutes]],7,0),0)</f>
        <v>0</v>
      </c>
      <c r="I25" s="149"/>
      <c r="J25" s="26">
        <v>2</v>
      </c>
      <c r="K25" s="157"/>
      <c r="L25" s="125"/>
      <c r="M25" s="151" t="str">
        <f>IF($K$24="","",IFERROR(VLOOKUP($K$24&amp;"/"&amp;$J25,$Z$7:$AA$30,2,0),""))</f>
        <v/>
      </c>
      <c r="N25" s="151"/>
      <c r="O25" s="151"/>
      <c r="P25" s="151"/>
      <c r="Q25" s="22" t="str">
        <f>IF($M25="","",SUMIFS($H$7:$H$30,$D$7:$D$30,$K$24&amp;"/"&amp;$M25))</f>
        <v/>
      </c>
      <c r="R25" s="149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>
      <c r="A26" s="14">
        <v>1</v>
      </c>
      <c r="B26" s="124"/>
      <c r="C26" s="113"/>
      <c r="D26" s="142" t="str">
        <f>IFERROR(VLOOKUP($A$1&amp;"/"&amp;$B$23&amp;"/"&amp;$A25,TaskTimings[[EmployeeDateSeqCode]:[Task]],2,0),"")</f>
        <v/>
      </c>
      <c r="E26" s="142"/>
      <c r="F26" s="142"/>
      <c r="G26" s="142"/>
      <c r="H26" s="22">
        <f>IFERROR(VLOOKUP($A$1&amp;"/"&amp;$B$23&amp;"/"&amp;$A25,TaskTimings[[EmployeeDateSeqCode]:[Total Minutes]],7,0),0)</f>
        <v>0</v>
      </c>
      <c r="I26" s="149"/>
      <c r="J26" s="26">
        <v>3</v>
      </c>
      <c r="K26" s="157"/>
      <c r="L26" s="125"/>
      <c r="M26" s="151" t="str">
        <f>IF($K$24="","",IFERROR(VLOOKUP($K$24&amp;"/"&amp;$J26,$Z$7:$AA$30,2,0),""))</f>
        <v/>
      </c>
      <c r="N26" s="151"/>
      <c r="O26" s="151"/>
      <c r="P26" s="151"/>
      <c r="Q26" s="22" t="str">
        <f>IF($M26="","",SUMIFS($H$7:$H$30,$D$7:$D$30,$K$24&amp;"/"&amp;$M26))</f>
        <v/>
      </c>
      <c r="R26" s="149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>
      <c r="A27" s="14">
        <v>2</v>
      </c>
      <c r="B27" s="143">
        <f>B23+1</f>
        <v>43449</v>
      </c>
      <c r="C27" s="113"/>
      <c r="D27" s="142" t="str">
        <f>IFERROR(VLOOKUP($A$1&amp;"/"&amp;$B$27&amp;"/"&amp;$A26,TaskTimings[[EmployeeDateSeqCode]:[Task]],2,0),"")</f>
        <v/>
      </c>
      <c r="E27" s="142"/>
      <c r="F27" s="142"/>
      <c r="G27" s="142"/>
      <c r="H27" s="22">
        <f>IFERROR(VLOOKUP($A$1&amp;"/"&amp;$B$27&amp;"/"&amp;$A26,TaskTimings[[EmployeeDateSeqCode]:[Total Minutes]],7,0),0)</f>
        <v>0</v>
      </c>
      <c r="I27" s="149">
        <f t="shared" ref="I27" si="8">SUM(H27:H30)</f>
        <v>0</v>
      </c>
      <c r="J27" s="26">
        <v>4</v>
      </c>
      <c r="K27" s="157"/>
      <c r="L27" s="125"/>
      <c r="M27" s="151" t="str">
        <f>IF($K$24="","",IFERROR(VLOOKUP($K$24&amp;"/"&amp;$J27,$Z$7:$AA$30,2,0),""))</f>
        <v/>
      </c>
      <c r="N27" s="151"/>
      <c r="O27" s="151"/>
      <c r="P27" s="151"/>
      <c r="Q27" s="22" t="str">
        <f>IF($M27="","",SUMIFS($H$7:$H$30,$D$7:$D$30,$K$24&amp;"/"&amp;$M27))</f>
        <v/>
      </c>
      <c r="R27" s="149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>
      <c r="A28" s="14">
        <v>3</v>
      </c>
      <c r="B28" s="124"/>
      <c r="C28" s="113"/>
      <c r="D28" s="142" t="str">
        <f>IFERROR(VLOOKUP($A$1&amp;"/"&amp;$B$27&amp;"/"&amp;$A27,TaskTimings[[EmployeeDateSeqCode]:[Task]],2,0),"")</f>
        <v/>
      </c>
      <c r="E28" s="142"/>
      <c r="F28" s="142"/>
      <c r="G28" s="142"/>
      <c r="H28" s="22">
        <f>IFERROR(VLOOKUP($A$1&amp;"/"&amp;$B$27&amp;"/"&amp;$A27,TaskTimings[[EmployeeDateSeqCode]:[Total Minutes]],7,0),0)</f>
        <v>0</v>
      </c>
      <c r="I28" s="149"/>
      <c r="J28" s="26">
        <v>1</v>
      </c>
      <c r="K28" s="157" t="str">
        <f>VLOOKUP(4,$K$7:$M$11,2,0)</f>
        <v/>
      </c>
      <c r="L28" s="125"/>
      <c r="M28" s="151" t="str">
        <f>IF($K$28="","",IFERROR(VLOOKUP($K$28&amp;"/"&amp;$J28,$Z$7:$AA$30,2,0),""))</f>
        <v/>
      </c>
      <c r="N28" s="151"/>
      <c r="O28" s="151"/>
      <c r="P28" s="151"/>
      <c r="Q28" s="22" t="str">
        <f>IF($M28="","",SUMIFS($H$7:$H$30,$D$7:$D$30,$K$28&amp;"/"&amp;$M28))</f>
        <v/>
      </c>
      <c r="R28" s="149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>
      <c r="A29" s="14">
        <v>4</v>
      </c>
      <c r="B29" s="124"/>
      <c r="C29" s="113"/>
      <c r="D29" s="142" t="str">
        <f>IFERROR(VLOOKUP($A$1&amp;"/"&amp;$B$27&amp;"/"&amp;$A28,TaskTimings[[EmployeeDateSeqCode]:[Task]],2,0),"")</f>
        <v/>
      </c>
      <c r="E29" s="142"/>
      <c r="F29" s="142"/>
      <c r="G29" s="142"/>
      <c r="H29" s="22">
        <f>IFERROR(VLOOKUP($A$1&amp;"/"&amp;$B$27&amp;"/"&amp;$A28,TaskTimings[[EmployeeDateSeqCode]:[Total Minutes]],7,0),0)</f>
        <v>0</v>
      </c>
      <c r="I29" s="149"/>
      <c r="J29" s="26">
        <v>2</v>
      </c>
      <c r="K29" s="157"/>
      <c r="L29" s="125"/>
      <c r="M29" s="151" t="str">
        <f>IF($K$28="","",IFERROR(VLOOKUP($K$28&amp;"/"&amp;$J29,$Z$7:$AA$30,2,0),""))</f>
        <v/>
      </c>
      <c r="N29" s="151"/>
      <c r="O29" s="151"/>
      <c r="P29" s="151"/>
      <c r="Q29" s="22" t="str">
        <f>IF($M29="","",SUMIFS($H$7:$H$30,$D$7:$D$30,$K$28&amp;"/"&amp;$M29))</f>
        <v/>
      </c>
      <c r="R29" s="149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>
      <c r="B30" s="144"/>
      <c r="C30" s="145"/>
      <c r="D30" s="147" t="str">
        <f>IFERROR(VLOOKUP($A$1&amp;"/"&amp;$B$27&amp;"/"&amp;$A29,TaskTimings[[EmployeeDateSeqCode]:[Task]],2,0),"")</f>
        <v/>
      </c>
      <c r="E30" s="147"/>
      <c r="F30" s="147"/>
      <c r="G30" s="147"/>
      <c r="H30" s="24">
        <f>IFERROR(VLOOKUP($A$1&amp;"/"&amp;$B$27&amp;"/"&amp;$A29,TaskTimings[[EmployeeDateSeqCode]:[Total Minutes]],7,0),0)</f>
        <v>0</v>
      </c>
      <c r="I30" s="150"/>
      <c r="J30" s="26">
        <v>3</v>
      </c>
      <c r="K30" s="157"/>
      <c r="L30" s="125"/>
      <c r="M30" s="151" t="str">
        <f>IF($K$28="","",IFERROR(VLOOKUP($K$28&amp;"/"&amp;$J30,$Z$7:$AA$30,2,0),""))</f>
        <v/>
      </c>
      <c r="N30" s="151"/>
      <c r="O30" s="151"/>
      <c r="P30" s="151"/>
      <c r="Q30" s="22" t="str">
        <f>IF($M30="","",SUMIFS($H$7:$H$30,$D$7:$D$30,$K$28&amp;"/"&amp;$M30))</f>
        <v/>
      </c>
      <c r="R30" s="149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>
      <c r="J31" s="26">
        <v>4</v>
      </c>
      <c r="K31" s="157"/>
      <c r="L31" s="125"/>
      <c r="M31" s="151" t="str">
        <f>IF($K$28="","",IFERROR(VLOOKUP($K$28&amp;"/"&amp;$J31,$Z$7:$AA$30,2,0),""))</f>
        <v/>
      </c>
      <c r="N31" s="151"/>
      <c r="O31" s="151"/>
      <c r="P31" s="151"/>
      <c r="Q31" s="22" t="str">
        <f>IF($M31="","",SUMIFS($H$7:$H$30,$D$7:$D$30,$K$28&amp;"/"&amp;$M31))</f>
        <v/>
      </c>
      <c r="R31" s="149"/>
    </row>
    <row r="32" spans="1:28">
      <c r="J32" s="26">
        <v>1</v>
      </c>
      <c r="K32" s="157" t="str">
        <f>VLOOKUP(5,$K$7:$M$11,2,0)</f>
        <v/>
      </c>
      <c r="L32" s="125"/>
      <c r="M32" s="151" t="str">
        <f>IF($K$32="","",IFERROR(VLOOKUP($K$32&amp;"/"&amp;$J32,$Z$7:$AA$30,2,0),""))</f>
        <v/>
      </c>
      <c r="N32" s="151"/>
      <c r="O32" s="151"/>
      <c r="P32" s="151"/>
      <c r="Q32" s="22" t="str">
        <f>IF($M32="","",SUMIFS($H$7:$H$30,$D$7:$D$30,$K$32&amp;"/"&amp;$M32))</f>
        <v/>
      </c>
      <c r="R32" s="149">
        <f t="shared" ref="R32" si="10">SUM(Q32:Q35)</f>
        <v>0</v>
      </c>
    </row>
    <row r="33" spans="10:18">
      <c r="J33" s="26">
        <v>2</v>
      </c>
      <c r="K33" s="157"/>
      <c r="L33" s="125"/>
      <c r="M33" s="151" t="str">
        <f>IF($K$32="","",IFERROR(VLOOKUP($K$32&amp;"/"&amp;$J33,$Z$7:$AA$30,2,0),""))</f>
        <v/>
      </c>
      <c r="N33" s="151"/>
      <c r="O33" s="151"/>
      <c r="P33" s="151"/>
      <c r="Q33" s="22" t="str">
        <f>IF($M33="","",SUMIFS($H$7:$H$30,$D$7:$D$30,$K$32&amp;"/"&amp;$M33))</f>
        <v/>
      </c>
      <c r="R33" s="149"/>
    </row>
    <row r="34" spans="10:18">
      <c r="J34" s="26">
        <v>3</v>
      </c>
      <c r="K34" s="157"/>
      <c r="L34" s="125"/>
      <c r="M34" s="151" t="str">
        <f>IF($K$32="","",IFERROR(VLOOKUP($K$32&amp;"/"&amp;$J34,$Z$7:$AA$30,2,0),""))</f>
        <v/>
      </c>
      <c r="N34" s="151"/>
      <c r="O34" s="151"/>
      <c r="P34" s="151"/>
      <c r="Q34" s="22" t="str">
        <f>IF($M34="","",SUMIFS($H$7:$H$30,$D$7:$D$30,$K$32&amp;"/"&amp;$M34))</f>
        <v/>
      </c>
      <c r="R34" s="149"/>
    </row>
    <row r="35" spans="10:18" ht="15.75" thickBot="1">
      <c r="J35" s="26">
        <v>4</v>
      </c>
      <c r="K35" s="158"/>
      <c r="L35" s="128"/>
      <c r="M35" s="154" t="str">
        <f>IF($K$32="","",IFERROR(VLOOKUP($K$32&amp;"/"&amp;$J35,$Z$7:$AA$30,2,0),""))</f>
        <v/>
      </c>
      <c r="N35" s="154"/>
      <c r="O35" s="154"/>
      <c r="P35" s="154"/>
      <c r="Q35" s="24" t="str">
        <f>IF($M35="","",SUMIFS($H$7:$H$30,$D$7:$D$30,$K$32&amp;"/"&amp;$M35))</f>
        <v/>
      </c>
      <c r="R35" s="150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cp:lastPrinted>2018-11-23T17:04:38Z</cp:lastPrinted>
  <dcterms:created xsi:type="dcterms:W3CDTF">2018-11-23T13:42:04Z</dcterms:created>
  <dcterms:modified xsi:type="dcterms:W3CDTF">2018-12-11T06:00:13Z</dcterms:modified>
</cp:coreProperties>
</file>