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57" i="4" l="1"/>
  <c r="B157" i="4"/>
  <c r="P157" i="4" s="1"/>
  <c r="C157" i="4"/>
  <c r="Q157" i="4" s="1"/>
  <c r="D157" i="4"/>
  <c r="L157" i="4"/>
  <c r="M157" i="4"/>
  <c r="N157" i="4"/>
  <c r="O157" i="4" s="1"/>
  <c r="A156" i="4" l="1"/>
  <c r="B156" i="4"/>
  <c r="P156" i="4" s="1"/>
  <c r="C156" i="4"/>
  <c r="Q156" i="4" s="1"/>
  <c r="D156" i="4"/>
  <c r="L156" i="4"/>
  <c r="M156" i="4"/>
  <c r="N156" i="4"/>
  <c r="O156" i="4" s="1"/>
  <c r="A155" i="4" l="1"/>
  <c r="B155" i="4"/>
  <c r="P155" i="4" s="1"/>
  <c r="C155" i="4"/>
  <c r="Q155" i="4" s="1"/>
  <c r="D155" i="4"/>
  <c r="L155" i="4"/>
  <c r="M155" i="4"/>
  <c r="N155" i="4"/>
  <c r="O155" i="4" s="1"/>
  <c r="B154" i="4" l="1"/>
  <c r="P154" i="4" s="1"/>
  <c r="C154" i="4"/>
  <c r="Q154" i="4" s="1"/>
  <c r="D154" i="4"/>
  <c r="L154" i="4"/>
  <c r="M154" i="4"/>
  <c r="B153" i="4" l="1"/>
  <c r="P153" i="4" s="1"/>
  <c r="C153" i="4"/>
  <c r="Q153" i="4" s="1"/>
  <c r="D153" i="4"/>
  <c r="L153" i="4"/>
  <c r="N154" i="4" s="1"/>
  <c r="O154" i="4" s="1"/>
  <c r="M153" i="4"/>
  <c r="N153" i="4"/>
  <c r="O153" i="4" s="1"/>
  <c r="B152" i="4"/>
  <c r="P152" i="4" s="1"/>
  <c r="C152" i="4"/>
  <c r="Q152" i="4" s="1"/>
  <c r="D152" i="4"/>
  <c r="L152" i="4"/>
  <c r="M152" i="4"/>
  <c r="N152" i="4"/>
  <c r="O152" i="4" s="1"/>
  <c r="B151" i="4" l="1"/>
  <c r="P151" i="4" s="1"/>
  <c r="C151" i="4"/>
  <c r="Q151" i="4" s="1"/>
  <c r="D151" i="4"/>
  <c r="L151" i="4"/>
  <c r="M151" i="4"/>
  <c r="N151" i="4"/>
  <c r="O151" i="4" s="1"/>
  <c r="B150" i="4"/>
  <c r="P150" i="4" s="1"/>
  <c r="C150" i="4"/>
  <c r="Q150" i="4" s="1"/>
  <c r="D150" i="4"/>
  <c r="L150" i="4"/>
  <c r="M150" i="4"/>
  <c r="N150" i="4"/>
  <c r="O150" i="4" s="1"/>
  <c r="A35" i="2"/>
  <c r="C35" i="2"/>
  <c r="E35" i="2"/>
  <c r="F35" i="2"/>
  <c r="G35" i="2"/>
  <c r="D143" i="4" l="1"/>
  <c r="L143" i="4"/>
  <c r="M143" i="4"/>
  <c r="D144" i="4"/>
  <c r="L144" i="4"/>
  <c r="M144" i="4"/>
  <c r="D145" i="4"/>
  <c r="L145" i="4"/>
  <c r="M145" i="4"/>
  <c r="D146" i="4"/>
  <c r="L146" i="4"/>
  <c r="M146" i="4"/>
  <c r="D147" i="4"/>
  <c r="L147" i="4"/>
  <c r="M147" i="4"/>
  <c r="D148" i="4"/>
  <c r="L148" i="4"/>
  <c r="M148" i="4"/>
  <c r="D133" i="4"/>
  <c r="L133" i="4"/>
  <c r="N133" i="4" s="1"/>
  <c r="O133" i="4" s="1"/>
  <c r="M133" i="4"/>
  <c r="D134" i="4"/>
  <c r="L134" i="4"/>
  <c r="M134" i="4"/>
  <c r="D135" i="4"/>
  <c r="L135" i="4"/>
  <c r="M135" i="4"/>
  <c r="D136" i="4"/>
  <c r="L136" i="4"/>
  <c r="M136" i="4"/>
  <c r="D137" i="4"/>
  <c r="L137" i="4"/>
  <c r="N137" i="4" s="1"/>
  <c r="O137" i="4" s="1"/>
  <c r="M137" i="4"/>
  <c r="D138" i="4"/>
  <c r="L138" i="4"/>
  <c r="M138" i="4"/>
  <c r="M149" i="4"/>
  <c r="L149" i="4"/>
  <c r="N149" i="4" s="1"/>
  <c r="O149" i="4" s="1"/>
  <c r="D149" i="4"/>
  <c r="M142" i="4"/>
  <c r="L142" i="4"/>
  <c r="N142" i="4" s="1"/>
  <c r="O142" i="4" s="1"/>
  <c r="D142" i="4"/>
  <c r="M141" i="4"/>
  <c r="L141" i="4"/>
  <c r="N141" i="4" s="1"/>
  <c r="O141" i="4" s="1"/>
  <c r="D141" i="4"/>
  <c r="M140" i="4"/>
  <c r="L140" i="4"/>
  <c r="N140" i="4" s="1"/>
  <c r="O140" i="4" s="1"/>
  <c r="D140" i="4"/>
  <c r="M139" i="4"/>
  <c r="L139" i="4"/>
  <c r="D139" i="4"/>
  <c r="N138" i="4" l="1"/>
  <c r="O138" i="4" s="1"/>
  <c r="N135" i="4"/>
  <c r="O135" i="4" s="1"/>
  <c r="N147" i="4"/>
  <c r="O147" i="4" s="1"/>
  <c r="N146" i="4"/>
  <c r="O146" i="4" s="1"/>
  <c r="N143" i="4"/>
  <c r="O143" i="4" s="1"/>
  <c r="N144" i="4"/>
  <c r="N136" i="4"/>
  <c r="O136" i="4" s="1"/>
  <c r="N145" i="4"/>
  <c r="O145" i="4" s="1"/>
  <c r="N148" i="4"/>
  <c r="O148" i="4" s="1"/>
  <c r="N134" i="4"/>
  <c r="N139" i="4"/>
  <c r="O139" i="4" s="1"/>
  <c r="O134" i="4" l="1"/>
  <c r="O144" i="4"/>
  <c r="A34" i="2"/>
  <c r="C34" i="2"/>
  <c r="E34" i="2"/>
  <c r="F34" i="2"/>
  <c r="G34" i="2"/>
  <c r="A33" i="2"/>
  <c r="C33" i="2"/>
  <c r="E33" i="2"/>
  <c r="F33" i="2"/>
  <c r="G33" i="2"/>
  <c r="D10" i="1"/>
  <c r="D132" i="4" l="1"/>
  <c r="L132" i="4"/>
  <c r="N132" i="4" s="1"/>
  <c r="O132" i="4" s="1"/>
  <c r="M132" i="4"/>
  <c r="D131" i="4"/>
  <c r="L131" i="4"/>
  <c r="N131" i="4" s="1"/>
  <c r="O131" i="4" s="1"/>
  <c r="M131" i="4"/>
  <c r="D130" i="4"/>
  <c r="L130" i="4"/>
  <c r="N130" i="4" s="1"/>
  <c r="O130" i="4" s="1"/>
  <c r="M130" i="4"/>
  <c r="D129" i="4"/>
  <c r="L129" i="4"/>
  <c r="N129" i="4" s="1"/>
  <c r="O129" i="4" s="1"/>
  <c r="M129" i="4"/>
  <c r="D128" i="4"/>
  <c r="L128" i="4"/>
  <c r="N128" i="4" s="1"/>
  <c r="O128" i="4" s="1"/>
  <c r="M128" i="4"/>
  <c r="D127" i="4" l="1"/>
  <c r="L127" i="4"/>
  <c r="M127" i="4"/>
  <c r="N127" i="4"/>
  <c r="O127" i="4" s="1"/>
  <c r="D126" i="4"/>
  <c r="L126" i="4"/>
  <c r="M126" i="4"/>
  <c r="N126" i="4"/>
  <c r="O126" i="4" s="1"/>
  <c r="A32" i="2"/>
  <c r="C32" i="2"/>
  <c r="E32" i="2"/>
  <c r="F32" i="2"/>
  <c r="G32" i="2"/>
  <c r="D9" i="1"/>
  <c r="D125" i="4" l="1"/>
  <c r="L125" i="4"/>
  <c r="N125" i="4" s="1"/>
  <c r="O125" i="4" s="1"/>
  <c r="M125" i="4"/>
  <c r="D124" i="4"/>
  <c r="L124" i="4"/>
  <c r="M124" i="4"/>
  <c r="D123" i="4"/>
  <c r="L123" i="4"/>
  <c r="M123" i="4"/>
  <c r="D122" i="4"/>
  <c r="L122" i="4"/>
  <c r="N122" i="4" s="1"/>
  <c r="O122" i="4" s="1"/>
  <c r="M122" i="4"/>
  <c r="D121" i="4"/>
  <c r="L121" i="4"/>
  <c r="N121" i="4" s="1"/>
  <c r="O121" i="4" s="1"/>
  <c r="M121" i="4"/>
  <c r="D120" i="4"/>
  <c r="L120" i="4"/>
  <c r="N120" i="4" s="1"/>
  <c r="O120" i="4" s="1"/>
  <c r="M120" i="4"/>
  <c r="D119" i="4"/>
  <c r="L119" i="4"/>
  <c r="M119" i="4"/>
  <c r="D118" i="4"/>
  <c r="L118" i="4"/>
  <c r="M118" i="4"/>
  <c r="D117" i="4"/>
  <c r="L117" i="4"/>
  <c r="N117" i="4" s="1"/>
  <c r="O117" i="4" s="1"/>
  <c r="M117" i="4"/>
  <c r="D116" i="4"/>
  <c r="L116" i="4"/>
  <c r="N116" i="4" s="1"/>
  <c r="O116" i="4" s="1"/>
  <c r="M116" i="4"/>
  <c r="N118" i="4" l="1"/>
  <c r="O118" i="4" s="1"/>
  <c r="N124" i="4"/>
  <c r="O124" i="4" s="1"/>
  <c r="N123" i="4"/>
  <c r="O123" i="4" s="1"/>
  <c r="N119" i="4"/>
  <c r="O119" i="4" s="1"/>
  <c r="D115" i="4"/>
  <c r="L115" i="4"/>
  <c r="N115" i="4" s="1"/>
  <c r="O115" i="4" s="1"/>
  <c r="M115" i="4"/>
  <c r="D113" i="4" l="1"/>
  <c r="L113" i="4"/>
  <c r="N113" i="4" s="1"/>
  <c r="O113" i="4" s="1"/>
  <c r="M113" i="4"/>
  <c r="D114" i="4"/>
  <c r="L114" i="4"/>
  <c r="M114" i="4"/>
  <c r="N114" i="4"/>
  <c r="O114" i="4" s="1"/>
  <c r="D112" i="4"/>
  <c r="L112" i="4"/>
  <c r="N112" i="4" s="1"/>
  <c r="O112" i="4" s="1"/>
  <c r="M112" i="4"/>
  <c r="D111" i="4" l="1"/>
  <c r="L111" i="4"/>
  <c r="M111" i="4"/>
  <c r="N111" i="4"/>
  <c r="O111" i="4" s="1"/>
  <c r="D110" i="4" l="1"/>
  <c r="L110" i="4"/>
  <c r="M110" i="4"/>
  <c r="D109" i="4"/>
  <c r="L109" i="4"/>
  <c r="M109" i="4"/>
  <c r="D108" i="4"/>
  <c r="L108" i="4"/>
  <c r="M108" i="4"/>
  <c r="D107" i="4"/>
  <c r="L107" i="4"/>
  <c r="N107" i="4" s="1"/>
  <c r="O107" i="4" s="1"/>
  <c r="M107" i="4"/>
  <c r="N108" i="4" l="1"/>
  <c r="O108" i="4" s="1"/>
  <c r="N110" i="4"/>
  <c r="O110" i="4" s="1"/>
  <c r="N109" i="4"/>
  <c r="O109" i="4" s="1"/>
  <c r="D106" i="4"/>
  <c r="L106" i="4"/>
  <c r="M106" i="4"/>
  <c r="N106" i="4"/>
  <c r="O106" i="4" s="1"/>
  <c r="D105" i="4" l="1"/>
  <c r="L105" i="4"/>
  <c r="M105" i="4"/>
  <c r="D104" i="4" l="1"/>
  <c r="L104" i="4"/>
  <c r="N105" i="4" s="1"/>
  <c r="O105" i="4" s="1"/>
  <c r="M104" i="4"/>
  <c r="N104" i="4"/>
  <c r="O104" i="4" s="1"/>
  <c r="D103" i="4"/>
  <c r="L103" i="4"/>
  <c r="M103" i="4"/>
  <c r="D102" i="4"/>
  <c r="L102" i="4"/>
  <c r="M102" i="4"/>
  <c r="D101" i="4" l="1"/>
  <c r="L101" i="4"/>
  <c r="M101" i="4"/>
  <c r="A31" i="2"/>
  <c r="C31" i="2"/>
  <c r="E31" i="2"/>
  <c r="F31" i="2"/>
  <c r="G31" i="2"/>
  <c r="D100" i="4"/>
  <c r="L100" i="4"/>
  <c r="N103" i="4" s="1"/>
  <c r="O103" i="4" s="1"/>
  <c r="M100" i="4"/>
  <c r="D99" i="4"/>
  <c r="L99" i="4"/>
  <c r="N99" i="4" s="1"/>
  <c r="O99" i="4" s="1"/>
  <c r="M99" i="4"/>
  <c r="N100" i="4" l="1"/>
  <c r="O100" i="4" s="1"/>
  <c r="N102" i="4"/>
  <c r="O102" i="4" s="1"/>
  <c r="N101" i="4"/>
  <c r="O101" i="4" s="1"/>
  <c r="D98" i="4"/>
  <c r="L98" i="4"/>
  <c r="M98" i="4"/>
  <c r="N98" i="4"/>
  <c r="O98" i="4" s="1"/>
  <c r="D97" i="4" l="1"/>
  <c r="L97" i="4"/>
  <c r="M97" i="4"/>
  <c r="D96" i="4"/>
  <c r="L96" i="4"/>
  <c r="N97" i="4" s="1"/>
  <c r="O97" i="4" s="1"/>
  <c r="M96" i="4"/>
  <c r="N96" i="4" l="1"/>
  <c r="O96" i="4" s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N91" i="4" s="1"/>
  <c r="O91" i="4" s="1"/>
  <c r="M91" i="4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M77" i="4"/>
  <c r="D76" i="4"/>
  <c r="L76" i="4"/>
  <c r="M76" i="4"/>
  <c r="N76" i="4"/>
  <c r="O76" i="4" s="1"/>
  <c r="N77" i="4" l="1"/>
  <c r="O77" i="4" s="1"/>
  <c r="D75" i="4"/>
  <c r="L75" i="4"/>
  <c r="N78" i="4" s="1"/>
  <c r="O78" i="4" s="1"/>
  <c r="M75" i="4"/>
  <c r="D74" i="4"/>
  <c r="L74" i="4"/>
  <c r="N74" i="4" s="1"/>
  <c r="O74" i="4" s="1"/>
  <c r="M74" i="4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157" i="4" s="1"/>
  <c r="F157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55" i="4" l="1"/>
  <c r="F155" i="4" s="1"/>
  <c r="E156" i="4"/>
  <c r="F156" i="4" s="1"/>
  <c r="E154" i="4"/>
  <c r="F154" i="4" s="1"/>
  <c r="E152" i="4"/>
  <c r="F152" i="4" s="1"/>
  <c r="E153" i="4"/>
  <c r="F153" i="4" s="1"/>
  <c r="E150" i="4"/>
  <c r="F150" i="4" s="1"/>
  <c r="E151" i="4"/>
  <c r="F151" i="4" s="1"/>
  <c r="B144" i="4"/>
  <c r="P144" i="4" s="1"/>
  <c r="C144" i="4"/>
  <c r="Q144" i="4" s="1"/>
  <c r="B146" i="4"/>
  <c r="P146" i="4" s="1"/>
  <c r="C133" i="4"/>
  <c r="Q133" i="4" s="1"/>
  <c r="B138" i="4"/>
  <c r="P138" i="4" s="1"/>
  <c r="C149" i="4"/>
  <c r="B140" i="4"/>
  <c r="C146" i="4"/>
  <c r="Q146" i="4" s="1"/>
  <c r="B135" i="4"/>
  <c r="P135" i="4" s="1"/>
  <c r="C138" i="4"/>
  <c r="Q138" i="4" s="1"/>
  <c r="B149" i="4"/>
  <c r="P149" i="4" s="1"/>
  <c r="B141" i="4"/>
  <c r="P141" i="4" s="1"/>
  <c r="B142" i="4"/>
  <c r="P142" i="4" s="1"/>
  <c r="B143" i="4"/>
  <c r="P143" i="4" s="1"/>
  <c r="C140" i="4"/>
  <c r="C143" i="4"/>
  <c r="Q143" i="4" s="1"/>
  <c r="B148" i="4"/>
  <c r="P148" i="4" s="1"/>
  <c r="C135" i="4"/>
  <c r="Q135" i="4" s="1"/>
  <c r="C141" i="4"/>
  <c r="Q141" i="4" s="1"/>
  <c r="B145" i="4"/>
  <c r="P145" i="4" s="1"/>
  <c r="B137" i="4"/>
  <c r="P137" i="4" s="1"/>
  <c r="C147" i="4"/>
  <c r="C136" i="4"/>
  <c r="Q136" i="4" s="1"/>
  <c r="C148" i="4"/>
  <c r="C145" i="4"/>
  <c r="Q145" i="4" s="1"/>
  <c r="B134" i="4"/>
  <c r="P134" i="4" s="1"/>
  <c r="C137" i="4"/>
  <c r="Q137" i="4" s="1"/>
  <c r="C139" i="4"/>
  <c r="B147" i="4"/>
  <c r="P147" i="4" s="1"/>
  <c r="C134" i="4"/>
  <c r="Q134" i="4" s="1"/>
  <c r="C142" i="4"/>
  <c r="Q142" i="4" s="1"/>
  <c r="B139" i="4"/>
  <c r="B136" i="4"/>
  <c r="P136" i="4" s="1"/>
  <c r="B133" i="4"/>
  <c r="P133" i="4" s="1"/>
  <c r="E146" i="4"/>
  <c r="E143" i="4"/>
  <c r="E144" i="4"/>
  <c r="E148" i="4"/>
  <c r="E147" i="4"/>
  <c r="E145" i="4"/>
  <c r="E134" i="4"/>
  <c r="E136" i="4"/>
  <c r="E138" i="4"/>
  <c r="E137" i="4"/>
  <c r="E133" i="4"/>
  <c r="E135" i="4"/>
  <c r="E142" i="4"/>
  <c r="F142" i="4" s="1"/>
  <c r="E139" i="4"/>
  <c r="F139" i="4" s="1"/>
  <c r="E140" i="4"/>
  <c r="F140" i="4" s="1"/>
  <c r="E141" i="4"/>
  <c r="F141" i="4" s="1"/>
  <c r="E149" i="4"/>
  <c r="F149" i="4" s="1"/>
  <c r="B131" i="4"/>
  <c r="P131" i="4" s="1"/>
  <c r="C132" i="4"/>
  <c r="Q132" i="4" s="1"/>
  <c r="C128" i="4"/>
  <c r="Q128" i="4" s="1"/>
  <c r="C129" i="4"/>
  <c r="Q129" i="4" s="1"/>
  <c r="B132" i="4"/>
  <c r="P132" i="4" s="1"/>
  <c r="B130" i="4"/>
  <c r="P130" i="4" s="1"/>
  <c r="B128" i="4"/>
  <c r="P128" i="4" s="1"/>
  <c r="B129" i="4"/>
  <c r="P129" i="4" s="1"/>
  <c r="C130" i="4"/>
  <c r="Q130" i="4" s="1"/>
  <c r="C131" i="4"/>
  <c r="Q131" i="4" s="1"/>
  <c r="B127" i="4"/>
  <c r="P127" i="4" s="1"/>
  <c r="B126" i="4"/>
  <c r="P126" i="4" s="1"/>
  <c r="C127" i="4"/>
  <c r="Q127" i="4" s="1"/>
  <c r="C126" i="4"/>
  <c r="Q126" i="4" s="1"/>
  <c r="E131" i="4"/>
  <c r="F131" i="4" s="1"/>
  <c r="E132" i="4"/>
  <c r="F132" i="4" s="1"/>
  <c r="E130" i="4"/>
  <c r="F130" i="4" s="1"/>
  <c r="E128" i="4"/>
  <c r="F128" i="4" s="1"/>
  <c r="E129" i="4"/>
  <c r="F129" i="4" s="1"/>
  <c r="E126" i="4"/>
  <c r="F126" i="4" s="1"/>
  <c r="E127" i="4"/>
  <c r="F127" i="4" s="1"/>
  <c r="C124" i="4"/>
  <c r="Q124" i="4" s="1"/>
  <c r="C118" i="4"/>
  <c r="Q118" i="4" s="1"/>
  <c r="B122" i="4"/>
  <c r="P122" i="4" s="1"/>
  <c r="B125" i="4"/>
  <c r="P125" i="4" s="1"/>
  <c r="B119" i="4"/>
  <c r="P119" i="4" s="1"/>
  <c r="C120" i="4"/>
  <c r="Q120" i="4" s="1"/>
  <c r="B117" i="4"/>
  <c r="P117" i="4" s="1"/>
  <c r="B124" i="4"/>
  <c r="P124" i="4" s="1"/>
  <c r="C125" i="4"/>
  <c r="Q125" i="4" s="1"/>
  <c r="C119" i="4"/>
  <c r="Q119" i="4" s="1"/>
  <c r="B118" i="4"/>
  <c r="P118" i="4" s="1"/>
  <c r="B120" i="4"/>
  <c r="P120" i="4" s="1"/>
  <c r="B116" i="4"/>
  <c r="P116" i="4" s="1"/>
  <c r="C121" i="4"/>
  <c r="Q121" i="4" s="1"/>
  <c r="C123" i="4"/>
  <c r="Q123" i="4" s="1"/>
  <c r="B121" i="4"/>
  <c r="P121" i="4" s="1"/>
  <c r="C116" i="4"/>
  <c r="Q116" i="4" s="1"/>
  <c r="B123" i="4"/>
  <c r="P123" i="4" s="1"/>
  <c r="C117" i="4"/>
  <c r="Q117" i="4" s="1"/>
  <c r="C122" i="4"/>
  <c r="Q122" i="4" s="1"/>
  <c r="B115" i="4"/>
  <c r="P115" i="4" s="1"/>
  <c r="C115" i="4"/>
  <c r="Q115" i="4" s="1"/>
  <c r="B113" i="4"/>
  <c r="P113" i="4" s="1"/>
  <c r="B112" i="4"/>
  <c r="P112" i="4" s="1"/>
  <c r="C113" i="4"/>
  <c r="Q113" i="4" s="1"/>
  <c r="B114" i="4"/>
  <c r="P114" i="4" s="1"/>
  <c r="C114" i="4"/>
  <c r="Q114" i="4" s="1"/>
  <c r="C112" i="4"/>
  <c r="Q112" i="4" s="1"/>
  <c r="B111" i="4"/>
  <c r="P111" i="4" s="1"/>
  <c r="C111" i="4"/>
  <c r="Q111" i="4" s="1"/>
  <c r="B110" i="4"/>
  <c r="P110" i="4" s="1"/>
  <c r="C107" i="4"/>
  <c r="Q107" i="4" s="1"/>
  <c r="B107" i="4"/>
  <c r="P107" i="4" s="1"/>
  <c r="C110" i="4"/>
  <c r="Q110" i="4" s="1"/>
  <c r="C108" i="4"/>
  <c r="Q108" i="4" s="1"/>
  <c r="B108" i="4"/>
  <c r="P108" i="4" s="1"/>
  <c r="C109" i="4"/>
  <c r="Q109" i="4" s="1"/>
  <c r="B109" i="4"/>
  <c r="P109" i="4" s="1"/>
  <c r="B106" i="4"/>
  <c r="P106" i="4" s="1"/>
  <c r="C106" i="4"/>
  <c r="Q106" i="4" s="1"/>
  <c r="B105" i="4"/>
  <c r="P105" i="4" s="1"/>
  <c r="C105" i="4"/>
  <c r="Q105" i="4" s="1"/>
  <c r="B104" i="4"/>
  <c r="P104" i="4" s="1"/>
  <c r="C104" i="4"/>
  <c r="Q104" i="4" s="1"/>
  <c r="B102" i="4"/>
  <c r="P102" i="4" s="1"/>
  <c r="C102" i="4"/>
  <c r="Q102" i="4" s="1"/>
  <c r="B103" i="4"/>
  <c r="P103" i="4" s="1"/>
  <c r="C103" i="4"/>
  <c r="Q103" i="4" s="1"/>
  <c r="B101" i="4"/>
  <c r="P101" i="4" s="1"/>
  <c r="C101" i="4"/>
  <c r="Q101" i="4" s="1"/>
  <c r="E125" i="4"/>
  <c r="F125" i="4" s="1"/>
  <c r="E123" i="4"/>
  <c r="F123" i="4" s="1"/>
  <c r="E124" i="4"/>
  <c r="F124" i="4" s="1"/>
  <c r="E121" i="4"/>
  <c r="F121" i="4" s="1"/>
  <c r="E122" i="4"/>
  <c r="F122" i="4" s="1"/>
  <c r="E119" i="4"/>
  <c r="F119" i="4" s="1"/>
  <c r="E120" i="4"/>
  <c r="F120" i="4" s="1"/>
  <c r="E117" i="4"/>
  <c r="F117" i="4" s="1"/>
  <c r="E118" i="4"/>
  <c r="F118" i="4" s="1"/>
  <c r="E116" i="4"/>
  <c r="F116" i="4" s="1"/>
  <c r="E113" i="4"/>
  <c r="F113" i="4" s="1"/>
  <c r="E115" i="4"/>
  <c r="F115" i="4" s="1"/>
  <c r="E112" i="4"/>
  <c r="F112" i="4" s="1"/>
  <c r="E114" i="4"/>
  <c r="F114" i="4" s="1"/>
  <c r="E110" i="4"/>
  <c r="F110" i="4" s="1"/>
  <c r="E111" i="4"/>
  <c r="F111" i="4" s="1"/>
  <c r="E108" i="4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Q148" i="4" l="1"/>
  <c r="Q147" i="4"/>
  <c r="Q149" i="4"/>
  <c r="F136" i="4"/>
  <c r="F146" i="4"/>
  <c r="F134" i="4"/>
  <c r="F144" i="4"/>
  <c r="F135" i="4"/>
  <c r="F145" i="4"/>
  <c r="F133" i="4"/>
  <c r="F143" i="4"/>
  <c r="F137" i="4"/>
  <c r="F147" i="4"/>
  <c r="F138" i="4"/>
  <c r="F148" i="4"/>
  <c r="Q140" i="4"/>
  <c r="P140" i="4"/>
  <c r="P139" i="4"/>
  <c r="Q139" i="4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79" i="4"/>
  <c r="B15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D14" i="6" l="1"/>
  <c r="D11" i="6"/>
  <c r="D10" i="6"/>
  <c r="H9" i="6"/>
  <c r="H14" i="6"/>
  <c r="H13" i="6"/>
  <c r="H8" i="6"/>
  <c r="D12" i="6"/>
  <c r="H12" i="6"/>
  <c r="H17" i="6"/>
  <c r="H11" i="6"/>
  <c r="H10" i="6"/>
  <c r="D9" i="6"/>
  <c r="D7" i="6"/>
  <c r="U7" i="6" s="1"/>
  <c r="V7" i="6" s="1"/>
  <c r="W7" i="6" s="1"/>
  <c r="X7" i="6" s="1"/>
  <c r="H7" i="6"/>
  <c r="D8" i="6"/>
  <c r="D13" i="6"/>
  <c r="A113" i="4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14" i="4"/>
  <c r="H18" i="6"/>
  <c r="H15" i="6"/>
  <c r="H16" i="6"/>
  <c r="D16" i="6"/>
  <c r="D15" i="6"/>
  <c r="B19" i="6"/>
  <c r="D17" i="6"/>
  <c r="D18" i="6"/>
  <c r="O23" i="5"/>
  <c r="N23" i="5"/>
  <c r="L23" i="5"/>
  <c r="P23" i="5"/>
  <c r="K23" i="5"/>
  <c r="J23" i="5"/>
  <c r="M23" i="5"/>
  <c r="G23" i="5"/>
  <c r="I11" i="6" l="1"/>
  <c r="U13" i="6"/>
  <c r="V13" i="6" s="1"/>
  <c r="W13" i="6" s="1"/>
  <c r="X13" i="6" s="1"/>
  <c r="I7" i="6"/>
  <c r="U12" i="6"/>
  <c r="V12" i="6" s="1"/>
  <c r="W12" i="6" s="1"/>
  <c r="X12" i="6" s="1"/>
  <c r="U9" i="6"/>
  <c r="V9" i="6" s="1"/>
  <c r="W9" i="6" s="1"/>
  <c r="X9" i="6" s="1"/>
  <c r="U8" i="6"/>
  <c r="V8" i="6" s="1"/>
  <c r="W8" i="6" s="1"/>
  <c r="X8" i="6" s="1"/>
  <c r="U10" i="6"/>
  <c r="V10" i="6" s="1"/>
  <c r="W10" i="6" s="1"/>
  <c r="X10" i="6" s="1"/>
  <c r="U11" i="6"/>
  <c r="V11" i="6" s="1"/>
  <c r="W11" i="6" s="1"/>
  <c r="U15" i="6"/>
  <c r="V15" i="6" s="1"/>
  <c r="U14" i="6"/>
  <c r="V14" i="6" s="1"/>
  <c r="W14" i="6" s="1"/>
  <c r="X14" i="6" s="1"/>
  <c r="A144" i="4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13" i="6" l="1"/>
  <c r="Z13" i="6" s="1"/>
  <c r="AA13" i="6" s="1"/>
  <c r="AB13" i="6" s="1"/>
  <c r="Y8" i="6"/>
  <c r="Z8" i="6" s="1"/>
  <c r="AA8" i="6" s="1"/>
  <c r="W15" i="6"/>
  <c r="Y15" i="6" s="1"/>
  <c r="Y14" i="6"/>
  <c r="Z14" i="6" s="1"/>
  <c r="AA14" i="6" s="1"/>
  <c r="AB14" i="6" s="1"/>
  <c r="X11" i="6"/>
  <c r="Y10" i="6"/>
  <c r="Y11" i="6"/>
  <c r="Y12" i="6"/>
  <c r="W17" i="6"/>
  <c r="X17" i="6" s="1"/>
  <c r="Y9" i="6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5" i="6" l="1"/>
  <c r="X19" i="6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<sst xmlns="http://schemas.openxmlformats.org/spreadsheetml/2006/main" count="465" uniqueCount="116">
  <si>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</si>
  <si>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</si>
  <si>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</si>
  <si>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</si>
  <si>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</si>
  <si>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</si>
  <si>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</si>
  <si>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</si>
  <si>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</si>
  <si>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</si>
  <si>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</si>
  <si>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</si>
  <si>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</si>
  <si>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</si>
  <si>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</si>
  <si>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</si>
  <si>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</si>
  <si>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</si>
  <si>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</si>
  <si>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</si>
  <si>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</si>
  <si>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</si>
  <si>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</si>
  <si>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</si>
  <si>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</si>
  <si>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</si>
  <si>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</si>
  <si>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</si>
  <si>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</si>
  <si>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</si>
  <si>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</si>
  <si>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</si>
  <si>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</si>
  <si>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</si>
  <si>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</si>
  <si>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</si>
  <si>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</si>
  <si>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</si>
  <si>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</si>
  <si>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</si>
  <si>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</si>
  <si>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</si>
  <si>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</si>
  <si>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</si>
  <si>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</si>
  <si>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</si>
  <si>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</si>
  <si>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</si>
  <si>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</si>
  <si>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</si>
  <si>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</si>
  <si>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</si>
  <si>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</si>
  <si>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</si>
  <si>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</si>
  <si>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</si>
  <si>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</si>
  <si>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</si>
  <si>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</si>
  <si>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</si>
  <si>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</si>
  <si>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</si>
  <si>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</si>
  <si>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</si>
  <si>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</si>
  <si>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</si>
  <si>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</si>
  <si>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</si>
  <si>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</si>
  <si>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</si>
  <si>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</si>
  <si>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</si>
  <si>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</si>
  <si>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</si>
  <si>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</si>
  <si>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</si>
  <si>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</si>
  <si>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</si>
  <si>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</si>
  <si>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</si>
  <si>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</si>
  <si>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</si>
  <si>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</si>
  <si>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</si>
  <si>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</si>
  <si>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</si>
  <si>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</si>
  <si>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</si>
  <si>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</si>
  <si>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</si>
  <si>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</si>
  <si>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</si>
  <si>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</si>
  <si>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</si>
  <si>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</si>
  <si>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</si>
  <si>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</si>
  <si>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</si>
  <si>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</si>
  <si>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</si>
  <si>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</si>
  <si>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</si>
  <si>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</si>
  <si>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</si>
  <si>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</si>
  <si>
    <t>AMC Request</t>
  </si>
  <si>
    <t>AMC</t>
  </si>
  <si>
    <t>Documentation</t>
  </si>
  <si>
    <t>AMC/Documentation</t>
  </si>
  <si>
    <t>Restore Database</t>
  </si>
  <si>
    <t>RTRDB</t>
  </si>
  <si>
    <t>RTRDB/Documentation</t>
  </si>
  <si>
    <t>Surrender PC</t>
  </si>
  <si>
    <t>RTRDB/Surrender PC</t>
  </si>
  <si>
    <t>Restore DB</t>
  </si>
  <si>
    <t>RTRDB/Restore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</si>
</sst>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7" fillId="0" borderId="0" xfId="0" applyFont="1" applyBorder="1"/>
    <xf numFmtId="0" fontId="17" fillId="0" borderId="0" xfId="0" applyNumberFormat="1" applyFont="1"/>
    <xf numFmtId="0" fontId="1" fillId="2" borderId="28" xfId="0" applyNumberFormat="1" applyFont="1" applyFill="1" applyBorder="1" applyAlignment="1">
      <alignment horizontal="left"/>
    </xf>
    <xf numFmtId="0" fontId="1" fillId="2" borderId="28" xfId="0" applyFont="1" applyFill="1" applyBorder="1"/>
    <xf numFmtId="164" fontId="1" fillId="2" borderId="28" xfId="0" applyNumberFormat="1" applyFont="1" applyFill="1" applyBorder="1" applyAlignment="1">
      <alignment horizontal="center"/>
    </xf>
    <xf numFmtId="166" fontId="1" fillId="2" borderId="28" xfId="0" applyNumberFormat="1" applyFont="1" applyFill="1" applyBorder="1" applyAlignment="1">
      <alignment horizontal="center"/>
    </xf>
    <xf numFmtId="18" fontId="1" fillId="2" borderId="28" xfId="0" applyNumberFormat="1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7" fillId="2" borderId="27" xfId="0" applyNumberFormat="1" applyFont="1" applyFill="1" applyBorder="1" applyAlignment="1">
      <alignment horizontal="center"/>
    </xf>
    <xf numFmtId="0" fontId="17" fillId="3" borderId="27" xfId="0" applyNumberFormat="1" applyFont="1" applyFill="1" applyBorder="1" applyAlignment="1">
      <alignment horizontal="center"/>
    </xf>
    <xf numFmtId="0" fontId="17" fillId="3" borderId="30" xfId="0" applyNumberFormat="1" applyFont="1" applyFill="1" applyBorder="1" applyAlignment="1">
      <alignment horizontal="center"/>
    </xf>
    <xf numFmtId="0" fontId="17" fillId="2" borderId="28" xfId="0" applyNumberFormat="1" applyFont="1" applyFill="1" applyBorder="1" applyAlignment="1">
      <alignment horizontal="left"/>
    </xf>
    <xf numFmtId="0" fontId="17" fillId="3" borderId="28" xfId="0" applyNumberFormat="1" applyFont="1" applyFill="1" applyBorder="1" applyAlignment="1">
      <alignment horizontal="left"/>
    </xf>
    <xf numFmtId="0" fontId="17" fillId="3" borderId="31" xfId="0" applyNumberFormat="1" applyFont="1" applyFill="1" applyBorder="1" applyAlignment="1">
      <alignment horizontal="left"/>
    </xf>
    <xf numFmtId="0" fontId="17" fillId="2" borderId="28" xfId="0" applyFont="1" applyFill="1" applyBorder="1"/>
    <xf numFmtId="0" fontId="17" fillId="3" borderId="28" xfId="0" applyFont="1" applyFill="1" applyBorder="1"/>
    <xf numFmtId="0" fontId="17" fillId="3" borderId="31" xfId="0" applyFont="1" applyFill="1" applyBorder="1"/>
    <xf numFmtId="164" fontId="17" fillId="2" borderId="28" xfId="0" applyNumberFormat="1" applyFont="1" applyFill="1" applyBorder="1" applyAlignment="1">
      <alignment horizontal="center"/>
    </xf>
    <xf numFmtId="164" fontId="17" fillId="3" borderId="28" xfId="0" applyNumberFormat="1" applyFont="1" applyFill="1" applyBorder="1" applyAlignment="1">
      <alignment horizontal="center"/>
    </xf>
    <xf numFmtId="164" fontId="17" fillId="3" borderId="31" xfId="0" applyNumberFormat="1" applyFont="1" applyFill="1" applyBorder="1" applyAlignment="1">
      <alignment horizontal="center"/>
    </xf>
    <xf numFmtId="166" fontId="17" fillId="2" borderId="28" xfId="0" applyNumberFormat="1" applyFont="1" applyFill="1" applyBorder="1" applyAlignment="1">
      <alignment horizontal="center"/>
    </xf>
    <xf numFmtId="166" fontId="17" fillId="3" borderId="28" xfId="0" applyNumberFormat="1" applyFont="1" applyFill="1" applyBorder="1" applyAlignment="1">
      <alignment horizontal="center"/>
    </xf>
    <xf numFmtId="166" fontId="17" fillId="3" borderId="31" xfId="0" applyNumberFormat="1" applyFont="1" applyFill="1" applyBorder="1" applyAlignment="1">
      <alignment horizontal="center"/>
    </xf>
    <xf numFmtId="18" fontId="17" fillId="2" borderId="28" xfId="0" applyNumberFormat="1" applyFont="1" applyFill="1" applyBorder="1" applyAlignment="1">
      <alignment horizontal="center"/>
    </xf>
    <xf numFmtId="18" fontId="17" fillId="3" borderId="28" xfId="0" applyNumberFormat="1" applyFont="1" applyFill="1" applyBorder="1" applyAlignment="1">
      <alignment horizontal="center"/>
    </xf>
    <xf numFmtId="18" fontId="17" fillId="3" borderId="31" xfId="0" applyNumberFormat="1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1005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0900848"/>
        <c:axId val="-720893776"/>
      </c:barChart>
      <c:catAx>
        <c:axId val="-72090084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0893776"/>
        <c:crosses val="autoZero"/>
        <c:auto val="1"/>
        <c:lblAlgn val="ctr"/>
        <c:lblOffset val="100"/>
        <c:noMultiLvlLbl val="0"/>
      </c:catAx>
      <c:valAx>
        <c:axId val="-7208937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090084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1005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720906288"/>
        <c:axId val="-720908464"/>
      </c:barChart>
      <c:catAx>
        <c:axId val="-72090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0908464"/>
        <c:crosses val="autoZero"/>
        <c:auto val="1"/>
        <c:lblAlgn val="ctr"/>
        <c:lblOffset val="100"/>
        <c:noMultiLvlLbl val="0"/>
      </c:catAx>
      <c:valAx>
        <c:axId val="-72090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0906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1005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189.99999999999989</c:v>
                </c:pt>
                <c:pt idx="2">
                  <c:v>680</c:v>
                </c:pt>
                <c:pt idx="3">
                  <c:v>1005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0894320"/>
        <c:axId val="-720897584"/>
      </c:areaChart>
      <c:catAx>
        <c:axId val="-720894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0897584"/>
        <c:crosses val="autoZero"/>
        <c:auto val="1"/>
        <c:lblAlgn val="ctr"/>
        <c:lblOffset val="100"/>
        <c:noMultiLvlLbl val="0"/>
      </c:catAx>
      <c:valAx>
        <c:axId val="-720897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089432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1875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720900304"/>
        <c:axId val="-720898672"/>
      </c:barChart>
      <c:catAx>
        <c:axId val="-720900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0898672"/>
        <c:crosses val="autoZero"/>
        <c:auto val="1"/>
        <c:lblAlgn val="ctr"/>
        <c:lblOffset val="100"/>
        <c:noMultiLvlLbl val="0"/>
      </c:catAx>
      <c:valAx>
        <c:axId val="-72089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0900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720895952"/>
        <c:axId val="-720905200"/>
      </c:barChart>
      <c:dateAx>
        <c:axId val="-720895952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0905200"/>
        <c:crosses val="autoZero"/>
        <c:auto val="1"/>
        <c:lblOffset val="100"/>
        <c:baseTimeUnit val="days"/>
      </c:dateAx>
      <c:valAx>
        <c:axId val="-72090520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089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10" totalsRowShown="0" headerRowDxfId="37" dataDxfId="36">
  <autoFilter ref="D1:G10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5" totalsRowShown="0" headerRowDxfId="31" dataDxfId="30">
  <autoFilter ref="A1:G35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57" totalsRowShown="0" headerRowDxfId="18" dataDxfId="17">
  <autoFilter ref="A1:Q157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9" sqref="E1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  <row r="9" spans="1:7" x14ac:dyDescent="0.25">
      <c r="D9" s="138">
        <f>IFERROR($D8+1,1)</f>
        <v>8</v>
      </c>
      <c r="E9" s="141" t="s">
        <v>105</v>
      </c>
      <c r="F9" s="135" t="s">
        <v>106</v>
      </c>
      <c r="G9" s="135" t="s">
        <v>3</v>
      </c>
    </row>
    <row r="10" spans="1:7" x14ac:dyDescent="0.25">
      <c r="D10" s="138">
        <f>IFERROR($D9+1,1)</f>
        <v>9</v>
      </c>
      <c r="E10" s="135" t="s">
        <v>109</v>
      </c>
      <c r="F10" s="135" t="s">
        <v>110</v>
      </c>
      <c r="G10" s="135" t="s">
        <v>3</v>
      </c>
    </row>
  </sheetData>
  <dataValidations count="1">
    <dataValidation type="list" allowBlank="1" showInputMessage="1" showErrorMessage="1" sqref="G2:G10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2" workbookViewId="0">
      <selection activeCell="D39" sqref="D39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 t="shared" ref="A28:A34" si="4"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 t="shared" si="4"/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 t="shared" si="4"/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 t="shared" si="4"/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  <row r="32" spans="1:7" x14ac:dyDescent="0.25">
      <c r="A32" s="133">
        <f t="shared" si="4"/>
        <v>31</v>
      </c>
      <c r="B32" s="135" t="s">
        <v>106</v>
      </c>
      <c r="C32" s="134" t="str">
        <f>ProjectTasks[[#This Row],[Project]]&amp;"-"&amp;COUNTIF($B$1:ProjectTasks[[#This Row],[Project]],ProjectTasks[[#This Row],[Project]])</f>
        <v>AMC-1</v>
      </c>
      <c r="D32" s="135" t="s">
        <v>107</v>
      </c>
      <c r="E32" s="142" t="str">
        <f>CONCATENATE(ProjectTasks[Project],"/",ProjectTasks[Task])</f>
        <v>AMC/Documentation</v>
      </c>
      <c r="F32" s="142" t="str">
        <f>ProjectTasks[Project]</f>
        <v>AMC</v>
      </c>
      <c r="G32" s="142" t="str">
        <f>ProjectTasks[Task]</f>
        <v>Documentation</v>
      </c>
    </row>
    <row r="33" spans="1:7" x14ac:dyDescent="0.25">
      <c r="A33" s="133">
        <f t="shared" si="4"/>
        <v>32</v>
      </c>
      <c r="B33" s="135" t="s">
        <v>110</v>
      </c>
      <c r="C33" s="134" t="str">
        <f>ProjectTasks[[#This Row],[Project]]&amp;"-"&amp;COUNTIF($B$1:ProjectTasks[[#This Row],[Project]],ProjectTasks[[#This Row],[Project]])</f>
        <v>RTRDB-1</v>
      </c>
      <c r="D33" s="135" t="s">
        <v>107</v>
      </c>
      <c r="E33" s="142" t="str">
        <f>CONCATENATE(ProjectTasks[Project],"/",ProjectTasks[Task])</f>
        <v>RTRDB/Documentation</v>
      </c>
      <c r="F33" s="142" t="str">
        <f>ProjectTasks[Project]</f>
        <v>RTRDB</v>
      </c>
      <c r="G33" s="142" t="str">
        <f>ProjectTasks[Task]</f>
        <v>Documentation</v>
      </c>
    </row>
    <row r="34" spans="1:7" x14ac:dyDescent="0.25">
      <c r="A34" s="133">
        <f t="shared" si="4"/>
        <v>33</v>
      </c>
      <c r="B34" s="135" t="s">
        <v>110</v>
      </c>
      <c r="C34" s="134" t="str">
        <f>ProjectTasks[[#This Row],[Project]]&amp;"-"&amp;COUNTIF($B$1:ProjectTasks[[#This Row],[Project]],ProjectTasks[[#This Row],[Project]])</f>
        <v>RTRDB-2</v>
      </c>
      <c r="D34" s="135" t="s">
        <v>112</v>
      </c>
      <c r="E34" s="142" t="str">
        <f>CONCATENATE(ProjectTasks[Project],"/",ProjectTasks[Task])</f>
        <v>RTRDB/Surrender PC</v>
      </c>
      <c r="F34" s="142" t="str">
        <f>ProjectTasks[Project]</f>
        <v>RTRDB</v>
      </c>
      <c r="G34" s="142" t="str">
        <f>ProjectTasks[Task]</f>
        <v>Surrender PC</v>
      </c>
    </row>
    <row r="35" spans="1:7" x14ac:dyDescent="0.25">
      <c r="A35" s="133">
        <f>IFERROR($A34+1,1)</f>
        <v>34</v>
      </c>
      <c r="B35" s="135" t="s">
        <v>110</v>
      </c>
      <c r="C35" s="134" t="str">
        <f>ProjectTasks[[#This Row],[Project]]&amp;"-"&amp;COUNTIF($B$1:ProjectTasks[[#This Row],[Project]],ProjectTasks[[#This Row],[Project]])</f>
        <v>RTRDB-3</v>
      </c>
      <c r="D35" s="135" t="s">
        <v>114</v>
      </c>
      <c r="E35" s="142" t="str">
        <f>CONCATENATE(ProjectTasks[Project],"/",ProjectTasks[Task])</f>
        <v>RTRDB/Restore DB</v>
      </c>
      <c r="F35" s="142" t="str">
        <f>ProjectTasks[Project]</f>
        <v>RTRDB</v>
      </c>
      <c r="G35" s="142" t="str">
        <f>ProjectTasks[Task]</f>
        <v>Restore DB</v>
      </c>
    </row>
  </sheetData>
  <dataValidations count="1">
    <dataValidation type="list" allowBlank="1" showInputMessage="1" showErrorMessage="1" sqref="B2:B35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7"/>
  <sheetViews>
    <sheetView tabSelected="1" topLeftCell="A151" zoomScaleNormal="100" workbookViewId="0">
      <selection activeCell="K158" sqref="K158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 t="shared" ref="A107:A113" si="10"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 t="shared" si="10"/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 t="shared" si="10"/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 t="shared" si="10"/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  <row r="111" spans="1:17" x14ac:dyDescent="0.25">
      <c r="A111" s="133">
        <f t="shared" si="10"/>
        <v>109</v>
      </c>
      <c r="B111" s="134" t="str">
        <f>VLOOKUP(TaskTimings[Task],ProjectTasks[[TaskProjectCode]:[TSK]],2,0)</f>
        <v>SDS</v>
      </c>
      <c r="C111" s="134" t="str">
        <f>VLOOKUP(TaskTimings[Task],ProjectTasks[[TaskProjectCode]:[TSK]],3,0)</f>
        <v>Testing</v>
      </c>
      <c r="D111" s="134" t="str">
        <f>TaskTimings[Employee]&amp;"/"&amp;TaskTimings[Date]</f>
        <v>Aswathy/43480</v>
      </c>
      <c r="E111" s="134">
        <f>COUNTIF($D$1:TaskTimings[[#This Row],[EmployeeDate]],TaskTimings[[#This Row],[EmployeeDate]])</f>
        <v>1</v>
      </c>
      <c r="F111" s="134" t="str">
        <f>TaskTimings[[#This Row],[EmployeeDate]]&amp;"/"&amp;TaskTimings[[#This Row],[EmployeeDateSeq]]</f>
        <v>Aswathy/43480/1</v>
      </c>
      <c r="G111" s="135" t="s">
        <v>89</v>
      </c>
      <c r="H111" s="135" t="s">
        <v>54</v>
      </c>
      <c r="I111" s="136">
        <v>43480</v>
      </c>
      <c r="J111" s="137">
        <v>0.39583333333333331</v>
      </c>
      <c r="K111" s="139">
        <v>0.45833333333333331</v>
      </c>
      <c r="L111" s="138">
        <f>(TaskTimings[End Time]-TaskTimings[Start Time])*1440</f>
        <v>90</v>
      </c>
      <c r="M111" s="138" t="str">
        <f>TEXT(TaskTimings[End Time]-TaskTimings[Start Time],"HH:mm")</f>
        <v>01:30</v>
      </c>
      <c r="N111" s="138">
        <f>SUMIFS(TaskTimings[Total Minutes],TaskTimings[Date],TaskTimings[Date],TaskTimings[Employee],TaskTimings[Employee])</f>
        <v>90</v>
      </c>
      <c r="O111" s="138" t="str">
        <f>TEXT(TaskTimings[Day Total Minutes]/1440,"HH:mm")</f>
        <v>01:30</v>
      </c>
      <c r="P111" s="134" t="str">
        <f>TaskTimings[PRJ]</f>
        <v>SDS</v>
      </c>
      <c r="Q111" s="134" t="str">
        <f>TaskTimings[TSK]</f>
        <v>Testing</v>
      </c>
    </row>
    <row r="112" spans="1:17" x14ac:dyDescent="0.25">
      <c r="A112" s="133">
        <f t="shared" si="10"/>
        <v>110</v>
      </c>
      <c r="B112" s="134" t="str">
        <f>VLOOKUP(TaskTimings[Task],ProjectTasks[[TaskProjectCode]:[TSK]],2,0)</f>
        <v>TEEBPD</v>
      </c>
      <c r="C112" s="134" t="str">
        <f>VLOOKUP(TaskTimings[Task],ProjectTasks[[TaskProjectCode]:[TSK]],3,0)</f>
        <v>Table syncing</v>
      </c>
      <c r="D112" s="134" t="str">
        <f>TaskTimings[Employee]&amp;"/"&amp;TaskTimings[Date]</f>
        <v>Shareena/43480</v>
      </c>
      <c r="E112" s="134">
        <f>COUNTIF($D$1:TaskTimings[[#This Row],[EmployeeDate]],TaskTimings[[#This Row],[EmployeeDate]])</f>
        <v>1</v>
      </c>
      <c r="F112" s="134" t="str">
        <f>TaskTimings[[#This Row],[EmployeeDate]]&amp;"/"&amp;TaskTimings[[#This Row],[EmployeeDateSeq]]</f>
        <v>Shareena/43480/1</v>
      </c>
      <c r="G112" s="135" t="s">
        <v>101</v>
      </c>
      <c r="H112" s="135" t="s">
        <v>16</v>
      </c>
      <c r="I112" s="136">
        <v>43480</v>
      </c>
      <c r="J112" s="137">
        <v>0.41666666666666669</v>
      </c>
      <c r="K112" s="139">
        <v>0.54166666666666663</v>
      </c>
      <c r="L112" s="138">
        <f>(TaskTimings[End Time]-TaskTimings[Start Time])*1440</f>
        <v>179.99999999999991</v>
      </c>
      <c r="M112" s="138" t="str">
        <f>TEXT(TaskTimings[End Time]-TaskTimings[Start Time],"HH:mm")</f>
        <v>03:00</v>
      </c>
      <c r="N112" s="138">
        <f>SUMIFS(TaskTimings[Total Minutes],TaskTimings[Date],TaskTimings[Date],TaskTimings[Employee],TaskTimings[Employee])</f>
        <v>179.99999999999991</v>
      </c>
      <c r="O112" s="138" t="str">
        <f>TEXT(TaskTimings[Day Total Minutes]/1440,"HH:mm")</f>
        <v>03:00</v>
      </c>
      <c r="P112" s="134" t="str">
        <f>TaskTimings[PRJ]</f>
        <v>TEEBPD</v>
      </c>
      <c r="Q112" s="134" t="str">
        <f>TaskTimings[TSK]</f>
        <v>Table syncing</v>
      </c>
    </row>
    <row r="113" spans="1:17" x14ac:dyDescent="0.25">
      <c r="A113" s="133">
        <f t="shared" si="10"/>
        <v>111</v>
      </c>
      <c r="B113" s="134" t="str">
        <f>VLOOKUP(TaskTimings[Task],ProjectTasks[[TaskProjectCode]:[TSK]],2,0)</f>
        <v>TEEBPD</v>
      </c>
      <c r="C113" s="134" t="str">
        <f>VLOOKUP(TaskTimings[Task],ProjectTasks[[TaskProjectCode]:[TSK]],3,0)</f>
        <v>Table syncing</v>
      </c>
      <c r="D113" s="134" t="str">
        <f>TaskTimings[Employee]&amp;"/"&amp;TaskTimings[Date]</f>
        <v>Shareena/43486</v>
      </c>
      <c r="E113" s="134">
        <f>COUNTIF($D$1:TaskTimings[[#This Row],[EmployeeDate]],TaskTimings[[#This Row],[EmployeeDate]])</f>
        <v>1</v>
      </c>
      <c r="F113" s="134" t="str">
        <f>TaskTimings[[#This Row],[EmployeeDate]]&amp;"/"&amp;TaskTimings[[#This Row],[EmployeeDateSeq]]</f>
        <v>Shareena/43486/1</v>
      </c>
      <c r="G113" s="135" t="s">
        <v>101</v>
      </c>
      <c r="H113" s="135" t="s">
        <v>16</v>
      </c>
      <c r="I113" s="136">
        <v>43486</v>
      </c>
      <c r="J113" s="137">
        <v>0.39583333333333331</v>
      </c>
      <c r="K113" s="139">
        <v>0.625</v>
      </c>
      <c r="L113" s="138">
        <f>(TaskTimings[End Time]-TaskTimings[Start Time])*1440</f>
        <v>330</v>
      </c>
      <c r="M113" s="138" t="str">
        <f>TEXT(TaskTimings[End Time]-TaskTimings[Start Time],"HH:mm")</f>
        <v>05:30</v>
      </c>
      <c r="N113" s="138">
        <f>SUMIFS(TaskTimings[Total Minutes],TaskTimings[Date],TaskTimings[Date],TaskTimings[Employee],TaskTimings[Employee])</f>
        <v>330</v>
      </c>
      <c r="O113" s="138" t="str">
        <f>TEXT(TaskTimings[Day Total Minutes]/1440,"HH:mm")</f>
        <v>05:30</v>
      </c>
      <c r="P113" s="134" t="str">
        <f>TaskTimings[PRJ]</f>
        <v>TEEBPD</v>
      </c>
      <c r="Q113" s="134" t="str">
        <f>TaskTimings[TSK]</f>
        <v>Table syncing</v>
      </c>
    </row>
    <row r="114" spans="1:17" x14ac:dyDescent="0.25">
      <c r="A114" s="133">
        <f>IFERROR($A112+1,1)</f>
        <v>111</v>
      </c>
      <c r="B114" s="134" t="str">
        <f>VLOOKUP(TaskTimings[Task],ProjectTasks[[TaskProjectCode]:[TSK]],2,0)</f>
        <v>TEEBPD</v>
      </c>
      <c r="C114" s="134" t="str">
        <f>VLOOKUP(TaskTimings[Task],ProjectTasks[[TaskProjectCode]:[TSK]],3,0)</f>
        <v>Table syncing</v>
      </c>
      <c r="D114" s="134" t="str">
        <f>TaskTimings[Employee]&amp;"/"&amp;TaskTimings[Date]</f>
        <v>Shareena/43489</v>
      </c>
      <c r="E114" s="134">
        <f>COUNTIF($D$1:TaskTimings[[#This Row],[EmployeeDate]],TaskTimings[[#This Row],[EmployeeDate]])</f>
        <v>1</v>
      </c>
      <c r="F114" s="134" t="str">
        <f>TaskTimings[[#This Row],[EmployeeDate]]&amp;"/"&amp;TaskTimings[[#This Row],[EmployeeDateSeq]]</f>
        <v>Shareena/43489/1</v>
      </c>
      <c r="G114" s="135" t="s">
        <v>101</v>
      </c>
      <c r="H114" s="135" t="s">
        <v>16</v>
      </c>
      <c r="I114" s="136">
        <v>43489</v>
      </c>
      <c r="J114" s="137">
        <v>0.66666666666666663</v>
      </c>
      <c r="K114" s="139">
        <v>0.70833333333333337</v>
      </c>
      <c r="L114" s="138">
        <f>(TaskTimings[End Time]-TaskTimings[Start Time])*1440</f>
        <v>60.000000000000107</v>
      </c>
      <c r="M114" s="138" t="str">
        <f>TEXT(TaskTimings[End Time]-TaskTimings[Start Time],"HH:mm")</f>
        <v>01:00</v>
      </c>
      <c r="N114" s="138">
        <f>SUMIFS(TaskTimings[Total Minutes],TaskTimings[Date],TaskTimings[Date],TaskTimings[Employee],TaskTimings[Employee])</f>
        <v>60.000000000000107</v>
      </c>
      <c r="O114" s="138" t="str">
        <f>TEXT(TaskTimings[Day Total Minutes]/1440,"HH:mm")</f>
        <v>01:00</v>
      </c>
      <c r="P114" s="134" t="str">
        <f>TaskTimings[PRJ]</f>
        <v>TEEBPD</v>
      </c>
      <c r="Q114" s="134" t="str">
        <f>TaskTimings[TSK]</f>
        <v>Table syncing</v>
      </c>
    </row>
    <row r="115" spans="1:17" x14ac:dyDescent="0.25">
      <c r="A115" s="133">
        <f>IFERROR($A113+1,1)</f>
        <v>112</v>
      </c>
      <c r="B115" s="134" t="str">
        <f>VLOOKUP(TaskTimings[Task],ProjectTasks[[TaskProjectCode]:[TSK]],2,0)</f>
        <v>TEEBPD</v>
      </c>
      <c r="C115" s="134" t="str">
        <f>VLOOKUP(TaskTimings[Task],ProjectTasks[[TaskProjectCode]:[TSK]],3,0)</f>
        <v>Table syncing</v>
      </c>
      <c r="D115" s="134" t="str">
        <f>TaskTimings[Employee]&amp;"/"&amp;TaskTimings[Date]</f>
        <v>Vishnu/43516</v>
      </c>
      <c r="E115" s="134">
        <f>COUNTIF($D$1:TaskTimings[[#This Row],[EmployeeDate]],TaskTimings[[#This Row],[EmployeeDate]])</f>
        <v>1</v>
      </c>
      <c r="F115" s="134" t="str">
        <f>TaskTimings[[#This Row],[EmployeeDate]]&amp;"/"&amp;TaskTimings[[#This Row],[EmployeeDateSeq]]</f>
        <v>Vishnu/43516/1</v>
      </c>
      <c r="G115" s="135" t="s">
        <v>101</v>
      </c>
      <c r="H115" s="135" t="s">
        <v>17</v>
      </c>
      <c r="I115" s="136">
        <v>43516</v>
      </c>
      <c r="J115" s="137">
        <v>0.52500000000000002</v>
      </c>
      <c r="K115" s="139">
        <v>0.625</v>
      </c>
      <c r="L115" s="138">
        <f>(TaskTimings[End Time]-TaskTimings[Start Time])*1440</f>
        <v>143.99999999999997</v>
      </c>
      <c r="M115" s="138" t="str">
        <f>TEXT(TaskTimings[End Time]-TaskTimings[Start Time],"HH:mm")</f>
        <v>02:24</v>
      </c>
      <c r="N115" s="138">
        <f>SUMIFS(TaskTimings[Total Minutes],TaskTimings[Date],TaskTimings[Date],TaskTimings[Employee],TaskTimings[Employee])</f>
        <v>143.99999999999997</v>
      </c>
      <c r="O115" s="138" t="str">
        <f>TEXT(TaskTimings[Day Total Minutes]/1440,"HH:mm")</f>
        <v>02:24</v>
      </c>
      <c r="P115" s="134" t="str">
        <f>TaskTimings[PRJ]</f>
        <v>TEEBPD</v>
      </c>
      <c r="Q115" s="134" t="str">
        <f>TaskTimings[TSK]</f>
        <v>Table syncing</v>
      </c>
    </row>
    <row r="116" spans="1:17" x14ac:dyDescent="0.25">
      <c r="A116" s="133">
        <f t="shared" ref="A116:A126" si="11">IFERROR($A115+1,1)</f>
        <v>113</v>
      </c>
      <c r="B116" s="134" t="str">
        <f>VLOOKUP(TaskTimings[Task],ProjectTasks[[TaskProjectCode]:[TSK]],2,0)</f>
        <v>TEEBPD</v>
      </c>
      <c r="C116" s="134" t="str">
        <f>VLOOKUP(TaskTimings[Task],ProjectTasks[[TaskProjectCode]:[TSK]],3,0)</f>
        <v>Table syncing</v>
      </c>
      <c r="D116" s="134" t="str">
        <f>TaskTimings[Employee]&amp;"/"&amp;TaskTimings[Date]</f>
        <v>Vishnu/43521</v>
      </c>
      <c r="E116" s="134">
        <f>COUNTIF($D$1:TaskTimings[[#This Row],[EmployeeDate]],TaskTimings[[#This Row],[EmployeeDate]])</f>
        <v>1</v>
      </c>
      <c r="F116" s="134" t="str">
        <f>TaskTimings[[#This Row],[EmployeeDate]]&amp;"/"&amp;TaskTimings[[#This Row],[EmployeeDateSeq]]</f>
        <v>Vishnu/43521/1</v>
      </c>
      <c r="G116" s="135" t="s">
        <v>101</v>
      </c>
      <c r="H116" s="135" t="s">
        <v>17</v>
      </c>
      <c r="I116" s="136">
        <v>43521</v>
      </c>
      <c r="J116" s="137">
        <v>0.41666666666666669</v>
      </c>
      <c r="K116" s="139">
        <v>0.5625</v>
      </c>
      <c r="L116" s="138">
        <f>(TaskTimings[End Time]-TaskTimings[Start Time])*1440</f>
        <v>209.99999999999997</v>
      </c>
      <c r="M116" s="138" t="str">
        <f>TEXT(TaskTimings[End Time]-TaskTimings[Start Time],"HH:mm")</f>
        <v>03:30</v>
      </c>
      <c r="N116" s="138">
        <f>SUMIFS(TaskTimings[Total Minutes],TaskTimings[Date],TaskTimings[Date],TaskTimings[Employee],TaskTimings[Employee])</f>
        <v>209.99999999999997</v>
      </c>
      <c r="O116" s="138" t="str">
        <f>TEXT(TaskTimings[Day Total Minutes]/1440,"HH:mm")</f>
        <v>03:30</v>
      </c>
      <c r="P116" s="134" t="str">
        <f>TaskTimings[PRJ]</f>
        <v>TEEBPD</v>
      </c>
      <c r="Q116" s="134" t="str">
        <f>TaskTimings[TSK]</f>
        <v>Table syncing</v>
      </c>
    </row>
    <row r="117" spans="1:17" x14ac:dyDescent="0.25">
      <c r="A117" s="133">
        <f t="shared" si="11"/>
        <v>114</v>
      </c>
      <c r="B117" s="134" t="str">
        <f>VLOOKUP(TaskTimings[Task],ProjectTasks[[TaskProjectCode]:[TSK]],2,0)</f>
        <v>TEEBPD</v>
      </c>
      <c r="C117" s="134" t="str">
        <f>VLOOKUP(TaskTimings[Task],ProjectTasks[[TaskProjectCode]:[TSK]],3,0)</f>
        <v>Table syncing</v>
      </c>
      <c r="D117" s="134" t="str">
        <f>TaskTimings[Employee]&amp;"/"&amp;TaskTimings[Date]</f>
        <v>Vishnu/43522</v>
      </c>
      <c r="E117" s="134">
        <f>COUNTIF($D$1:TaskTimings[[#This Row],[EmployeeDate]],TaskTimings[[#This Row],[EmployeeDate]])</f>
        <v>1</v>
      </c>
      <c r="F117" s="134" t="str">
        <f>TaskTimings[[#This Row],[EmployeeDate]]&amp;"/"&amp;TaskTimings[[#This Row],[EmployeeDateSeq]]</f>
        <v>Vishnu/43522/1</v>
      </c>
      <c r="G117" s="135" t="s">
        <v>101</v>
      </c>
      <c r="H117" s="135" t="s">
        <v>17</v>
      </c>
      <c r="I117" s="136">
        <v>43522</v>
      </c>
      <c r="J117" s="137">
        <v>0.5</v>
      </c>
      <c r="K117" s="139">
        <v>0.66666666666666663</v>
      </c>
      <c r="L117" s="138">
        <f>(TaskTimings[End Time]-TaskTimings[Start Time])*1440</f>
        <v>239.99999999999994</v>
      </c>
      <c r="M117" s="138" t="str">
        <f>TEXT(TaskTimings[End Time]-TaskTimings[Start Time],"HH:mm")</f>
        <v>04:00</v>
      </c>
      <c r="N117" s="138">
        <f>SUMIFS(TaskTimings[Total Minutes],TaskTimings[Date],TaskTimings[Date],TaskTimings[Employee],TaskTimings[Employee])</f>
        <v>239.99999999999994</v>
      </c>
      <c r="O117" s="138" t="str">
        <f>TEXT(TaskTimings[Day Total Minutes]/1440,"HH:mm")</f>
        <v>04:00</v>
      </c>
      <c r="P117" s="134" t="str">
        <f>TaskTimings[PRJ]</f>
        <v>TEEBPD</v>
      </c>
      <c r="Q117" s="134" t="str">
        <f>TaskTimings[TSK]</f>
        <v>Table syncing</v>
      </c>
    </row>
    <row r="118" spans="1:17" x14ac:dyDescent="0.25">
      <c r="A118" s="133">
        <f t="shared" si="11"/>
        <v>115</v>
      </c>
      <c r="B118" s="134" t="str">
        <f>VLOOKUP(TaskTimings[Task],ProjectTasks[[TaskProjectCode]:[TSK]],2,0)</f>
        <v>TEEBPD</v>
      </c>
      <c r="C118" s="134" t="str">
        <f>VLOOKUP(TaskTimings[Task],ProjectTasks[[TaskProjectCode]:[TSK]],3,0)</f>
        <v>Table syncing</v>
      </c>
      <c r="D118" s="134" t="str">
        <f>TaskTimings[Employee]&amp;"/"&amp;TaskTimings[Date]</f>
        <v>Vishnu/43523</v>
      </c>
      <c r="E118" s="134">
        <f>COUNTIF($D$1:TaskTimings[[#This Row],[EmployeeDate]],TaskTimings[[#This Row],[EmployeeDate]])</f>
        <v>1</v>
      </c>
      <c r="F118" s="134" t="str">
        <f>TaskTimings[[#This Row],[EmployeeDate]]&amp;"/"&amp;TaskTimings[[#This Row],[EmployeeDateSeq]]</f>
        <v>Vishnu/43523/1</v>
      </c>
      <c r="G118" s="135" t="s">
        <v>101</v>
      </c>
      <c r="H118" s="1" t="s">
        <v>17</v>
      </c>
      <c r="I118" s="136">
        <v>43523</v>
      </c>
      <c r="J118" s="137">
        <v>0.39583333333333331</v>
      </c>
      <c r="K118" s="93">
        <v>0.54166666666666663</v>
      </c>
      <c r="L118" s="138">
        <f>(TaskTimings[End Time]-TaskTimings[Start Time])*1440</f>
        <v>209.99999999999997</v>
      </c>
      <c r="M118" s="138" t="str">
        <f>TEXT(TaskTimings[End Time]-TaskTimings[Start Time],"HH:mm")</f>
        <v>03:30</v>
      </c>
      <c r="N118" s="138">
        <f>SUMIFS(TaskTimings[Total Minutes],TaskTimings[Date],TaskTimings[Date],TaskTimings[Employee],TaskTimings[Employee])</f>
        <v>300</v>
      </c>
      <c r="O118" s="138" t="str">
        <f>TEXT(TaskTimings[Day Total Minutes]/1440,"HH:mm")</f>
        <v>05:00</v>
      </c>
      <c r="P118" s="134" t="str">
        <f>TaskTimings[PRJ]</f>
        <v>TEEBPD</v>
      </c>
      <c r="Q118" s="134" t="str">
        <f>TaskTimings[TSK]</f>
        <v>Table syncing</v>
      </c>
    </row>
    <row r="119" spans="1:17" x14ac:dyDescent="0.25">
      <c r="A119" s="5">
        <f t="shared" si="11"/>
        <v>116</v>
      </c>
      <c r="B119" s="10" t="str">
        <f>VLOOKUP(TaskTimings[Task],ProjectTasks[[TaskProjectCode]:[TSK]],2,0)</f>
        <v>TEEBPD</v>
      </c>
      <c r="C119" s="10" t="str">
        <f>VLOOKUP(TaskTimings[Task],ProjectTasks[[TaskProjectCode]:[TSK]],3,0)</f>
        <v>Table syncing</v>
      </c>
      <c r="D119" s="10" t="str">
        <f>TaskTimings[Employee]&amp;"/"&amp;TaskTimings[Date]</f>
        <v>Vishnu/43523</v>
      </c>
      <c r="E119" s="10">
        <f>COUNTIF($D$1:TaskTimings[[#This Row],[EmployeeDate]],TaskTimings[[#This Row],[EmployeeDate]])</f>
        <v>2</v>
      </c>
      <c r="F119" s="10" t="str">
        <f>TaskTimings[[#This Row],[EmployeeDate]]&amp;"/"&amp;TaskTimings[[#This Row],[EmployeeDateSeq]]</f>
        <v>Vishnu/43523/2</v>
      </c>
      <c r="G119" s="1" t="s">
        <v>101</v>
      </c>
      <c r="H119" s="1" t="s">
        <v>17</v>
      </c>
      <c r="I119" s="136">
        <v>43523</v>
      </c>
      <c r="J119" s="124">
        <v>0.58333333333333337</v>
      </c>
      <c r="K119" s="93">
        <v>0.64583333333333337</v>
      </c>
      <c r="L119" s="2">
        <f>(TaskTimings[End Time]-TaskTimings[Start Time])*1440</f>
        <v>90</v>
      </c>
      <c r="M119" s="2" t="str">
        <f>TEXT(TaskTimings[End Time]-TaskTimings[Start Time],"HH:mm")</f>
        <v>01:30</v>
      </c>
      <c r="N119" s="2">
        <f>SUMIFS(TaskTimings[Total Minutes],TaskTimings[Date],TaskTimings[Date],TaskTimings[Employee],TaskTimings[Employee])</f>
        <v>300</v>
      </c>
      <c r="O119" s="2" t="str">
        <f>TEXT(TaskTimings[Day Total Minutes]/1440,"HH:mm")</f>
        <v>05:00</v>
      </c>
      <c r="P119" s="10" t="str">
        <f>TaskTimings[PRJ]</f>
        <v>TEEBPD</v>
      </c>
      <c r="Q119" s="10" t="str">
        <f>TaskTimings[TSK]</f>
        <v>Table syncing</v>
      </c>
    </row>
    <row r="120" spans="1:17" x14ac:dyDescent="0.25">
      <c r="A120" s="5">
        <f t="shared" si="11"/>
        <v>117</v>
      </c>
      <c r="B120" s="10" t="str">
        <f>VLOOKUP(TaskTimings[Task],ProjectTasks[[TaskProjectCode]:[TSK]],2,0)</f>
        <v>TEEBPD</v>
      </c>
      <c r="C120" s="10" t="str">
        <f>VLOOKUP(TaskTimings[Task],ProjectTasks[[TaskProjectCode]:[TSK]],3,0)</f>
        <v>Table syncing</v>
      </c>
      <c r="D120" s="10" t="str">
        <f>TaskTimings[Employee]&amp;"/"&amp;TaskTimings[Date]</f>
        <v>Vishnu/43524</v>
      </c>
      <c r="E120" s="10">
        <f>COUNTIF($D$1:TaskTimings[[#This Row],[EmployeeDate]],TaskTimings[[#This Row],[EmployeeDate]])</f>
        <v>1</v>
      </c>
      <c r="F120" s="10" t="str">
        <f>TaskTimings[[#This Row],[EmployeeDate]]&amp;"/"&amp;TaskTimings[[#This Row],[EmployeeDateSeq]]</f>
        <v>Vishnu/43524/1</v>
      </c>
      <c r="G120" s="1" t="s">
        <v>101</v>
      </c>
      <c r="H120" s="1" t="s">
        <v>17</v>
      </c>
      <c r="I120" s="136">
        <v>43524</v>
      </c>
      <c r="J120" s="124">
        <v>0.47916666666666669</v>
      </c>
      <c r="K120" s="140">
        <v>0.70833333333333337</v>
      </c>
      <c r="L120" s="2">
        <f>(TaskTimings[End Time]-TaskTimings[Start Time])*1440</f>
        <v>330</v>
      </c>
      <c r="M120" s="2" t="str">
        <f>TEXT(TaskTimings[End Time]-TaskTimings[Start Time],"HH:mm")</f>
        <v>05:30</v>
      </c>
      <c r="N120" s="2">
        <f>SUMIFS(TaskTimings[Total Minutes],TaskTimings[Date],TaskTimings[Date],TaskTimings[Employee],TaskTimings[Employee])</f>
        <v>330</v>
      </c>
      <c r="O120" s="2" t="str">
        <f>TEXT(TaskTimings[Day Total Minutes]/1440,"HH:mm")</f>
        <v>05:30</v>
      </c>
      <c r="P120" s="10" t="str">
        <f>TaskTimings[PRJ]</f>
        <v>TEEBPD</v>
      </c>
      <c r="Q120" s="10" t="str">
        <f>TaskTimings[TSK]</f>
        <v>Table syncing</v>
      </c>
    </row>
    <row r="121" spans="1:17" x14ac:dyDescent="0.25">
      <c r="A121" s="5">
        <f t="shared" si="11"/>
        <v>118</v>
      </c>
      <c r="B121" s="10" t="str">
        <f>VLOOKUP(TaskTimings[Task],ProjectTasks[[TaskProjectCode]:[TSK]],2,0)</f>
        <v>TEEBPD</v>
      </c>
      <c r="C121" s="10" t="str">
        <f>VLOOKUP(TaskTimings[Task],ProjectTasks[[TaskProjectCode]:[TSK]],3,0)</f>
        <v>Table syncing</v>
      </c>
      <c r="D121" s="10" t="str">
        <f>TaskTimings[Employee]&amp;"/"&amp;TaskTimings[Date]</f>
        <v>Vishnu/43525</v>
      </c>
      <c r="E121" s="10">
        <f>COUNTIF($D$1:TaskTimings[[#This Row],[EmployeeDate]],TaskTimings[[#This Row],[EmployeeDate]])</f>
        <v>1</v>
      </c>
      <c r="F121" s="10" t="str">
        <f>TaskTimings[[#This Row],[EmployeeDate]]&amp;"/"&amp;TaskTimings[[#This Row],[EmployeeDateSeq]]</f>
        <v>Vishnu/43525/1</v>
      </c>
      <c r="G121" s="1" t="s">
        <v>101</v>
      </c>
      <c r="H121" s="1" t="s">
        <v>17</v>
      </c>
      <c r="I121" s="8">
        <v>43525</v>
      </c>
      <c r="J121" s="124">
        <v>0.41666666666666669</v>
      </c>
      <c r="K121" s="93">
        <v>0.64583333333333337</v>
      </c>
      <c r="L121" s="2">
        <f>(TaskTimings[End Time]-TaskTimings[Start Time])*1440</f>
        <v>330</v>
      </c>
      <c r="M121" s="2" t="str">
        <f>TEXT(TaskTimings[End Time]-TaskTimings[Start Time],"HH:mm")</f>
        <v>05:30</v>
      </c>
      <c r="N121" s="2">
        <f>SUMIFS(TaskTimings[Total Minutes],TaskTimings[Date],TaskTimings[Date],TaskTimings[Employee],TaskTimings[Employee])</f>
        <v>330</v>
      </c>
      <c r="O121" s="2" t="str">
        <f>TEXT(TaskTimings[Day Total Minutes]/1440,"HH:mm")</f>
        <v>05:30</v>
      </c>
      <c r="P121" s="10" t="str">
        <f>TaskTimings[PRJ]</f>
        <v>TEEBPD</v>
      </c>
      <c r="Q121" s="10" t="str">
        <f>TaskTimings[TSK]</f>
        <v>Table syncing</v>
      </c>
    </row>
    <row r="122" spans="1:17" x14ac:dyDescent="0.25">
      <c r="A122" s="5">
        <f t="shared" si="11"/>
        <v>119</v>
      </c>
      <c r="B122" s="10" t="str">
        <f>VLOOKUP(TaskTimings[Task],ProjectTasks[[TaskProjectCode]:[TSK]],2,0)</f>
        <v>TEEBPD</v>
      </c>
      <c r="C122" s="10" t="str">
        <f>VLOOKUP(TaskTimings[Task],ProjectTasks[[TaskProjectCode]:[TSK]],3,0)</f>
        <v>Table syncing</v>
      </c>
      <c r="D122" s="10" t="str">
        <f>TaskTimings[Employee]&amp;"/"&amp;TaskTimings[Date]</f>
        <v>Vishnu/43526</v>
      </c>
      <c r="E122" s="10">
        <f>COUNTIF($D$1:TaskTimings[[#This Row],[EmployeeDate]],TaskTimings[[#This Row],[EmployeeDate]])</f>
        <v>1</v>
      </c>
      <c r="F122" s="10" t="str">
        <f>TaskTimings[[#This Row],[EmployeeDate]]&amp;"/"&amp;TaskTimings[[#This Row],[EmployeeDateSeq]]</f>
        <v>Vishnu/43526/1</v>
      </c>
      <c r="G122" s="1" t="s">
        <v>101</v>
      </c>
      <c r="H122" s="1" t="s">
        <v>17</v>
      </c>
      <c r="I122" s="8">
        <v>43526</v>
      </c>
      <c r="J122" s="124">
        <v>0.41666666666666669</v>
      </c>
      <c r="K122" s="93">
        <v>0.58333333333333337</v>
      </c>
      <c r="L122" s="2">
        <f>(TaskTimings[End Time]-TaskTimings[Start Time])*1440</f>
        <v>240.00000000000003</v>
      </c>
      <c r="M122" s="2" t="str">
        <f>TEXT(TaskTimings[End Time]-TaskTimings[Start Time],"HH:mm")</f>
        <v>04:00</v>
      </c>
      <c r="N122" s="2">
        <f>SUMIFS(TaskTimings[Total Minutes],TaskTimings[Date],TaskTimings[Date],TaskTimings[Employee],TaskTimings[Employee])</f>
        <v>240.00000000000003</v>
      </c>
      <c r="O122" s="2" t="str">
        <f>TEXT(TaskTimings[Day Total Minutes]/1440,"HH:mm")</f>
        <v>04:00</v>
      </c>
      <c r="P122" s="10" t="str">
        <f>TaskTimings[PRJ]</f>
        <v>TEEBPD</v>
      </c>
      <c r="Q122" s="10" t="str">
        <f>TaskTimings[TSK]</f>
        <v>Table syncing</v>
      </c>
    </row>
    <row r="123" spans="1:17" x14ac:dyDescent="0.25">
      <c r="A123" s="5">
        <f t="shared" si="11"/>
        <v>120</v>
      </c>
      <c r="B123" s="10" t="str">
        <f>VLOOKUP(TaskTimings[Task],ProjectTasks[[TaskProjectCode]:[TSK]],2,0)</f>
        <v>TEEBPD</v>
      </c>
      <c r="C123" s="10" t="str">
        <f>VLOOKUP(TaskTimings[Task],ProjectTasks[[TaskProjectCode]:[TSK]],3,0)</f>
        <v>Table syncing</v>
      </c>
      <c r="D123" s="10" t="str">
        <f>TaskTimings[Employee]&amp;"/"&amp;TaskTimings[Date]</f>
        <v>Vishnu/43529</v>
      </c>
      <c r="E123" s="10">
        <f>COUNTIF($D$1:TaskTimings[[#This Row],[EmployeeDate]],TaskTimings[[#This Row],[EmployeeDate]])</f>
        <v>1</v>
      </c>
      <c r="F123" s="10" t="str">
        <f>TaskTimings[[#This Row],[EmployeeDate]]&amp;"/"&amp;TaskTimings[[#This Row],[EmployeeDateSeq]]</f>
        <v>Vishnu/43529/1</v>
      </c>
      <c r="G123" s="1" t="s">
        <v>101</v>
      </c>
      <c r="H123" s="1" t="s">
        <v>17</v>
      </c>
      <c r="I123" s="8">
        <v>43529</v>
      </c>
      <c r="J123" s="124">
        <v>0.39583333333333331</v>
      </c>
      <c r="K123" s="93">
        <v>0.5</v>
      </c>
      <c r="L123" s="2">
        <f>(TaskTimings[End Time]-TaskTimings[Start Time])*1440</f>
        <v>150.00000000000003</v>
      </c>
      <c r="M123" s="2" t="str">
        <f>TEXT(TaskTimings[End Time]-TaskTimings[Start Time],"HH:mm")</f>
        <v>02:30</v>
      </c>
      <c r="N123" s="2">
        <f>SUMIFS(TaskTimings[Total Minutes],TaskTimings[Date],TaskTimings[Date],TaskTimings[Employee],TaskTimings[Employee])</f>
        <v>270.00000000000011</v>
      </c>
      <c r="O123" s="2" t="str">
        <f>TEXT(TaskTimings[Day Total Minutes]/1440,"HH:mm")</f>
        <v>04:30</v>
      </c>
      <c r="P123" s="10" t="str">
        <f>TaskTimings[PRJ]</f>
        <v>TEEBPD</v>
      </c>
      <c r="Q123" s="10" t="str">
        <f>TaskTimings[TSK]</f>
        <v>Table syncing</v>
      </c>
    </row>
    <row r="124" spans="1:17" x14ac:dyDescent="0.25">
      <c r="A124" s="5">
        <f t="shared" si="11"/>
        <v>121</v>
      </c>
      <c r="B124" s="10" t="str">
        <f>VLOOKUP(TaskTimings[Task],ProjectTasks[[TaskProjectCode]:[TSK]],2,0)</f>
        <v>TEEBPD</v>
      </c>
      <c r="C124" s="10" t="str">
        <f>VLOOKUP(TaskTimings[Task],ProjectTasks[[TaskProjectCode]:[TSK]],3,0)</f>
        <v>Table syncing</v>
      </c>
      <c r="D124" s="10" t="str">
        <f>TaskTimings[Employee]&amp;"/"&amp;TaskTimings[Date]</f>
        <v>Vishnu/43529</v>
      </c>
      <c r="E124" s="10">
        <f>COUNTIF($D$1:TaskTimings[[#This Row],[EmployeeDate]],TaskTimings[[#This Row],[EmployeeDate]])</f>
        <v>2</v>
      </c>
      <c r="F124" s="10" t="str">
        <f>TaskTimings[[#This Row],[EmployeeDate]]&amp;"/"&amp;TaskTimings[[#This Row],[EmployeeDateSeq]]</f>
        <v>Vishnu/43529/2</v>
      </c>
      <c r="G124" s="1" t="s">
        <v>101</v>
      </c>
      <c r="H124" s="1" t="s">
        <v>17</v>
      </c>
      <c r="I124" s="8">
        <v>43529</v>
      </c>
      <c r="J124" s="124">
        <v>0.54166666666666663</v>
      </c>
      <c r="K124" s="140">
        <v>0.625</v>
      </c>
      <c r="L124" s="2">
        <f>(TaskTimings[End Time]-TaskTimings[Start Time])*1440</f>
        <v>120.00000000000006</v>
      </c>
      <c r="M124" s="2" t="str">
        <f>TEXT(TaskTimings[End Time]-TaskTimings[Start Time],"HH:mm")</f>
        <v>02:00</v>
      </c>
      <c r="N124" s="2">
        <f>SUMIFS(TaskTimings[Total Minutes],TaskTimings[Date],TaskTimings[Date],TaskTimings[Employee],TaskTimings[Employee])</f>
        <v>270.00000000000011</v>
      </c>
      <c r="O124" s="2" t="str">
        <f>TEXT(TaskTimings[Day Total Minutes]/1440,"HH:mm")</f>
        <v>04:30</v>
      </c>
      <c r="P124" s="10" t="str">
        <f>TaskTimings[PRJ]</f>
        <v>TEEBPD</v>
      </c>
      <c r="Q124" s="10" t="str">
        <f>TaskTimings[TSK]</f>
        <v>Table syncing</v>
      </c>
    </row>
    <row r="125" spans="1:17" x14ac:dyDescent="0.25">
      <c r="A125" s="5">
        <f t="shared" si="11"/>
        <v>122</v>
      </c>
      <c r="B125" s="10" t="str">
        <f>VLOOKUP(TaskTimings[Task],ProjectTasks[[TaskProjectCode]:[TSK]],2,0)</f>
        <v>TEEBPD</v>
      </c>
      <c r="C125" s="10" t="str">
        <f>VLOOKUP(TaskTimings[Task],ProjectTasks[[TaskProjectCode]:[TSK]],3,0)</f>
        <v>Table syncing</v>
      </c>
      <c r="D125" s="10" t="str">
        <f>TaskTimings[Employee]&amp;"/"&amp;TaskTimings[Date]</f>
        <v>Vishnu/43530</v>
      </c>
      <c r="E125" s="10">
        <f>COUNTIF($D$1:TaskTimings[[#This Row],[EmployeeDate]],TaskTimings[[#This Row],[EmployeeDate]])</f>
        <v>1</v>
      </c>
      <c r="F125" s="10" t="str">
        <f>TaskTimings[[#This Row],[EmployeeDate]]&amp;"/"&amp;TaskTimings[[#This Row],[EmployeeDateSeq]]</f>
        <v>Vishnu/43530/1</v>
      </c>
      <c r="G125" s="1" t="s">
        <v>101</v>
      </c>
      <c r="H125" s="1" t="s">
        <v>17</v>
      </c>
      <c r="I125" s="8">
        <v>43530</v>
      </c>
      <c r="J125" s="124">
        <v>0.39583333333333331</v>
      </c>
      <c r="K125" s="93">
        <v>0.58333333333333337</v>
      </c>
      <c r="L125" s="2">
        <f>(TaskTimings[End Time]-TaskTimings[Start Time])*1440</f>
        <v>270.00000000000006</v>
      </c>
      <c r="M125" s="2" t="str">
        <f>TEXT(TaskTimings[End Time]-TaskTimings[Start Time],"HH:mm")</f>
        <v>04:30</v>
      </c>
      <c r="N125" s="2">
        <f>SUMIFS(TaskTimings[Total Minutes],TaskTimings[Date],TaskTimings[Date],TaskTimings[Employee],TaskTimings[Employee])</f>
        <v>270.00000000000006</v>
      </c>
      <c r="O125" s="2" t="str">
        <f>TEXT(TaskTimings[Day Total Minutes]/1440,"HH:mm")</f>
        <v>04:30</v>
      </c>
      <c r="P125" s="10" t="str">
        <f>TaskTimings[PRJ]</f>
        <v>TEEBPD</v>
      </c>
      <c r="Q125" s="10" t="str">
        <f>TaskTimings[TSK]</f>
        <v>Table syncing</v>
      </c>
    </row>
    <row r="126" spans="1:17" x14ac:dyDescent="0.25">
      <c r="A126" s="5">
        <f t="shared" si="11"/>
        <v>123</v>
      </c>
      <c r="B126" s="134" t="str">
        <f>VLOOKUP(TaskTimings[Task],ProjectTasks[[TaskProjectCode]:[TSK]],2,0)</f>
        <v>AMC</v>
      </c>
      <c r="C126" s="134" t="str">
        <f>VLOOKUP(TaskTimings[Task],ProjectTasks[[TaskProjectCode]:[TSK]],3,0)</f>
        <v>Documentation</v>
      </c>
      <c r="D126" s="134" t="str">
        <f>TaskTimings[Employee]&amp;"/"&amp;TaskTimings[Date]</f>
        <v>Aswathy/43521</v>
      </c>
      <c r="E126" s="134">
        <f>COUNTIF($D$1:TaskTimings[[#This Row],[EmployeeDate]],TaskTimings[[#This Row],[EmployeeDate]])</f>
        <v>1</v>
      </c>
      <c r="F126" s="134" t="str">
        <f>TaskTimings[[#This Row],[EmployeeDate]]&amp;"/"&amp;TaskTimings[[#This Row],[EmployeeDateSeq]]</f>
        <v>Aswathy/43521/1</v>
      </c>
      <c r="G126" s="135" t="s">
        <v>108</v>
      </c>
      <c r="H126" s="135" t="s">
        <v>54</v>
      </c>
      <c r="I126" s="136">
        <v>43521</v>
      </c>
      <c r="J126" s="137">
        <v>0.39583333333333331</v>
      </c>
      <c r="K126" s="139">
        <v>0.47916666666666669</v>
      </c>
      <c r="L126" s="138">
        <f>(TaskTimings[End Time]-TaskTimings[Start Time])*1440</f>
        <v>120.00000000000006</v>
      </c>
      <c r="M126" s="138" t="str">
        <f>TEXT(TaskTimings[End Time]-TaskTimings[Start Time],"HH:mm")</f>
        <v>02:00</v>
      </c>
      <c r="N126" s="138">
        <f>SUMIFS(TaskTimings[Total Minutes],TaskTimings[Date],TaskTimings[Date],TaskTimings[Employee],TaskTimings[Employee])</f>
        <v>120.00000000000006</v>
      </c>
      <c r="O126" s="138" t="str">
        <f>TEXT(TaskTimings[Day Total Minutes]/1440,"HH:mm")</f>
        <v>02:00</v>
      </c>
      <c r="P126" s="134" t="str">
        <f>TaskTimings[PRJ]</f>
        <v>AMC</v>
      </c>
      <c r="Q126" s="134" t="str">
        <f>TaskTimings[TSK]</f>
        <v>Documentation</v>
      </c>
    </row>
    <row r="127" spans="1:17" x14ac:dyDescent="0.25">
      <c r="A127" s="133">
        <f t="shared" ref="A127:A138" si="12">IFERROR($A126+1,1)</f>
        <v>124</v>
      </c>
      <c r="B127" s="134" t="str">
        <f>VLOOKUP(TaskTimings[Task],ProjectTasks[[TaskProjectCode]:[TSK]],2,0)</f>
        <v>AMC</v>
      </c>
      <c r="C127" s="134" t="str">
        <f>VLOOKUP(TaskTimings[Task],ProjectTasks[[TaskProjectCode]:[TSK]],3,0)</f>
        <v>Documentation</v>
      </c>
      <c r="D127" s="134" t="str">
        <f>TaskTimings[Employee]&amp;"/"&amp;TaskTimings[Date]</f>
        <v>Aswathy/43522</v>
      </c>
      <c r="E127" s="134">
        <f>COUNTIF($D$1:TaskTimings[[#This Row],[EmployeeDate]],TaskTimings[[#This Row],[EmployeeDate]])</f>
        <v>1</v>
      </c>
      <c r="F127" s="134" t="str">
        <f>TaskTimings[[#This Row],[EmployeeDate]]&amp;"/"&amp;TaskTimings[[#This Row],[EmployeeDateSeq]]</f>
        <v>Aswathy/43522/1</v>
      </c>
      <c r="G127" s="135" t="s">
        <v>108</v>
      </c>
      <c r="H127" s="135" t="s">
        <v>54</v>
      </c>
      <c r="I127" s="136">
        <v>43522</v>
      </c>
      <c r="J127" s="137">
        <v>0.39583333333333331</v>
      </c>
      <c r="K127" s="139">
        <v>0.4375</v>
      </c>
      <c r="L127" s="138">
        <f>(TaskTimings[End Time]-TaskTimings[Start Time])*1440</f>
        <v>60.000000000000028</v>
      </c>
      <c r="M127" s="138" t="str">
        <f>TEXT(TaskTimings[End Time]-TaskTimings[Start Time],"HH:mm")</f>
        <v>01:00</v>
      </c>
      <c r="N127" s="138">
        <f>SUMIFS(TaskTimings[Total Minutes],TaskTimings[Date],TaskTimings[Date],TaskTimings[Employee],TaskTimings[Employee])</f>
        <v>60.000000000000028</v>
      </c>
      <c r="O127" s="138" t="str">
        <f>TEXT(TaskTimings[Day Total Minutes]/1440,"HH:mm")</f>
        <v>01:00</v>
      </c>
      <c r="P127" s="134" t="str">
        <f>TaskTimings[PRJ]</f>
        <v>AMC</v>
      </c>
      <c r="Q127" s="134" t="str">
        <f>TaskTimings[TSK]</f>
        <v>Documentation</v>
      </c>
    </row>
    <row r="128" spans="1:17" x14ac:dyDescent="0.25">
      <c r="A128" s="133">
        <f t="shared" si="12"/>
        <v>125</v>
      </c>
      <c r="B128" s="134" t="str">
        <f>VLOOKUP(TaskTimings[Task],ProjectTasks[[TaskProjectCode]:[TSK]],2,0)</f>
        <v>TEEBPD</v>
      </c>
      <c r="C128" s="134" t="str">
        <f>VLOOKUP(TaskTimings[Task],ProjectTasks[[TaskProjectCode]:[TSK]],3,0)</f>
        <v>Table syncing</v>
      </c>
      <c r="D128" s="134" t="str">
        <f>TaskTimings[Employee]&amp;"/"&amp;TaskTimings[Date]</f>
        <v>Vishnu/43531</v>
      </c>
      <c r="E128" s="134">
        <f>COUNTIF($D$1:TaskTimings[[#This Row],[EmployeeDate]],TaskTimings[[#This Row],[EmployeeDate]])</f>
        <v>1</v>
      </c>
      <c r="F128" s="134" t="str">
        <f>TaskTimings[[#This Row],[EmployeeDate]]&amp;"/"&amp;TaskTimings[[#This Row],[EmployeeDateSeq]]</f>
        <v>Vishnu/43531/1</v>
      </c>
      <c r="G128" s="135" t="s">
        <v>101</v>
      </c>
      <c r="H128" s="135" t="s">
        <v>17</v>
      </c>
      <c r="I128" s="136">
        <v>43531</v>
      </c>
      <c r="J128" s="137">
        <v>0.41666666666666669</v>
      </c>
      <c r="K128" s="139">
        <v>0.625</v>
      </c>
      <c r="L128" s="138">
        <f>(TaskTimings[End Time]-TaskTimings[Start Time])*1440</f>
        <v>300</v>
      </c>
      <c r="M128" s="138" t="str">
        <f>TEXT(TaskTimings[End Time]-TaskTimings[Start Time],"HH:mm")</f>
        <v>05:00</v>
      </c>
      <c r="N128" s="138">
        <f>SUMIFS(TaskTimings[Total Minutes],TaskTimings[Date],TaskTimings[Date],TaskTimings[Employee],TaskTimings[Employee])</f>
        <v>300</v>
      </c>
      <c r="O128" s="138" t="str">
        <f>TEXT(TaskTimings[Day Total Minutes]/1440,"HH:mm")</f>
        <v>05:00</v>
      </c>
      <c r="P128" s="134" t="str">
        <f>TaskTimings[PRJ]</f>
        <v>TEEBPD</v>
      </c>
      <c r="Q128" s="134" t="str">
        <f>TaskTimings[TSK]</f>
        <v>Table syncing</v>
      </c>
    </row>
    <row r="129" spans="1:17" x14ac:dyDescent="0.25">
      <c r="A129" s="133">
        <f t="shared" si="12"/>
        <v>126</v>
      </c>
      <c r="B129" s="134" t="str">
        <f>VLOOKUP(TaskTimings[Task],ProjectTasks[[TaskProjectCode]:[TSK]],2,0)</f>
        <v>TEEBPD</v>
      </c>
      <c r="C129" s="134" t="str">
        <f>VLOOKUP(TaskTimings[Task],ProjectTasks[[TaskProjectCode]:[TSK]],3,0)</f>
        <v>Table syncing</v>
      </c>
      <c r="D129" s="134" t="str">
        <f>TaskTimings[Employee]&amp;"/"&amp;TaskTimings[Date]</f>
        <v>Vishnu/43532</v>
      </c>
      <c r="E129" s="134">
        <f>COUNTIF($D$1:TaskTimings[[#This Row],[EmployeeDate]],TaskTimings[[#This Row],[EmployeeDate]])</f>
        <v>1</v>
      </c>
      <c r="F129" s="134" t="str">
        <f>TaskTimings[[#This Row],[EmployeeDate]]&amp;"/"&amp;TaskTimings[[#This Row],[EmployeeDateSeq]]</f>
        <v>Vishnu/43532/1</v>
      </c>
      <c r="G129" s="135" t="s">
        <v>101</v>
      </c>
      <c r="H129" s="135" t="s">
        <v>17</v>
      </c>
      <c r="I129" s="136">
        <v>43532</v>
      </c>
      <c r="J129" s="137">
        <v>0.39583333333333331</v>
      </c>
      <c r="K129" s="139">
        <v>0.60416666666666663</v>
      </c>
      <c r="L129" s="138">
        <f>(TaskTimings[End Time]-TaskTimings[Start Time])*1440</f>
        <v>300</v>
      </c>
      <c r="M129" s="138" t="str">
        <f>TEXT(TaskTimings[End Time]-TaskTimings[Start Time],"HH:mm")</f>
        <v>05:00</v>
      </c>
      <c r="N129" s="138">
        <f>SUMIFS(TaskTimings[Total Minutes],TaskTimings[Date],TaskTimings[Date],TaskTimings[Employee],TaskTimings[Employee])</f>
        <v>300</v>
      </c>
      <c r="O129" s="138" t="str">
        <f>TEXT(TaskTimings[Day Total Minutes]/1440,"HH:mm")</f>
        <v>05:00</v>
      </c>
      <c r="P129" s="134" t="str">
        <f>TaskTimings[PRJ]</f>
        <v>TEEBPD</v>
      </c>
      <c r="Q129" s="134" t="str">
        <f>TaskTimings[TSK]</f>
        <v>Table syncing</v>
      </c>
    </row>
    <row r="130" spans="1:17" x14ac:dyDescent="0.25">
      <c r="A130" s="133">
        <f t="shared" si="12"/>
        <v>127</v>
      </c>
      <c r="B130" s="134" t="str">
        <f>VLOOKUP(TaskTimings[Task],ProjectTasks[[TaskProjectCode]:[TSK]],2,0)</f>
        <v>TEEBPD</v>
      </c>
      <c r="C130" s="134" t="str">
        <f>VLOOKUP(TaskTimings[Task],ProjectTasks[[TaskProjectCode]:[TSK]],3,0)</f>
        <v>Table syncing</v>
      </c>
      <c r="D130" s="134" t="str">
        <f>TaskTimings[Employee]&amp;"/"&amp;TaskTimings[Date]</f>
        <v>Vishnu/43533</v>
      </c>
      <c r="E130" s="134">
        <f>COUNTIF($D$1:TaskTimings[[#This Row],[EmployeeDate]],TaskTimings[[#This Row],[EmployeeDate]])</f>
        <v>1</v>
      </c>
      <c r="F130" s="134" t="str">
        <f>TaskTimings[[#This Row],[EmployeeDate]]&amp;"/"&amp;TaskTimings[[#This Row],[EmployeeDateSeq]]</f>
        <v>Vishnu/43533/1</v>
      </c>
      <c r="G130" s="135" t="s">
        <v>101</v>
      </c>
      <c r="H130" s="135" t="s">
        <v>17</v>
      </c>
      <c r="I130" s="136">
        <v>43533</v>
      </c>
      <c r="J130" s="137">
        <v>0.375</v>
      </c>
      <c r="K130" s="139">
        <v>0.64583333333333337</v>
      </c>
      <c r="L130" s="138">
        <f>(TaskTimings[End Time]-TaskTimings[Start Time])*1440</f>
        <v>390.00000000000006</v>
      </c>
      <c r="M130" s="138" t="str">
        <f>TEXT(TaskTimings[End Time]-TaskTimings[Start Time],"HH:mm")</f>
        <v>06:30</v>
      </c>
      <c r="N130" s="138">
        <f>SUMIFS(TaskTimings[Total Minutes],TaskTimings[Date],TaskTimings[Date],TaskTimings[Employee],TaskTimings[Employee])</f>
        <v>390.00000000000006</v>
      </c>
      <c r="O130" s="138" t="str">
        <f>TEXT(TaskTimings[Day Total Minutes]/1440,"HH:mm")</f>
        <v>06:30</v>
      </c>
      <c r="P130" s="134" t="str">
        <f>TaskTimings[PRJ]</f>
        <v>TEEBPD</v>
      </c>
      <c r="Q130" s="134" t="str">
        <f>TaskTimings[TSK]</f>
        <v>Table syncing</v>
      </c>
    </row>
    <row r="131" spans="1:17" x14ac:dyDescent="0.25">
      <c r="A131" s="133">
        <f t="shared" si="12"/>
        <v>128</v>
      </c>
      <c r="B131" s="134" t="str">
        <f>VLOOKUP(TaskTimings[Task],ProjectTasks[[TaskProjectCode]:[TSK]],2,0)</f>
        <v>TEEBPD</v>
      </c>
      <c r="C131" s="134" t="str">
        <f>VLOOKUP(TaskTimings[Task],ProjectTasks[[TaskProjectCode]:[TSK]],3,0)</f>
        <v>Table syncing</v>
      </c>
      <c r="D131" s="134" t="str">
        <f>TaskTimings[Employee]&amp;"/"&amp;TaskTimings[Date]</f>
        <v>Vishnu/43535</v>
      </c>
      <c r="E131" s="134">
        <f>COUNTIF($D$1:TaskTimings[[#This Row],[EmployeeDate]],TaskTimings[[#This Row],[EmployeeDate]])</f>
        <v>1</v>
      </c>
      <c r="F131" s="134" t="str">
        <f>TaskTimings[[#This Row],[EmployeeDate]]&amp;"/"&amp;TaskTimings[[#This Row],[EmployeeDateSeq]]</f>
        <v>Vishnu/43535/1</v>
      </c>
      <c r="G131" s="135" t="s">
        <v>101</v>
      </c>
      <c r="H131" s="135" t="s">
        <v>17</v>
      </c>
      <c r="I131" s="136">
        <v>43535</v>
      </c>
      <c r="J131" s="137">
        <v>0.39583333333333331</v>
      </c>
      <c r="K131" s="139">
        <v>0.54166666666666663</v>
      </c>
      <c r="L131" s="138">
        <f>(TaskTimings[End Time]-TaskTimings[Start Time])*1440</f>
        <v>209.99999999999997</v>
      </c>
      <c r="M131" s="138" t="str">
        <f>TEXT(TaskTimings[End Time]-TaskTimings[Start Time],"HH:mm")</f>
        <v>03:30</v>
      </c>
      <c r="N131" s="138">
        <f>SUMIFS(TaskTimings[Total Minutes],TaskTimings[Date],TaskTimings[Date],TaskTimings[Employee],TaskTimings[Employee])</f>
        <v>209.99999999999997</v>
      </c>
      <c r="O131" s="138" t="str">
        <f>TEXT(TaskTimings[Day Total Minutes]/1440,"HH:mm")</f>
        <v>03:30</v>
      </c>
      <c r="P131" s="134" t="str">
        <f>TaskTimings[PRJ]</f>
        <v>TEEBPD</v>
      </c>
      <c r="Q131" s="134" t="str">
        <f>TaskTimings[TSK]</f>
        <v>Table syncing</v>
      </c>
    </row>
    <row r="132" spans="1:17" x14ac:dyDescent="0.25">
      <c r="A132" s="133">
        <f t="shared" si="12"/>
        <v>129</v>
      </c>
      <c r="B132" s="134" t="str">
        <f>VLOOKUP(TaskTimings[Task],ProjectTasks[[TaskProjectCode]:[TSK]],2,0)</f>
        <v>TEEBPD</v>
      </c>
      <c r="C132" s="134" t="str">
        <f>VLOOKUP(TaskTimings[Task],ProjectTasks[[TaskProjectCode]:[TSK]],3,0)</f>
        <v>Table syncing</v>
      </c>
      <c r="D132" s="134" t="str">
        <f>TaskTimings[Employee]&amp;"/"&amp;TaskTimings[Date]</f>
        <v>Vishnu/43536</v>
      </c>
      <c r="E132" s="134">
        <f>COUNTIF($D$1:TaskTimings[[#This Row],[EmployeeDate]],TaskTimings[[#This Row],[EmployeeDate]])</f>
        <v>1</v>
      </c>
      <c r="F132" s="134" t="str">
        <f>TaskTimings[[#This Row],[EmployeeDate]]&amp;"/"&amp;TaskTimings[[#This Row],[EmployeeDateSeq]]</f>
        <v>Vishnu/43536/1</v>
      </c>
      <c r="G132" s="135" t="s">
        <v>101</v>
      </c>
      <c r="H132" s="135" t="s">
        <v>17</v>
      </c>
      <c r="I132" s="136">
        <v>43536</v>
      </c>
      <c r="J132" s="137">
        <v>0.41666666666666669</v>
      </c>
      <c r="K132" s="139">
        <v>0.66666666666666663</v>
      </c>
      <c r="L132" s="138">
        <f>(TaskTimings[End Time]-TaskTimings[Start Time])*1440</f>
        <v>359.99999999999994</v>
      </c>
      <c r="M132" s="138" t="str">
        <f>TEXT(TaskTimings[End Time]-TaskTimings[Start Time],"HH:mm")</f>
        <v>06:00</v>
      </c>
      <c r="N132" s="138">
        <f>SUMIFS(TaskTimings[Total Minutes],TaskTimings[Date],TaskTimings[Date],TaskTimings[Employee],TaskTimings[Employee])</f>
        <v>359.99999999999994</v>
      </c>
      <c r="O132" s="138" t="str">
        <f>TEXT(TaskTimings[Day Total Minutes]/1440,"HH:mm")</f>
        <v>06:00</v>
      </c>
      <c r="P132" s="134" t="str">
        <f>TaskTimings[PRJ]</f>
        <v>TEEBPD</v>
      </c>
      <c r="Q132" s="134" t="str">
        <f>TaskTimings[TSK]</f>
        <v>Table syncing</v>
      </c>
    </row>
    <row r="133" spans="1:17" x14ac:dyDescent="0.25">
      <c r="A133" s="133">
        <f t="shared" si="12"/>
        <v>130</v>
      </c>
      <c r="B133" s="134" t="str">
        <f>VLOOKUP(TaskTimings[Task],ProjectTasks[[TaskProjectCode]:[TSK]],2,0)</f>
        <v>TEEBPD</v>
      </c>
      <c r="C133" s="134" t="str">
        <f>VLOOKUP(TaskTimings[Task],ProjectTasks[[TaskProjectCode]:[TSK]],3,0)</f>
        <v>Table syncing</v>
      </c>
      <c r="D133" s="134" t="str">
        <f>TaskTimings[Employee]&amp;"/"&amp;TaskTimings[Date]</f>
        <v>Vishnu/43537</v>
      </c>
      <c r="E133" s="134">
        <f>COUNTIF($D$1:TaskTimings[[#This Row],[EmployeeDate]],TaskTimings[[#This Row],[EmployeeDate]])</f>
        <v>1</v>
      </c>
      <c r="F133" s="134" t="str">
        <f>TaskTimings[[#This Row],[EmployeeDate]]&amp;"/"&amp;TaskTimings[[#This Row],[EmployeeDateSeq]]</f>
        <v>Vishnu/43537/1</v>
      </c>
      <c r="G133" s="135" t="s">
        <v>101</v>
      </c>
      <c r="H133" s="135" t="s">
        <v>17</v>
      </c>
      <c r="I133" s="136">
        <v>43537</v>
      </c>
      <c r="J133" s="137">
        <v>0.41666666666666669</v>
      </c>
      <c r="K133" s="139">
        <v>0.625</v>
      </c>
      <c r="L133" s="138">
        <f>(TaskTimings[End Time]-TaskTimings[Start Time])*1440</f>
        <v>300</v>
      </c>
      <c r="M133" s="138" t="str">
        <f>TEXT(TaskTimings[End Time]-TaskTimings[Start Time],"HH:mm")</f>
        <v>05:00</v>
      </c>
      <c r="N133" s="138">
        <f>SUMIFS(TaskTimings[Total Minutes],TaskTimings[Date],TaskTimings[Date],TaskTimings[Employee],TaskTimings[Employee])</f>
        <v>300</v>
      </c>
      <c r="O133" s="138" t="str">
        <f>TEXT(TaskTimings[Day Total Minutes]/1440,"HH:mm")</f>
        <v>05:00</v>
      </c>
      <c r="P133" s="134" t="str">
        <f>TaskTimings[PRJ]</f>
        <v>TEEBPD</v>
      </c>
      <c r="Q133" s="134" t="str">
        <f>TaskTimings[TSK]</f>
        <v>Table syncing</v>
      </c>
    </row>
    <row r="134" spans="1:17" x14ac:dyDescent="0.25">
      <c r="A134" s="133">
        <f t="shared" si="12"/>
        <v>131</v>
      </c>
      <c r="B134" s="134" t="str">
        <f>VLOOKUP(TaskTimings[Task],ProjectTasks[[TaskProjectCode]:[TSK]],2,0)</f>
        <v>TEEBPD</v>
      </c>
      <c r="C134" s="134" t="str">
        <f>VLOOKUP(TaskTimings[Task],ProjectTasks[[TaskProjectCode]:[TSK]],3,0)</f>
        <v>Table syncing</v>
      </c>
      <c r="D134" s="134" t="str">
        <f>TaskTimings[Employee]&amp;"/"&amp;TaskTimings[Date]</f>
        <v>Vishnu/43538</v>
      </c>
      <c r="E134" s="134">
        <f>COUNTIF($D$1:TaskTimings[[#This Row],[EmployeeDate]],TaskTimings[[#This Row],[EmployeeDate]])</f>
        <v>1</v>
      </c>
      <c r="F134" s="134" t="str">
        <f>TaskTimings[[#This Row],[EmployeeDate]]&amp;"/"&amp;TaskTimings[[#This Row],[EmployeeDateSeq]]</f>
        <v>Vishnu/43538/1</v>
      </c>
      <c r="G134" s="135" t="s">
        <v>101</v>
      </c>
      <c r="H134" s="135" t="s">
        <v>17</v>
      </c>
      <c r="I134" s="136">
        <v>43538</v>
      </c>
      <c r="J134" s="137">
        <v>0.39583333333333331</v>
      </c>
      <c r="K134" s="139">
        <v>0.95833333333333337</v>
      </c>
      <c r="L134" s="138">
        <f>(TaskTimings[End Time]-TaskTimings[Start Time])*1440</f>
        <v>810</v>
      </c>
      <c r="M134" s="138" t="str">
        <f>TEXT(TaskTimings[End Time]-TaskTimings[Start Time],"HH:mm")</f>
        <v>13:30</v>
      </c>
      <c r="N134" s="138">
        <f>SUMIFS(TaskTimings[Total Minutes],TaskTimings[Date],TaskTimings[Date],TaskTimings[Employee],TaskTimings[Employee])</f>
        <v>900</v>
      </c>
      <c r="O134" s="138" t="str">
        <f>TEXT(TaskTimings[Day Total Minutes]/1440,"HH:mm")</f>
        <v>15:00</v>
      </c>
      <c r="P134" s="134" t="str">
        <f>TaskTimings[PRJ]</f>
        <v>TEEBPD</v>
      </c>
      <c r="Q134" s="134" t="str">
        <f>TaskTimings[TSK]</f>
        <v>Table syncing</v>
      </c>
    </row>
    <row r="135" spans="1:17" x14ac:dyDescent="0.25">
      <c r="A135" s="133">
        <f t="shared" si="12"/>
        <v>132</v>
      </c>
      <c r="B135" s="134" t="str">
        <f>VLOOKUP(TaskTimings[Task],ProjectTasks[[TaskProjectCode]:[TSK]],2,0)</f>
        <v>TEEBPD</v>
      </c>
      <c r="C135" s="134" t="str">
        <f>VLOOKUP(TaskTimings[Task],ProjectTasks[[TaskProjectCode]:[TSK]],3,0)</f>
        <v>Table syncing</v>
      </c>
      <c r="D135" s="134" t="str">
        <f>TaskTimings[Employee]&amp;"/"&amp;TaskTimings[Date]</f>
        <v>Vishnu/43538</v>
      </c>
      <c r="E135" s="134">
        <f>COUNTIF($D$1:TaskTimings[[#This Row],[EmployeeDate]],TaskTimings[[#This Row],[EmployeeDate]])</f>
        <v>2</v>
      </c>
      <c r="F135" s="134" t="str">
        <f>TaskTimings[[#This Row],[EmployeeDate]]&amp;"/"&amp;TaskTimings[[#This Row],[EmployeeDateSeq]]</f>
        <v>Vishnu/43538/2</v>
      </c>
      <c r="G135" s="135" t="s">
        <v>101</v>
      </c>
      <c r="H135" s="135" t="s">
        <v>17</v>
      </c>
      <c r="I135" s="136">
        <v>43538</v>
      </c>
      <c r="J135" s="137">
        <v>0.58333333333333337</v>
      </c>
      <c r="K135" s="139">
        <v>0.64583333333333337</v>
      </c>
      <c r="L135" s="138">
        <f>(TaskTimings[End Time]-TaskTimings[Start Time])*1440</f>
        <v>90</v>
      </c>
      <c r="M135" s="138" t="str">
        <f>TEXT(TaskTimings[End Time]-TaskTimings[Start Time],"HH:mm")</f>
        <v>01:30</v>
      </c>
      <c r="N135" s="138">
        <f>SUMIFS(TaskTimings[Total Minutes],TaskTimings[Date],TaskTimings[Date],TaskTimings[Employee],TaskTimings[Employee])</f>
        <v>900</v>
      </c>
      <c r="O135" s="138" t="str">
        <f>TEXT(TaskTimings[Day Total Minutes]/1440,"HH:mm")</f>
        <v>15:00</v>
      </c>
      <c r="P135" s="134" t="str">
        <f>TaskTimings[PRJ]</f>
        <v>TEEBPD</v>
      </c>
      <c r="Q135" s="134" t="str">
        <f>TaskTimings[TSK]</f>
        <v>Table syncing</v>
      </c>
    </row>
    <row r="136" spans="1:17" x14ac:dyDescent="0.25">
      <c r="A136" s="133">
        <f t="shared" si="12"/>
        <v>133</v>
      </c>
      <c r="B136" s="134" t="str">
        <f>VLOOKUP(TaskTimings[Task],ProjectTasks[[TaskProjectCode]:[TSK]],2,0)</f>
        <v>TEEBPD</v>
      </c>
      <c r="C136" s="134" t="str">
        <f>VLOOKUP(TaskTimings[Task],ProjectTasks[[TaskProjectCode]:[TSK]],3,0)</f>
        <v>Table syncing</v>
      </c>
      <c r="D136" s="134" t="str">
        <f>TaskTimings[Employee]&amp;"/"&amp;TaskTimings[Date]</f>
        <v>Vishnu/43539</v>
      </c>
      <c r="E136" s="134">
        <f>COUNTIF($D$1:TaskTimings[[#This Row],[EmployeeDate]],TaskTimings[[#This Row],[EmployeeDate]])</f>
        <v>1</v>
      </c>
      <c r="F136" s="134" t="str">
        <f>TaskTimings[[#This Row],[EmployeeDate]]&amp;"/"&amp;TaskTimings[[#This Row],[EmployeeDateSeq]]</f>
        <v>Vishnu/43539/1</v>
      </c>
      <c r="G136" s="135" t="s">
        <v>101</v>
      </c>
      <c r="H136" s="135" t="s">
        <v>17</v>
      </c>
      <c r="I136" s="136">
        <v>43539</v>
      </c>
      <c r="J136" s="137">
        <v>0.41666666666666669</v>
      </c>
      <c r="K136" s="139">
        <v>0.66666666666666663</v>
      </c>
      <c r="L136" s="138">
        <f>(TaskTimings[End Time]-TaskTimings[Start Time])*1440</f>
        <v>359.99999999999994</v>
      </c>
      <c r="M136" s="138" t="str">
        <f>TEXT(TaskTimings[End Time]-TaskTimings[Start Time],"HH:mm")</f>
        <v>06:00</v>
      </c>
      <c r="N136" s="138">
        <f>SUMIFS(TaskTimings[Total Minutes],TaskTimings[Date],TaskTimings[Date],TaskTimings[Employee],TaskTimings[Employee])</f>
        <v>359.99999999999994</v>
      </c>
      <c r="O136" s="138" t="str">
        <f>TEXT(TaskTimings[Day Total Minutes]/1440,"HH:mm")</f>
        <v>06:00</v>
      </c>
      <c r="P136" s="134" t="str">
        <f>TaskTimings[PRJ]</f>
        <v>TEEBPD</v>
      </c>
      <c r="Q136" s="134" t="str">
        <f>TaskTimings[TSK]</f>
        <v>Table syncing</v>
      </c>
    </row>
    <row r="137" spans="1:17" x14ac:dyDescent="0.25">
      <c r="A137" s="133">
        <f t="shared" si="12"/>
        <v>134</v>
      </c>
      <c r="B137" s="134" t="str">
        <f>VLOOKUP(TaskTimings[Task],ProjectTasks[[TaskProjectCode]:[TSK]],2,0)</f>
        <v>TEEBPD</v>
      </c>
      <c r="C137" s="134" t="str">
        <f>VLOOKUP(TaskTimings[Task],ProjectTasks[[TaskProjectCode]:[TSK]],3,0)</f>
        <v>Table syncing</v>
      </c>
      <c r="D137" s="134" t="str">
        <f>TaskTimings[Employee]&amp;"/"&amp;TaskTimings[Date]</f>
        <v>Vishnu/43540</v>
      </c>
      <c r="E137" s="134">
        <f>COUNTIF($D$1:TaskTimings[[#This Row],[EmployeeDate]],TaskTimings[[#This Row],[EmployeeDate]])</f>
        <v>1</v>
      </c>
      <c r="F137" s="134" t="str">
        <f>TaskTimings[[#This Row],[EmployeeDate]]&amp;"/"&amp;TaskTimings[[#This Row],[EmployeeDateSeq]]</f>
        <v>Vishnu/43540/1</v>
      </c>
      <c r="G137" s="135" t="s">
        <v>101</v>
      </c>
      <c r="H137" s="135" t="s">
        <v>17</v>
      </c>
      <c r="I137" s="136">
        <v>43540</v>
      </c>
      <c r="J137" s="137">
        <v>0.45833333333333331</v>
      </c>
      <c r="K137" s="139">
        <v>0.54166666666666663</v>
      </c>
      <c r="L137" s="138">
        <f>(TaskTimings[End Time]-TaskTimings[Start Time])*1440</f>
        <v>119.99999999999997</v>
      </c>
      <c r="M137" s="138" t="str">
        <f>TEXT(TaskTimings[End Time]-TaskTimings[Start Time],"HH:mm")</f>
        <v>02:00</v>
      </c>
      <c r="N137" s="138">
        <f>SUMIFS(TaskTimings[Total Minutes],TaskTimings[Date],TaskTimings[Date],TaskTimings[Employee],TaskTimings[Employee])</f>
        <v>119.99999999999997</v>
      </c>
      <c r="O137" s="138" t="str">
        <f>TEXT(TaskTimings[Day Total Minutes]/1440,"HH:mm")</f>
        <v>02:00</v>
      </c>
      <c r="P137" s="134" t="str">
        <f>TaskTimings[PRJ]</f>
        <v>TEEBPD</v>
      </c>
      <c r="Q137" s="134" t="str">
        <f>TaskTimings[TSK]</f>
        <v>Table syncing</v>
      </c>
    </row>
    <row r="138" spans="1:17" x14ac:dyDescent="0.25">
      <c r="A138" s="133">
        <f t="shared" si="12"/>
        <v>135</v>
      </c>
      <c r="B138" s="134" t="str">
        <f>VLOOKUP(TaskTimings[Task],ProjectTasks[[TaskProjectCode]:[TSK]],2,0)</f>
        <v>TEEBPD</v>
      </c>
      <c r="C138" s="134" t="str">
        <f>VLOOKUP(TaskTimings[Task],ProjectTasks[[TaskProjectCode]:[TSK]],3,0)</f>
        <v>Table syncing</v>
      </c>
      <c r="D138" s="134" t="str">
        <f>TaskTimings[Employee]&amp;"/"&amp;TaskTimings[Date]</f>
        <v>Vishnu/43542</v>
      </c>
      <c r="E138" s="134">
        <f>COUNTIF($D$1:TaskTimings[[#This Row],[EmployeeDate]],TaskTimings[[#This Row],[EmployeeDate]])</f>
        <v>1</v>
      </c>
      <c r="F138" s="134" t="str">
        <f>TaskTimings[[#This Row],[EmployeeDate]]&amp;"/"&amp;TaskTimings[[#This Row],[EmployeeDateSeq]]</f>
        <v>Vishnu/43542/1</v>
      </c>
      <c r="G138" s="135" t="s">
        <v>101</v>
      </c>
      <c r="H138" s="135" t="s">
        <v>17</v>
      </c>
      <c r="I138" s="136">
        <v>43542</v>
      </c>
      <c r="J138" s="137">
        <v>0.41666666666666669</v>
      </c>
      <c r="K138" s="139">
        <v>0.45833333333333331</v>
      </c>
      <c r="L138" s="138">
        <f>(TaskTimings[End Time]-TaskTimings[Start Time])*1440</f>
        <v>59.999999999999943</v>
      </c>
      <c r="M138" s="138" t="str">
        <f>TEXT(TaskTimings[End Time]-TaskTimings[Start Time],"HH:mm")</f>
        <v>01:00</v>
      </c>
      <c r="N138" s="138">
        <f>SUMIFS(TaskTimings[Total Minutes],TaskTimings[Date],TaskTimings[Date],TaskTimings[Employee],TaskTimings[Employee])</f>
        <v>119.99999999999989</v>
      </c>
      <c r="O138" s="138" t="str">
        <f>TEXT(TaskTimings[Day Total Minutes]/1440,"HH:mm")</f>
        <v>02:00</v>
      </c>
      <c r="P138" s="134" t="str">
        <f>TaskTimings[PRJ]</f>
        <v>TEEBPD</v>
      </c>
      <c r="Q138" s="134" t="str">
        <f>TaskTimings[TSK]</f>
        <v>Table syncing</v>
      </c>
    </row>
    <row r="139" spans="1:17" x14ac:dyDescent="0.25">
      <c r="A139" s="133">
        <f t="shared" ref="A139:A150" si="13">IFERROR($A138+1,1)</f>
        <v>136</v>
      </c>
      <c r="B139" s="134" t="str">
        <f>VLOOKUP(TaskTimings[Task],ProjectTasks[[TaskProjectCode]:[TSK]],2,0)</f>
        <v>TEEBPD</v>
      </c>
      <c r="C139" s="134" t="str">
        <f>VLOOKUP(TaskTimings[Task],ProjectTasks[[TaskProjectCode]:[TSK]],3,0)</f>
        <v>Table syncing</v>
      </c>
      <c r="D139" s="134" t="str">
        <f>TaskTimings[Employee]&amp;"/"&amp;TaskTimings[Date]</f>
        <v>Vishnu/43542</v>
      </c>
      <c r="E139" s="134">
        <f>COUNTIF($D$1:TaskTimings[[#This Row],[EmployeeDate]],TaskTimings[[#This Row],[EmployeeDate]])</f>
        <v>2</v>
      </c>
      <c r="F139" s="134" t="str">
        <f>TaskTimings[[#This Row],[EmployeeDate]]&amp;"/"&amp;TaskTimings[[#This Row],[EmployeeDateSeq]]</f>
        <v>Vishnu/43542/2</v>
      </c>
      <c r="G139" s="135" t="s">
        <v>101</v>
      </c>
      <c r="H139" s="135" t="s">
        <v>17</v>
      </c>
      <c r="I139" s="136">
        <v>43542</v>
      </c>
      <c r="J139" s="137">
        <v>0.625</v>
      </c>
      <c r="K139" s="139">
        <v>0.66666666666666663</v>
      </c>
      <c r="L139" s="138">
        <f>(TaskTimings[End Time]-TaskTimings[Start Time])*1440</f>
        <v>59.999999999999943</v>
      </c>
      <c r="M139" s="138" t="str">
        <f>TEXT(TaskTimings[End Time]-TaskTimings[Start Time],"HH:mm")</f>
        <v>01:00</v>
      </c>
      <c r="N139" s="138">
        <f>SUMIFS(TaskTimings[Total Minutes],TaskTimings[Date],TaskTimings[Date],TaskTimings[Employee],TaskTimings[Employee])</f>
        <v>119.99999999999989</v>
      </c>
      <c r="O139" s="138" t="str">
        <f>TEXT(TaskTimings[Day Total Minutes]/1440,"HH:mm")</f>
        <v>02:00</v>
      </c>
      <c r="P139" s="134" t="str">
        <f>TaskTimings[PRJ]</f>
        <v>TEEBPD</v>
      </c>
      <c r="Q139" s="134" t="str">
        <f>TaskTimings[TSK]</f>
        <v>Table syncing</v>
      </c>
    </row>
    <row r="140" spans="1:17" x14ac:dyDescent="0.25">
      <c r="A140" s="133">
        <f t="shared" si="13"/>
        <v>137</v>
      </c>
      <c r="B140" s="134" t="str">
        <f>VLOOKUP(TaskTimings[Task],ProjectTasks[[TaskProjectCode]:[TSK]],2,0)</f>
        <v>TEEBPD</v>
      </c>
      <c r="C140" s="134" t="str">
        <f>VLOOKUP(TaskTimings[Task],ProjectTasks[[TaskProjectCode]:[TSK]],3,0)</f>
        <v>Table syncing</v>
      </c>
      <c r="D140" s="134" t="str">
        <f>TaskTimings[Employee]&amp;"/"&amp;TaskTimings[Date]</f>
        <v>Vishnu/43543</v>
      </c>
      <c r="E140" s="134">
        <f>COUNTIF($D$1:TaskTimings[[#This Row],[EmployeeDate]],TaskTimings[[#This Row],[EmployeeDate]])</f>
        <v>1</v>
      </c>
      <c r="F140" s="134" t="str">
        <f>TaskTimings[[#This Row],[EmployeeDate]]&amp;"/"&amp;TaskTimings[[#This Row],[EmployeeDateSeq]]</f>
        <v>Vishnu/43543/1</v>
      </c>
      <c r="G140" s="135" t="s">
        <v>101</v>
      </c>
      <c r="H140" s="135" t="s">
        <v>17</v>
      </c>
      <c r="I140" s="136">
        <v>43543</v>
      </c>
      <c r="J140" s="137">
        <v>0.5</v>
      </c>
      <c r="K140" s="139">
        <v>0.66666666666666663</v>
      </c>
      <c r="L140" s="138">
        <f>(TaskTimings[End Time]-TaskTimings[Start Time])*1440</f>
        <v>239.99999999999994</v>
      </c>
      <c r="M140" s="138" t="str">
        <f>TEXT(TaskTimings[End Time]-TaskTimings[Start Time],"HH:mm")</f>
        <v>04:00</v>
      </c>
      <c r="N140" s="138">
        <f>SUMIFS(TaskTimings[Total Minutes],TaskTimings[Date],TaskTimings[Date],TaskTimings[Employee],TaskTimings[Employee])</f>
        <v>239.99999999999994</v>
      </c>
      <c r="O140" s="138" t="str">
        <f>TEXT(TaskTimings[Day Total Minutes]/1440,"HH:mm")</f>
        <v>04:00</v>
      </c>
      <c r="P140" s="134" t="str">
        <f>TaskTimings[PRJ]</f>
        <v>TEEBPD</v>
      </c>
      <c r="Q140" s="134" t="str">
        <f>TaskTimings[TSK]</f>
        <v>Table syncing</v>
      </c>
    </row>
    <row r="141" spans="1:17" x14ac:dyDescent="0.25">
      <c r="A141" s="133">
        <f t="shared" si="13"/>
        <v>138</v>
      </c>
      <c r="B141" s="134" t="str">
        <f>VLOOKUP(TaskTimings[Task],ProjectTasks[[TaskProjectCode]:[TSK]],2,0)</f>
        <v>TEEBPD</v>
      </c>
      <c r="C141" s="134" t="str">
        <f>VLOOKUP(TaskTimings[Task],ProjectTasks[[TaskProjectCode]:[TSK]],3,0)</f>
        <v>Table syncing</v>
      </c>
      <c r="D141" s="134" t="str">
        <f>TaskTimings[Employee]&amp;"/"&amp;TaskTimings[Date]</f>
        <v>Vishnu/43545</v>
      </c>
      <c r="E141" s="134">
        <f>COUNTIF($D$1:TaskTimings[[#This Row],[EmployeeDate]],TaskTimings[[#This Row],[EmployeeDate]])</f>
        <v>1</v>
      </c>
      <c r="F141" s="134" t="str">
        <f>TaskTimings[[#This Row],[EmployeeDate]]&amp;"/"&amp;TaskTimings[[#This Row],[EmployeeDateSeq]]</f>
        <v>Vishnu/43545/1</v>
      </c>
      <c r="G141" s="135" t="s">
        <v>101</v>
      </c>
      <c r="H141" s="135" t="s">
        <v>17</v>
      </c>
      <c r="I141" s="136">
        <v>43545</v>
      </c>
      <c r="J141" s="137">
        <v>0.41666666666666669</v>
      </c>
      <c r="K141" s="139">
        <v>0.58333333333333337</v>
      </c>
      <c r="L141" s="138">
        <f>(TaskTimings[End Time]-TaskTimings[Start Time])*1440</f>
        <v>240.00000000000003</v>
      </c>
      <c r="M141" s="138" t="str">
        <f>TEXT(TaskTimings[End Time]-TaskTimings[Start Time],"HH:mm")</f>
        <v>04:00</v>
      </c>
      <c r="N141" s="138">
        <f>SUMIFS(TaskTimings[Total Minutes],TaskTimings[Date],TaskTimings[Date],TaskTimings[Employee],TaskTimings[Employee])</f>
        <v>240.00000000000003</v>
      </c>
      <c r="O141" s="138" t="str">
        <f>TEXT(TaskTimings[Day Total Minutes]/1440,"HH:mm")</f>
        <v>04:00</v>
      </c>
      <c r="P141" s="134" t="str">
        <f>TaskTimings[PRJ]</f>
        <v>TEEBPD</v>
      </c>
      <c r="Q141" s="134" t="str">
        <f>TaskTimings[TSK]</f>
        <v>Table syncing</v>
      </c>
    </row>
    <row r="142" spans="1:17" x14ac:dyDescent="0.25">
      <c r="A142" s="133">
        <f t="shared" si="13"/>
        <v>139</v>
      </c>
      <c r="B142" s="134" t="str">
        <f>VLOOKUP(TaskTimings[Task],ProjectTasks[[TaskProjectCode]:[TSK]],2,0)</f>
        <v>TEEBPD</v>
      </c>
      <c r="C142" s="134" t="str">
        <f>VLOOKUP(TaskTimings[Task],ProjectTasks[[TaskProjectCode]:[TSK]],3,0)</f>
        <v>Table syncing</v>
      </c>
      <c r="D142" s="134" t="str">
        <f>TaskTimings[Employee]&amp;"/"&amp;TaskTimings[Date]</f>
        <v>Vishnu/43546</v>
      </c>
      <c r="E142" s="134">
        <f>COUNTIF($D$1:TaskTimings[[#This Row],[EmployeeDate]],TaskTimings[[#This Row],[EmployeeDate]])</f>
        <v>1</v>
      </c>
      <c r="F142" s="134" t="str">
        <f>TaskTimings[[#This Row],[EmployeeDate]]&amp;"/"&amp;TaskTimings[[#This Row],[EmployeeDateSeq]]</f>
        <v>Vishnu/43546/1</v>
      </c>
      <c r="G142" s="135" t="s">
        <v>101</v>
      </c>
      <c r="H142" s="135" t="s">
        <v>17</v>
      </c>
      <c r="I142" s="136">
        <v>43546</v>
      </c>
      <c r="J142" s="137">
        <v>0.45833333333333331</v>
      </c>
      <c r="K142" s="139">
        <v>0.60416666666666663</v>
      </c>
      <c r="L142" s="138">
        <f>(TaskTimings[End Time]-TaskTimings[Start Time])*1440</f>
        <v>209.99999999999997</v>
      </c>
      <c r="M142" s="138" t="str">
        <f>TEXT(TaskTimings[End Time]-TaskTimings[Start Time],"HH:mm")</f>
        <v>03:30</v>
      </c>
      <c r="N142" s="138">
        <f>SUMIFS(TaskTimings[Total Minutes],TaskTimings[Date],TaskTimings[Date],TaskTimings[Employee],TaskTimings[Employee])</f>
        <v>209.99999999999997</v>
      </c>
      <c r="O142" s="138" t="str">
        <f>TEXT(TaskTimings[Day Total Minutes]/1440,"HH:mm")</f>
        <v>03:30</v>
      </c>
      <c r="P142" s="134" t="str">
        <f>TaskTimings[PRJ]</f>
        <v>TEEBPD</v>
      </c>
      <c r="Q142" s="134" t="str">
        <f>TaskTimings[TSK]</f>
        <v>Table syncing</v>
      </c>
    </row>
    <row r="143" spans="1:17" x14ac:dyDescent="0.25">
      <c r="A143" s="133">
        <f t="shared" si="13"/>
        <v>140</v>
      </c>
      <c r="B143" s="143" t="str">
        <f>VLOOKUP(TaskTimings[Task],ProjectTasks[[TaskProjectCode]:[TSK]],2,0)</f>
        <v>RTRDB</v>
      </c>
      <c r="C143" s="143" t="str">
        <f>VLOOKUP(TaskTimings[Task],ProjectTasks[[TaskProjectCode]:[TSK]],3,0)</f>
        <v>Documentation</v>
      </c>
      <c r="D143" s="143" t="str">
        <f>TaskTimings[Employee]&amp;"/"&amp;TaskTimings[Date]</f>
        <v>Aswathy/43542</v>
      </c>
      <c r="E143" s="143">
        <f>COUNTIF($D$1:TaskTimings[[#This Row],[EmployeeDate]],TaskTimings[[#This Row],[EmployeeDate]])</f>
        <v>1</v>
      </c>
      <c r="F143" s="143" t="str">
        <f>TaskTimings[[#This Row],[EmployeeDate]]&amp;"/"&amp;TaskTimings[[#This Row],[EmployeeDateSeq]]</f>
        <v>Aswathy/43542/1</v>
      </c>
      <c r="G143" s="144" t="s">
        <v>111</v>
      </c>
      <c r="H143" s="144" t="s">
        <v>54</v>
      </c>
      <c r="I143" s="145">
        <v>43542</v>
      </c>
      <c r="J143" s="146">
        <v>0.41666666666666669</v>
      </c>
      <c r="K143" s="147">
        <v>0.50694444444444442</v>
      </c>
      <c r="L143" s="148">
        <f>(TaskTimings[End Time]-TaskTimings[Start Time])*1440</f>
        <v>129.99999999999994</v>
      </c>
      <c r="M143" s="148" t="str">
        <f>TEXT(TaskTimings[End Time]-TaskTimings[Start Time],"HH:mm")</f>
        <v>02:10</v>
      </c>
      <c r="N143" s="148">
        <f>SUMIFS(TaskTimings[Total Minutes],TaskTimings[Date],TaskTimings[Date],TaskTimings[Employee],TaskTimings[Employee])</f>
        <v>129.99999999999994</v>
      </c>
      <c r="O143" s="149" t="str">
        <f>TEXT(TaskTimings[Day Total Minutes]/1440,"HH:mm")</f>
        <v>02:10</v>
      </c>
      <c r="P143" s="134" t="str">
        <f>TaskTimings[PRJ]</f>
        <v>RTRDB</v>
      </c>
      <c r="Q143" s="134" t="str">
        <f>TaskTimings[TSK]</f>
        <v>Documentation</v>
      </c>
    </row>
    <row r="144" spans="1:17" x14ac:dyDescent="0.25">
      <c r="A144" s="151">
        <f t="shared" si="13"/>
        <v>141</v>
      </c>
      <c r="B144" s="154" t="str">
        <f>VLOOKUP(TaskTimings[Task],ProjectTasks[[TaskProjectCode]:[TSK]],2,0)</f>
        <v>RTRDB</v>
      </c>
      <c r="C144" s="154" t="str">
        <f>VLOOKUP(TaskTimings[Task],ProjectTasks[[TaskProjectCode]:[TSK]],3,0)</f>
        <v>Documentation</v>
      </c>
      <c r="D144" s="154" t="str">
        <f>TaskTimings[Employee]&amp;"/"&amp;TaskTimings[Date]</f>
        <v>Aswathy/43543</v>
      </c>
      <c r="E144" s="154">
        <f>COUNTIF($D$1:TaskTimings[[#This Row],[EmployeeDate]],TaskTimings[[#This Row],[EmployeeDate]])</f>
        <v>1</v>
      </c>
      <c r="F144" s="154" t="str">
        <f>TaskTimings[[#This Row],[EmployeeDate]]&amp;"/"&amp;TaskTimings[[#This Row],[EmployeeDateSeq]]</f>
        <v>Aswathy/43543/1</v>
      </c>
      <c r="G144" s="157" t="s">
        <v>111</v>
      </c>
      <c r="H144" s="157" t="s">
        <v>54</v>
      </c>
      <c r="I144" s="160">
        <v>43543</v>
      </c>
      <c r="J144" s="163">
        <v>0.625</v>
      </c>
      <c r="K144" s="166">
        <v>0.66666666666666663</v>
      </c>
      <c r="L144" s="169">
        <f>(TaskTimings[End Time]-TaskTimings[Start Time])*1440</f>
        <v>59.999999999999943</v>
      </c>
      <c r="M144" s="169" t="str">
        <f>TEXT(TaskTimings[End Time]-TaskTimings[Start Time],"HH:mm")</f>
        <v>01:00</v>
      </c>
      <c r="N144" s="169">
        <f>SUMIFS(TaskTimings[Total Minutes],TaskTimings[Date],TaskTimings[Date],TaskTimings[Employee],TaskTimings[Employee])</f>
        <v>59.999999999999943</v>
      </c>
      <c r="O144" s="171" t="str">
        <f>TEXT(TaskTimings[Day Total Minutes]/1440,"HH:mm")</f>
        <v>01:00</v>
      </c>
      <c r="P144" s="134" t="str">
        <f>TaskTimings[PRJ]</f>
        <v>RTRDB</v>
      </c>
      <c r="Q144" s="134" t="str">
        <f>TaskTimings[TSK]</f>
        <v>Documentation</v>
      </c>
    </row>
    <row r="145" spans="1:17" x14ac:dyDescent="0.25">
      <c r="A145" s="150">
        <f t="shared" si="13"/>
        <v>142</v>
      </c>
      <c r="B145" s="153" t="str">
        <f>VLOOKUP(TaskTimings[Task],ProjectTasks[[TaskProjectCode]:[TSK]],2,0)</f>
        <v>RTRDB</v>
      </c>
      <c r="C145" s="153" t="str">
        <f>VLOOKUP(TaskTimings[Task],ProjectTasks[[TaskProjectCode]:[TSK]],3,0)</f>
        <v>Surrender PC</v>
      </c>
      <c r="D145" s="153" t="str">
        <f>TaskTimings[Employee]&amp;"/"&amp;TaskTimings[Date]</f>
        <v>Aswathy/43545</v>
      </c>
      <c r="E145" s="153">
        <f>COUNTIF($D$1:TaskTimings[[#This Row],[EmployeeDate]],TaskTimings[[#This Row],[EmployeeDate]])</f>
        <v>1</v>
      </c>
      <c r="F145" s="153" t="str">
        <f>TaskTimings[[#This Row],[EmployeeDate]]&amp;"/"&amp;TaskTimings[[#This Row],[EmployeeDateSeq]]</f>
        <v>Aswathy/43545/1</v>
      </c>
      <c r="G145" s="156" t="s">
        <v>113</v>
      </c>
      <c r="H145" s="156" t="s">
        <v>54</v>
      </c>
      <c r="I145" s="159">
        <v>43545</v>
      </c>
      <c r="J145" s="162">
        <v>0.625</v>
      </c>
      <c r="K145" s="165">
        <v>0.70833333333333337</v>
      </c>
      <c r="L145" s="168">
        <f>(TaskTimings[End Time]-TaskTimings[Start Time])*1440</f>
        <v>120.00000000000006</v>
      </c>
      <c r="M145" s="168" t="str">
        <f>TEXT(TaskTimings[End Time]-TaskTimings[Start Time],"HH:mm")</f>
        <v>02:00</v>
      </c>
      <c r="N145" s="168">
        <f>SUMIFS(TaskTimings[Total Minutes],TaskTimings[Date],TaskTimings[Date],TaskTimings[Employee],TaskTimings[Employee])</f>
        <v>120.00000000000006</v>
      </c>
      <c r="O145" s="168" t="str">
        <f>TEXT(TaskTimings[Day Total Minutes]/1440,"HH:mm")</f>
        <v>02:00</v>
      </c>
      <c r="P145" s="134" t="str">
        <f>TaskTimings[PRJ]</f>
        <v>RTRDB</v>
      </c>
      <c r="Q145" s="134" t="str">
        <f>TaskTimings[TSK]</f>
        <v>Surrender PC</v>
      </c>
    </row>
    <row r="146" spans="1:17" x14ac:dyDescent="0.25">
      <c r="A146" s="151">
        <f t="shared" si="13"/>
        <v>143</v>
      </c>
      <c r="B146" s="154" t="str">
        <f>VLOOKUP(TaskTimings[Task],ProjectTasks[[TaskProjectCode]:[TSK]],2,0)</f>
        <v>RTRDB</v>
      </c>
      <c r="C146" s="154" t="str">
        <f>VLOOKUP(TaskTimings[Task],ProjectTasks[[TaskProjectCode]:[TSK]],3,0)</f>
        <v>Surrender PC</v>
      </c>
      <c r="D146" s="154" t="str">
        <f>TaskTimings[Employee]&amp;"/"&amp;TaskTimings[Date]</f>
        <v>Aswathy/43546</v>
      </c>
      <c r="E146" s="154">
        <f>COUNTIF($D$1:TaskTimings[[#This Row],[EmployeeDate]],TaskTimings[[#This Row],[EmployeeDate]])</f>
        <v>1</v>
      </c>
      <c r="F146" s="154" t="str">
        <f>TaskTimings[[#This Row],[EmployeeDate]]&amp;"/"&amp;TaskTimings[[#This Row],[EmployeeDateSeq]]</f>
        <v>Aswathy/43546/1</v>
      </c>
      <c r="G146" s="157" t="s">
        <v>113</v>
      </c>
      <c r="H146" s="157" t="s">
        <v>54</v>
      </c>
      <c r="I146" s="160">
        <v>43546</v>
      </c>
      <c r="J146" s="163">
        <v>0.39583333333333331</v>
      </c>
      <c r="K146" s="166">
        <v>0.52083333333333337</v>
      </c>
      <c r="L146" s="169">
        <f>(TaskTimings[End Time]-TaskTimings[Start Time])*1440</f>
        <v>180.00000000000009</v>
      </c>
      <c r="M146" s="169" t="str">
        <f>TEXT(TaskTimings[End Time]-TaskTimings[Start Time],"HH:mm")</f>
        <v>03:00</v>
      </c>
      <c r="N146" s="169">
        <f>SUMIFS(TaskTimings[Total Minutes],TaskTimings[Date],TaskTimings[Date],TaskTimings[Employee],TaskTimings[Employee])</f>
        <v>319.99999999999989</v>
      </c>
      <c r="O146" s="169" t="str">
        <f>TEXT(TaskTimings[Day Total Minutes]/1440,"HH:mm")</f>
        <v>05:20</v>
      </c>
      <c r="P146" s="134" t="str">
        <f>TaskTimings[PRJ]</f>
        <v>RTRDB</v>
      </c>
      <c r="Q146" s="134" t="str">
        <f>TaskTimings[TSK]</f>
        <v>Surrender PC</v>
      </c>
    </row>
    <row r="147" spans="1:17" x14ac:dyDescent="0.25">
      <c r="A147" s="150">
        <f t="shared" si="13"/>
        <v>144</v>
      </c>
      <c r="B147" s="153" t="str">
        <f>VLOOKUP(TaskTimings[Task],ProjectTasks[[TaskProjectCode]:[TSK]],2,0)</f>
        <v>RTRDB</v>
      </c>
      <c r="C147" s="153" t="str">
        <f>VLOOKUP(TaskTimings[Task],ProjectTasks[[TaskProjectCode]:[TSK]],3,0)</f>
        <v>Surrender PC</v>
      </c>
      <c r="D147" s="153" t="str">
        <f>TaskTimings[Employee]&amp;"/"&amp;TaskTimings[Date]</f>
        <v>Aswathy/43546</v>
      </c>
      <c r="E147" s="153">
        <f>COUNTIF($D$1:TaskTimings[[#This Row],[EmployeeDate]],TaskTimings[[#This Row],[EmployeeDate]])</f>
        <v>2</v>
      </c>
      <c r="F147" s="153" t="str">
        <f>TaskTimings[[#This Row],[EmployeeDate]]&amp;"/"&amp;TaskTimings[[#This Row],[EmployeeDateSeq]]</f>
        <v>Aswathy/43546/2</v>
      </c>
      <c r="G147" s="156" t="s">
        <v>113</v>
      </c>
      <c r="H147" s="156" t="s">
        <v>54</v>
      </c>
      <c r="I147" s="159">
        <v>43546</v>
      </c>
      <c r="J147" s="162">
        <v>0.58333333333333337</v>
      </c>
      <c r="K147" s="165">
        <v>0.63541666666666663</v>
      </c>
      <c r="L147" s="168">
        <f>(TaskTimings[End Time]-TaskTimings[Start Time])*1440</f>
        <v>74.999999999999886</v>
      </c>
      <c r="M147" s="168" t="str">
        <f>TEXT(TaskTimings[End Time]-TaskTimings[Start Time],"HH:mm")</f>
        <v>01:15</v>
      </c>
      <c r="N147" s="168">
        <f>SUMIFS(TaskTimings[Total Minutes],TaskTimings[Date],TaskTimings[Date],TaskTimings[Employee],TaskTimings[Employee])</f>
        <v>319.99999999999989</v>
      </c>
      <c r="O147" s="168" t="str">
        <f>TEXT(TaskTimings[Day Total Minutes]/1440,"HH:mm")</f>
        <v>05:20</v>
      </c>
      <c r="P147" s="134" t="str">
        <f>TaskTimings[PRJ]</f>
        <v>RTRDB</v>
      </c>
      <c r="Q147" s="134" t="str">
        <f>TaskTimings[TSK]</f>
        <v>Surrender PC</v>
      </c>
    </row>
    <row r="148" spans="1:17" x14ac:dyDescent="0.25">
      <c r="A148" s="152">
        <f t="shared" si="13"/>
        <v>145</v>
      </c>
      <c r="B148" s="155" t="str">
        <f>VLOOKUP(TaskTimings[Task],ProjectTasks[[TaskProjectCode]:[TSK]],2,0)</f>
        <v>RTRDB</v>
      </c>
      <c r="C148" s="155" t="str">
        <f>VLOOKUP(TaskTimings[Task],ProjectTasks[[TaskProjectCode]:[TSK]],3,0)</f>
        <v>Surrender PC</v>
      </c>
      <c r="D148" s="155" t="str">
        <f>TaskTimings[Employee]&amp;"/"&amp;TaskTimings[Date]</f>
        <v>Aswathy/43546</v>
      </c>
      <c r="E148" s="155">
        <f>COUNTIF($D$1:TaskTimings[[#This Row],[EmployeeDate]],TaskTimings[[#This Row],[EmployeeDate]])</f>
        <v>3</v>
      </c>
      <c r="F148" s="155" t="str">
        <f>TaskTimings[[#This Row],[EmployeeDate]]&amp;"/"&amp;TaskTimings[[#This Row],[EmployeeDateSeq]]</f>
        <v>Aswathy/43546/3</v>
      </c>
      <c r="G148" s="158" t="s">
        <v>113</v>
      </c>
      <c r="H148" s="158" t="s">
        <v>54</v>
      </c>
      <c r="I148" s="161">
        <v>43546</v>
      </c>
      <c r="J148" s="164">
        <v>0.65625</v>
      </c>
      <c r="K148" s="167">
        <v>0.70138888888888884</v>
      </c>
      <c r="L148" s="170">
        <f>(TaskTimings[End Time]-TaskTimings[Start Time])*1440</f>
        <v>64.999999999999929</v>
      </c>
      <c r="M148" s="170" t="str">
        <f>TEXT(TaskTimings[End Time]-TaskTimings[Start Time],"HH:mm")</f>
        <v>01:05</v>
      </c>
      <c r="N148" s="170">
        <f>SUMIFS(TaskTimings[Total Minutes],TaskTimings[Date],TaskTimings[Date],TaskTimings[Employee],TaskTimings[Employee])</f>
        <v>319.99999999999989</v>
      </c>
      <c r="O148" s="170" t="str">
        <f>TEXT(TaskTimings[Day Total Minutes]/1440,"HH:mm")</f>
        <v>05:20</v>
      </c>
      <c r="P148" s="134" t="str">
        <f>TaskTimings[PRJ]</f>
        <v>RTRDB</v>
      </c>
      <c r="Q148" s="134" t="str">
        <f>TaskTimings[TSK]</f>
        <v>Surrender PC</v>
      </c>
    </row>
    <row r="149" spans="1:17" x14ac:dyDescent="0.25">
      <c r="A149" s="152">
        <f t="shared" si="13"/>
        <v>146</v>
      </c>
      <c r="B149" s="134" t="str">
        <f>VLOOKUP(TaskTimings[Task],ProjectTasks[[TaskProjectCode]:[TSK]],2,0)</f>
        <v>TEEBPD</v>
      </c>
      <c r="C149" s="134" t="str">
        <f>VLOOKUP(TaskTimings[Task],ProjectTasks[[TaskProjectCode]:[TSK]],3,0)</f>
        <v>Table syncing</v>
      </c>
      <c r="D149" s="134" t="str">
        <f>TaskTimings[Employee]&amp;"/"&amp;TaskTimings[Date]</f>
        <v>Vishnu/43547</v>
      </c>
      <c r="E149" s="134">
        <f>COUNTIF($D$1:TaskTimings[[#This Row],[EmployeeDate]],TaskTimings[[#This Row],[EmployeeDate]])</f>
        <v>1</v>
      </c>
      <c r="F149" s="134" t="str">
        <f>TaskTimings[[#This Row],[EmployeeDate]]&amp;"/"&amp;TaskTimings[[#This Row],[EmployeeDateSeq]]</f>
        <v>Vishnu/43547/1</v>
      </c>
      <c r="G149" s="135" t="s">
        <v>101</v>
      </c>
      <c r="H149" s="135" t="s">
        <v>17</v>
      </c>
      <c r="I149" s="136">
        <v>43547</v>
      </c>
      <c r="J149" s="137">
        <v>0.38541666666666669</v>
      </c>
      <c r="K149" s="139">
        <v>0.54166666666666663</v>
      </c>
      <c r="L149" s="138">
        <f>(TaskTimings[End Time]-TaskTimings[Start Time])*1440</f>
        <v>224.99999999999991</v>
      </c>
      <c r="M149" s="138" t="str">
        <f>TEXT(TaskTimings[End Time]-TaskTimings[Start Time],"HH:mm")</f>
        <v>03:45</v>
      </c>
      <c r="N149" s="138">
        <f>SUMIFS(TaskTimings[Total Minutes],TaskTimings[Date],TaskTimings[Date],TaskTimings[Employee],TaskTimings[Employee])</f>
        <v>224.99999999999991</v>
      </c>
      <c r="O149" s="138" t="str">
        <f>TEXT(TaskTimings[Day Total Minutes]/1440,"HH:mm")</f>
        <v>03:45</v>
      </c>
      <c r="P149" s="134" t="str">
        <f>TaskTimings[PRJ]</f>
        <v>TEEBPD</v>
      </c>
      <c r="Q149" s="134" t="str">
        <f>TaskTimings[TSK]</f>
        <v>Table syncing</v>
      </c>
    </row>
    <row r="150" spans="1:17" x14ac:dyDescent="0.25">
      <c r="A150" s="152">
        <f t="shared" si="13"/>
        <v>147</v>
      </c>
      <c r="B150" s="134" t="str">
        <f>VLOOKUP(TaskTimings[Task],ProjectTasks[[TaskProjectCode]:[TSK]],2,0)</f>
        <v>RTRDB</v>
      </c>
      <c r="C150" s="134" t="str">
        <f>VLOOKUP(TaskTimings[Task],ProjectTasks[[TaskProjectCode]:[TSK]],3,0)</f>
        <v>Surrender PC</v>
      </c>
      <c r="D150" s="134" t="str">
        <f>TaskTimings[Employee]&amp;"/"&amp;TaskTimings[Date]</f>
        <v>Aswathy/43547</v>
      </c>
      <c r="E150" s="134">
        <f>COUNTIF($D$1:TaskTimings[[#This Row],[EmployeeDate]],TaskTimings[[#This Row],[EmployeeDate]])</f>
        <v>1</v>
      </c>
      <c r="F150" s="134" t="str">
        <f>TaskTimings[[#This Row],[EmployeeDate]]&amp;"/"&amp;TaskTimings[[#This Row],[EmployeeDateSeq]]</f>
        <v>Aswathy/43547/1</v>
      </c>
      <c r="G150" s="135" t="s">
        <v>113</v>
      </c>
      <c r="H150" s="135" t="s">
        <v>54</v>
      </c>
      <c r="I150" s="136">
        <v>43547</v>
      </c>
      <c r="J150" s="137">
        <v>0.39583333333333331</v>
      </c>
      <c r="K150" s="139">
        <v>0.5625</v>
      </c>
      <c r="L150" s="138">
        <f>(TaskTimings[End Time]-TaskTimings[Start Time])*1440</f>
        <v>240.00000000000003</v>
      </c>
      <c r="M150" s="138" t="str">
        <f>TEXT(TaskTimings[End Time]-TaskTimings[Start Time],"HH:mm")</f>
        <v>04:00</v>
      </c>
      <c r="N150" s="138">
        <f>SUMIFS(TaskTimings[Total Minutes],TaskTimings[Date],TaskTimings[Date],TaskTimings[Employee],TaskTimings[Employee])</f>
        <v>240.00000000000003</v>
      </c>
      <c r="O150" s="138" t="str">
        <f>TEXT(TaskTimings[Day Total Minutes]/1440,"HH:mm")</f>
        <v>04:00</v>
      </c>
      <c r="P150" s="134" t="str">
        <f>TaskTimings[PRJ]</f>
        <v>RTRDB</v>
      </c>
      <c r="Q150" s="134" t="str">
        <f>TaskTimings[TSK]</f>
        <v>Surrender PC</v>
      </c>
    </row>
    <row r="151" spans="1:17" x14ac:dyDescent="0.25">
      <c r="A151" s="133">
        <f t="shared" ref="A151:A156" si="14">IFERROR($A150+1,1)</f>
        <v>148</v>
      </c>
      <c r="B151" s="134" t="str">
        <f>VLOOKUP(TaskTimings[Task],ProjectTasks[[TaskProjectCode]:[TSK]],2,0)</f>
        <v>RTRDB</v>
      </c>
      <c r="C151" s="134" t="str">
        <f>VLOOKUP(TaskTimings[Task],ProjectTasks[[TaskProjectCode]:[TSK]],3,0)</f>
        <v>Restore DB</v>
      </c>
      <c r="D151" s="134" t="str">
        <f>TaskTimings[Employee]&amp;"/"&amp;TaskTimings[Date]</f>
        <v>Aswathy/43549</v>
      </c>
      <c r="E151" s="134">
        <f>COUNTIF($D$1:TaskTimings[[#This Row],[EmployeeDate]],TaskTimings[[#This Row],[EmployeeDate]])</f>
        <v>1</v>
      </c>
      <c r="F151" s="134" t="str">
        <f>TaskTimings[[#This Row],[EmployeeDate]]&amp;"/"&amp;TaskTimings[[#This Row],[EmployeeDateSeq]]</f>
        <v>Aswathy/43549/1</v>
      </c>
      <c r="G151" s="135" t="s">
        <v>115</v>
      </c>
      <c r="H151" s="135" t="s">
        <v>54</v>
      </c>
      <c r="I151" s="136">
        <v>43549</v>
      </c>
      <c r="J151" s="137">
        <v>0.41666666666666669</v>
      </c>
      <c r="K151" s="139">
        <v>0.5625</v>
      </c>
      <c r="L151" s="138">
        <f>(TaskTimings[End Time]-TaskTimings[Start Time])*1440</f>
        <v>209.99999999999997</v>
      </c>
      <c r="M151" s="138" t="str">
        <f>TEXT(TaskTimings[End Time]-TaskTimings[Start Time],"HH:mm")</f>
        <v>03:30</v>
      </c>
      <c r="N151" s="138">
        <f>SUMIFS(TaskTimings[Total Minutes],TaskTimings[Date],TaskTimings[Date],TaskTimings[Employee],TaskTimings[Employee])</f>
        <v>209.99999999999997</v>
      </c>
      <c r="O151" s="138" t="str">
        <f>TEXT(TaskTimings[Day Total Minutes]/1440,"HH:mm")</f>
        <v>03:30</v>
      </c>
      <c r="P151" s="134" t="str">
        <f>TaskTimings[PRJ]</f>
        <v>RTRDB</v>
      </c>
      <c r="Q151" s="134" t="str">
        <f>TaskTimings[TSK]</f>
        <v>Restore DB</v>
      </c>
    </row>
    <row r="152" spans="1:17" x14ac:dyDescent="0.25">
      <c r="A152" s="133">
        <f t="shared" si="14"/>
        <v>149</v>
      </c>
      <c r="B152" s="134" t="str">
        <f>VLOOKUP(TaskTimings[Task],ProjectTasks[[TaskProjectCode]:[TSK]],2,0)</f>
        <v>RTRDB</v>
      </c>
      <c r="C152" s="134" t="str">
        <f>VLOOKUP(TaskTimings[Task],ProjectTasks[[TaskProjectCode]:[TSK]],3,0)</f>
        <v>Restore DB</v>
      </c>
      <c r="D152" s="134" t="str">
        <f>TaskTimings[Employee]&amp;"/"&amp;TaskTimings[Date]</f>
        <v>Aswathy/43550</v>
      </c>
      <c r="E152" s="134">
        <f>COUNTIF($D$1:TaskTimings[[#This Row],[EmployeeDate]],TaskTimings[[#This Row],[EmployeeDate]])</f>
        <v>1</v>
      </c>
      <c r="F152" s="134" t="str">
        <f>TaskTimings[[#This Row],[EmployeeDate]]&amp;"/"&amp;TaskTimings[[#This Row],[EmployeeDateSeq]]</f>
        <v>Aswathy/43550/1</v>
      </c>
      <c r="G152" s="135" t="s">
        <v>115</v>
      </c>
      <c r="H152" s="135" t="s">
        <v>54</v>
      </c>
      <c r="I152" s="136">
        <v>43550</v>
      </c>
      <c r="J152" s="137">
        <v>0.625</v>
      </c>
      <c r="K152" s="139">
        <v>0.6875</v>
      </c>
      <c r="L152" s="138">
        <f>(TaskTimings[End Time]-TaskTimings[Start Time])*1440</f>
        <v>90</v>
      </c>
      <c r="M152" s="138" t="str">
        <f>TEXT(TaskTimings[End Time]-TaskTimings[Start Time],"HH:mm")</f>
        <v>01:30</v>
      </c>
      <c r="N152" s="138">
        <f>SUMIFS(TaskTimings[Total Minutes],TaskTimings[Date],TaskTimings[Date],TaskTimings[Employee],TaskTimings[Employee])</f>
        <v>90</v>
      </c>
      <c r="O152" s="138" t="str">
        <f>TEXT(TaskTimings[Day Total Minutes]/1440,"HH:mm")</f>
        <v>01:30</v>
      </c>
      <c r="P152" s="134" t="str">
        <f>TaskTimings[PRJ]</f>
        <v>RTRDB</v>
      </c>
      <c r="Q152" s="134" t="str">
        <f>TaskTimings[TSK]</f>
        <v>Restore DB</v>
      </c>
    </row>
    <row r="153" spans="1:17" x14ac:dyDescent="0.25">
      <c r="A153" s="133">
        <f t="shared" si="14"/>
        <v>150</v>
      </c>
      <c r="B153" s="134" t="str">
        <f>VLOOKUP(TaskTimings[Task],ProjectTasks[[TaskProjectCode]:[TSK]],2,0)</f>
        <v>RTRDB</v>
      </c>
      <c r="C153" s="134" t="str">
        <f>VLOOKUP(TaskTimings[Task],ProjectTasks[[TaskProjectCode]:[TSK]],3,0)</f>
        <v>Restore DB</v>
      </c>
      <c r="D153" s="134" t="str">
        <f>TaskTimings[Employee]&amp;"/"&amp;TaskTimings[Date]</f>
        <v>Aswathy/43551</v>
      </c>
      <c r="E153" s="134">
        <f>COUNTIF($D$1:TaskTimings[[#This Row],[EmployeeDate]],TaskTimings[[#This Row],[EmployeeDate]])</f>
        <v>1</v>
      </c>
      <c r="F153" s="134" t="str">
        <f>TaskTimings[[#This Row],[EmployeeDate]]&amp;"/"&amp;TaskTimings[[#This Row],[EmployeeDateSeq]]</f>
        <v>Aswathy/43551/1</v>
      </c>
      <c r="G153" s="135" t="s">
        <v>115</v>
      </c>
      <c r="H153" s="135" t="s">
        <v>54</v>
      </c>
      <c r="I153" s="136">
        <v>43551</v>
      </c>
      <c r="J153" s="137">
        <v>0.39583333333333331</v>
      </c>
      <c r="K153" s="139">
        <v>0.54166666666666663</v>
      </c>
      <c r="L153" s="138">
        <f>(TaskTimings[End Time]-TaskTimings[Start Time])*1440</f>
        <v>209.99999999999997</v>
      </c>
      <c r="M153" s="138" t="str">
        <f>TEXT(TaskTimings[End Time]-TaskTimings[Start Time],"HH:mm")</f>
        <v>03:30</v>
      </c>
      <c r="N153" s="138">
        <f>SUMIFS(TaskTimings[Total Minutes],TaskTimings[Date],TaskTimings[Date],TaskTimings[Employee],TaskTimings[Employee])</f>
        <v>254.99999999999997</v>
      </c>
      <c r="O153" s="138" t="str">
        <f>TEXT(TaskTimings[Day Total Minutes]/1440,"HH:mm")</f>
        <v>04:15</v>
      </c>
      <c r="P153" s="134" t="str">
        <f>TaskTimings[PRJ]</f>
        <v>RTRDB</v>
      </c>
      <c r="Q153" s="134" t="str">
        <f>TaskTimings[TSK]</f>
        <v>Restore DB</v>
      </c>
    </row>
    <row r="154" spans="1:17" x14ac:dyDescent="0.25">
      <c r="A154" s="133">
        <f t="shared" si="14"/>
        <v>151</v>
      </c>
      <c r="B154" s="134" t="str">
        <f>VLOOKUP(TaskTimings[Task],ProjectTasks[[TaskProjectCode]:[TSK]],2,0)</f>
        <v>RTRDB</v>
      </c>
      <c r="C154" s="134" t="str">
        <f>VLOOKUP(TaskTimings[Task],ProjectTasks[[TaskProjectCode]:[TSK]],3,0)</f>
        <v>Restore DB</v>
      </c>
      <c r="D154" s="134" t="str">
        <f>TaskTimings[Employee]&amp;"/"&amp;TaskTimings[Date]</f>
        <v>Aswathy/43551</v>
      </c>
      <c r="E154" s="134">
        <f>COUNTIF($D$1:TaskTimings[[#This Row],[EmployeeDate]],TaskTimings[[#This Row],[EmployeeDate]])</f>
        <v>2</v>
      </c>
      <c r="F154" s="134" t="str">
        <f>TaskTimings[[#This Row],[EmployeeDate]]&amp;"/"&amp;TaskTimings[[#This Row],[EmployeeDateSeq]]</f>
        <v>Aswathy/43551/2</v>
      </c>
      <c r="G154" s="135" t="s">
        <v>115</v>
      </c>
      <c r="H154" s="135" t="s">
        <v>54</v>
      </c>
      <c r="I154" s="136">
        <v>43551</v>
      </c>
      <c r="J154" s="137">
        <v>0.66666666666666663</v>
      </c>
      <c r="K154" s="139">
        <v>0.69791666666666663</v>
      </c>
      <c r="L154" s="138">
        <f>(TaskTimings[End Time]-TaskTimings[Start Time])*1440</f>
        <v>45</v>
      </c>
      <c r="M154" s="138" t="str">
        <f>TEXT(TaskTimings[End Time]-TaskTimings[Start Time],"HH:mm")</f>
        <v>00:45</v>
      </c>
      <c r="N154" s="138">
        <f>SUMIFS(TaskTimings[Total Minutes],TaskTimings[Date],TaskTimings[Date],TaskTimings[Employee],TaskTimings[Employee])</f>
        <v>254.99999999999997</v>
      </c>
      <c r="O154" s="138" t="str">
        <f>TEXT(TaskTimings[Day Total Minutes]/1440,"HH:mm")</f>
        <v>04:15</v>
      </c>
      <c r="P154" s="134" t="str">
        <f>TaskTimings[PRJ]</f>
        <v>RTRDB</v>
      </c>
      <c r="Q154" s="134" t="str">
        <f>TaskTimings[TSK]</f>
        <v>Restore DB</v>
      </c>
    </row>
    <row r="155" spans="1:17" x14ac:dyDescent="0.25">
      <c r="A155" s="133">
        <f t="shared" si="14"/>
        <v>152</v>
      </c>
      <c r="B155" s="134" t="str">
        <f>VLOOKUP(TaskTimings[Task],ProjectTasks[[TaskProjectCode]:[TSK]],2,0)</f>
        <v>RTRDB</v>
      </c>
      <c r="C155" s="134" t="str">
        <f>VLOOKUP(TaskTimings[Task],ProjectTasks[[TaskProjectCode]:[TSK]],3,0)</f>
        <v>Restore DB</v>
      </c>
      <c r="D155" s="134" t="str">
        <f>TaskTimings[Employee]&amp;"/"&amp;TaskTimings[Date]</f>
        <v>Aswathy/43553</v>
      </c>
      <c r="E155" s="134">
        <f>COUNTIF($D$1:TaskTimings[[#This Row],[EmployeeDate]],TaskTimings[[#This Row],[EmployeeDate]])</f>
        <v>1</v>
      </c>
      <c r="F155" s="134" t="str">
        <f>TaskTimings[[#This Row],[EmployeeDate]]&amp;"/"&amp;TaskTimings[[#This Row],[EmployeeDateSeq]]</f>
        <v>Aswathy/43553/1</v>
      </c>
      <c r="G155" s="135" t="s">
        <v>115</v>
      </c>
      <c r="H155" s="135" t="s">
        <v>54</v>
      </c>
      <c r="I155" s="136">
        <v>43553</v>
      </c>
      <c r="J155" s="137">
        <v>0.58333333333333337</v>
      </c>
      <c r="K155" s="139">
        <v>0.70833333333333337</v>
      </c>
      <c r="L155" s="138">
        <f>(TaskTimings[End Time]-TaskTimings[Start Time])*1440</f>
        <v>180</v>
      </c>
      <c r="M155" s="138" t="str">
        <f>TEXT(TaskTimings[End Time]-TaskTimings[Start Time],"HH:mm")</f>
        <v>03:00</v>
      </c>
      <c r="N155" s="138">
        <f>SUMIFS(TaskTimings[Total Minutes],TaskTimings[Date],TaskTimings[Date],TaskTimings[Employee],TaskTimings[Employee])</f>
        <v>180</v>
      </c>
      <c r="O155" s="138" t="str">
        <f>TEXT(TaskTimings[Day Total Minutes]/1440,"HH:mm")</f>
        <v>03:00</v>
      </c>
      <c r="P155" s="134" t="str">
        <f>TaskTimings[PRJ]</f>
        <v>RTRDB</v>
      </c>
      <c r="Q155" s="134" t="str">
        <f>TaskTimings[TSK]</f>
        <v>Restore DB</v>
      </c>
    </row>
    <row r="156" spans="1:17" x14ac:dyDescent="0.25">
      <c r="A156" s="133">
        <f t="shared" si="14"/>
        <v>153</v>
      </c>
      <c r="B156" s="134" t="str">
        <f>VLOOKUP(TaskTimings[Task],ProjectTasks[[TaskProjectCode]:[TSK]],2,0)</f>
        <v>RTRDB</v>
      </c>
      <c r="C156" s="134" t="str">
        <f>VLOOKUP(TaskTimings[Task],ProjectTasks[[TaskProjectCode]:[TSK]],3,0)</f>
        <v>Restore DB</v>
      </c>
      <c r="D156" s="134" t="str">
        <f>TaskTimings[Employee]&amp;"/"&amp;TaskTimings[Date]</f>
        <v>Aswathy/43554</v>
      </c>
      <c r="E156" s="134">
        <f>COUNTIF($D$1:TaskTimings[[#This Row],[EmployeeDate]],TaskTimings[[#This Row],[EmployeeDate]])</f>
        <v>1</v>
      </c>
      <c r="F156" s="134" t="str">
        <f>TaskTimings[[#This Row],[EmployeeDate]]&amp;"/"&amp;TaskTimings[[#This Row],[EmployeeDateSeq]]</f>
        <v>Aswathy/43554/1</v>
      </c>
      <c r="G156" s="135" t="s">
        <v>115</v>
      </c>
      <c r="H156" s="135" t="s">
        <v>54</v>
      </c>
      <c r="I156" s="136">
        <v>43554</v>
      </c>
      <c r="J156" s="137">
        <v>0.41666666666666669</v>
      </c>
      <c r="K156" s="139">
        <v>0.52083333333333337</v>
      </c>
      <c r="L156" s="138">
        <f>(TaskTimings[End Time]-TaskTimings[Start Time])*1440</f>
        <v>150.00000000000003</v>
      </c>
      <c r="M156" s="138" t="str">
        <f>TEXT(TaskTimings[End Time]-TaskTimings[Start Time],"HH:mm")</f>
        <v>02:30</v>
      </c>
      <c r="N156" s="138">
        <f>SUMIFS(TaskTimings[Total Minutes],TaskTimings[Date],TaskTimings[Date],TaskTimings[Employee],TaskTimings[Employee])</f>
        <v>150.00000000000003</v>
      </c>
      <c r="O156" s="138" t="str">
        <f>TEXT(TaskTimings[Day Total Minutes]/1440,"HH:mm")</f>
        <v>02:30</v>
      </c>
      <c r="P156" s="134" t="str">
        <f>TaskTimings[PRJ]</f>
        <v>RTRDB</v>
      </c>
      <c r="Q156" s="134" t="str">
        <f>TaskTimings[TSK]</f>
        <v>Restore DB</v>
      </c>
    </row>
    <row r="157" spans="1:17" x14ac:dyDescent="0.25">
      <c r="A157" s="133">
        <f>IFERROR($A156+1,1)</f>
        <v>154</v>
      </c>
      <c r="B157" s="134" t="str">
        <f>VLOOKUP(TaskTimings[Task],ProjectTasks[[TaskProjectCode]:[TSK]],2,0)</f>
        <v>RTRDB</v>
      </c>
      <c r="C157" s="134" t="str">
        <f>VLOOKUP(TaskTimings[Task],ProjectTasks[[TaskProjectCode]:[TSK]],3,0)</f>
        <v>Restore DB</v>
      </c>
      <c r="D157" s="134" t="str">
        <f>TaskTimings[Employee]&amp;"/"&amp;TaskTimings[Date]</f>
        <v>Aswathy/43558</v>
      </c>
      <c r="E157" s="134">
        <f>COUNTIF($D$1:TaskTimings[[#This Row],[EmployeeDate]],TaskTimings[[#This Row],[EmployeeDate]])</f>
        <v>1</v>
      </c>
      <c r="F157" s="134" t="str">
        <f>TaskTimings[[#This Row],[EmployeeDate]]&amp;"/"&amp;TaskTimings[[#This Row],[EmployeeDateSeq]]</f>
        <v>Aswathy/43558/1</v>
      </c>
      <c r="G157" s="135" t="s">
        <v>115</v>
      </c>
      <c r="H157" s="135" t="s">
        <v>54</v>
      </c>
      <c r="I157" s="136">
        <v>43558</v>
      </c>
      <c r="J157" s="137">
        <v>0.5</v>
      </c>
      <c r="K157" s="139">
        <v>0.58333333333333337</v>
      </c>
      <c r="L157" s="138">
        <f>(TaskTimings[End Time]-TaskTimings[Start Time])*1440</f>
        <v>120.00000000000006</v>
      </c>
      <c r="M157" s="138" t="str">
        <f>TEXT(TaskTimings[End Time]-TaskTimings[Start Time],"HH:mm")</f>
        <v>02:00</v>
      </c>
      <c r="N157" s="138">
        <f>SUMIFS(TaskTimings[Total Minutes],TaskTimings[Date],TaskTimings[Date],TaskTimings[Employee],TaskTimings[Employee])</f>
        <v>120.00000000000006</v>
      </c>
      <c r="O157" s="138" t="str">
        <f>TEXT(TaskTimings[Day Total Minutes]/1440,"HH:mm")</f>
        <v>02:00</v>
      </c>
      <c r="P157" s="134" t="str">
        <f>TaskTimings[PRJ]</f>
        <v>RTRDB</v>
      </c>
      <c r="Q157" s="134" t="str">
        <f>TaskTimings[TSK]</f>
        <v>Restore DB</v>
      </c>
    </row>
  </sheetData>
  <dataValidations count="2">
    <dataValidation type="list" allowBlank="1" showInputMessage="1" showErrorMessage="1" sqref="H2:H157">
      <formula1>EmployeeNames</formula1>
    </dataValidation>
    <dataValidation type="list" allowBlank="1" showInputMessage="1" showErrorMessage="1" sqref="G2:G157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93" t="s">
        <v>109</v>
      </c>
      <c r="B1" s="193"/>
      <c r="C1" s="193"/>
      <c r="D1" s="193"/>
      <c r="E1" s="193"/>
    </row>
    <row r="2" spans="1:16" x14ac:dyDescent="0.25">
      <c r="A2" s="193"/>
      <c r="B2" s="193"/>
      <c r="C2" s="193"/>
      <c r="D2" s="193"/>
      <c r="E2" s="193"/>
      <c r="J2" s="178" t="s">
        <v>33</v>
      </c>
      <c r="K2" s="178"/>
      <c r="L2" s="178"/>
    </row>
    <row r="3" spans="1:16" x14ac:dyDescent="0.25">
      <c r="A3" s="193"/>
      <c r="B3" s="193"/>
      <c r="C3" s="193"/>
      <c r="D3" s="193"/>
      <c r="E3" s="193"/>
      <c r="J3" s="178"/>
      <c r="K3" s="178"/>
      <c r="L3" s="178"/>
    </row>
    <row r="4" spans="1:16" ht="15.75" thickBot="1" x14ac:dyDescent="0.3">
      <c r="A4" s="194" t="str">
        <f>VLOOKUP($A$1,Project[[Project]:[Project Code]],2,0)</f>
        <v>RTRDB</v>
      </c>
      <c r="B4" s="194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85" t="s">
        <v>31</v>
      </c>
      <c r="B5" s="195" t="s">
        <v>29</v>
      </c>
      <c r="C5" s="195"/>
      <c r="D5" s="195"/>
      <c r="E5" s="195"/>
      <c r="F5" s="195"/>
      <c r="G5" s="174" t="s">
        <v>32</v>
      </c>
      <c r="H5" s="176"/>
      <c r="J5" s="185" t="str">
        <f>IFERROR(VLOOKUP(J$4,Employees[],2,0),"")</f>
        <v>Aswathy</v>
      </c>
      <c r="K5" s="174" t="str">
        <f>IFERROR(VLOOKUP(K$4,Employees[],2,0),"")</f>
        <v>Vishnu</v>
      </c>
      <c r="L5" s="174" t="str">
        <f>IFERROR(VLOOKUP(L$4,Employees[],2,0),"")</f>
        <v>Shareena</v>
      </c>
      <c r="M5" s="174" t="str">
        <f>IFERROR(VLOOKUP(M$4,Employees[],2,0),"")</f>
        <v>Firose</v>
      </c>
      <c r="N5" s="174" t="str">
        <f>IFERROR(VLOOKUP(N$4,Employees[],2,0),"")</f>
        <v/>
      </c>
      <c r="O5" s="174" t="str">
        <f>IFERROR(VLOOKUP(O$4,Employees[],2,0),"")</f>
        <v/>
      </c>
      <c r="P5" s="176" t="str">
        <f>IFERROR(VLOOKUP(P$4,Employees[],2,0),"")</f>
        <v/>
      </c>
    </row>
    <row r="6" spans="1:16" x14ac:dyDescent="0.25">
      <c r="A6" s="186"/>
      <c r="B6" s="196"/>
      <c r="C6" s="196"/>
      <c r="D6" s="196"/>
      <c r="E6" s="196"/>
      <c r="F6" s="196"/>
      <c r="G6" s="175"/>
      <c r="H6" s="177"/>
      <c r="J6" s="186"/>
      <c r="K6" s="175"/>
      <c r="L6" s="175"/>
      <c r="M6" s="175"/>
      <c r="N6" s="175"/>
      <c r="O6" s="175"/>
      <c r="P6" s="177"/>
    </row>
    <row r="7" spans="1:16" x14ac:dyDescent="0.25">
      <c r="A7" s="12">
        <v>1</v>
      </c>
      <c r="B7" s="189" t="str">
        <f>IFERROR(VLOOKUP($A$4&amp;"-"&amp;$A7,ProjectTasks[[PRJTSKSEQ]:[Task]],2,0),"")</f>
        <v>Documentation</v>
      </c>
      <c r="C7" s="189"/>
      <c r="D7" s="189"/>
      <c r="E7" s="189"/>
      <c r="F7" s="189"/>
      <c r="G7" s="187">
        <f>SUMIFS(TaskTimings[Total Minutes],TaskTimings[PRJ],$A$4,TaskTimings[TSK],$B7)</f>
        <v>189.99999999999989</v>
      </c>
      <c r="H7" s="188"/>
      <c r="J7" s="15">
        <f>SUMIFS(TaskTimings[Total Minutes],TaskTimings[PRJ],$A$4,TaskTimings[TSK],$B7,TaskTimings[Employee],J$5)</f>
        <v>189.99999999999989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89" t="str">
        <f>IFERROR(VLOOKUP($A$4&amp;"-"&amp;$A8,ProjectTasks[[PRJTSKSEQ]:[Task]],2,0),"")</f>
        <v>Surrender PC</v>
      </c>
      <c r="C8" s="189"/>
      <c r="D8" s="189"/>
      <c r="E8" s="189"/>
      <c r="F8" s="189"/>
      <c r="G8" s="187">
        <f>SUMIFS(TaskTimings[Total Minutes],TaskTimings[PRJ],$A$4,TaskTimings[TSK],$B8)</f>
        <v>680</v>
      </c>
      <c r="H8" s="188"/>
      <c r="J8" s="15">
        <f>SUMIFS(TaskTimings[Total Minutes],TaskTimings[PRJ],$A$4,TaskTimings[TSK],$B8,TaskTimings[Employee],J$5)</f>
        <v>680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89" t="str">
        <f>IFERROR(VLOOKUP($A$4&amp;"-"&amp;$A9,ProjectTasks[[PRJTSKSEQ]:[Task]],2,0),"")</f>
        <v>Restore DB</v>
      </c>
      <c r="C9" s="189"/>
      <c r="D9" s="189"/>
      <c r="E9" s="189"/>
      <c r="F9" s="189"/>
      <c r="G9" s="187">
        <f>SUMIFS(TaskTimings[Total Minutes],TaskTimings[PRJ],$A$4,TaskTimings[TSK],$B9)</f>
        <v>1005</v>
      </c>
      <c r="H9" s="188"/>
      <c r="J9" s="15">
        <f>SUMIFS(TaskTimings[Total Minutes],TaskTimings[PRJ],$A$4,TaskTimings[TSK],$B9,TaskTimings[Employee],J$5)</f>
        <v>1005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89" t="str">
        <f>IFERROR(VLOOKUP($A$4&amp;"-"&amp;$A10,ProjectTasks[[PRJTSKSEQ]:[Task]],2,0),"")</f>
        <v/>
      </c>
      <c r="C10" s="189"/>
      <c r="D10" s="189"/>
      <c r="E10" s="189"/>
      <c r="F10" s="189"/>
      <c r="G10" s="187">
        <f>SUMIFS(TaskTimings[Total Minutes],TaskTimings[PRJ],$A$4,TaskTimings[TSK],$B10)</f>
        <v>0</v>
      </c>
      <c r="H10" s="188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89" t="str">
        <f>IFERROR(VLOOKUP($A$4&amp;"-"&amp;$A11,ProjectTasks[[PRJTSKSEQ]:[Task]],2,0),"")</f>
        <v/>
      </c>
      <c r="C11" s="189"/>
      <c r="D11" s="189"/>
      <c r="E11" s="189"/>
      <c r="F11" s="189"/>
      <c r="G11" s="187">
        <f>SUMIFS(TaskTimings[Total Minutes],TaskTimings[PRJ],$A$4,TaskTimings[TSK],$B11)</f>
        <v>0</v>
      </c>
      <c r="H11" s="188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89" t="str">
        <f>IFERROR(VLOOKUP($A$4&amp;"-"&amp;$A12,ProjectTasks[[PRJTSKSEQ]:[Task]],2,0),"")</f>
        <v/>
      </c>
      <c r="C12" s="189"/>
      <c r="D12" s="189"/>
      <c r="E12" s="189"/>
      <c r="F12" s="189"/>
      <c r="G12" s="187">
        <f>SUMIFS(TaskTimings[Total Minutes],TaskTimings[PRJ],$A$4,TaskTimings[TSK],$B12)</f>
        <v>0</v>
      </c>
      <c r="H12" s="188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89" t="str">
        <f>IFERROR(VLOOKUP($A$4&amp;"-"&amp;$A13,ProjectTasks[[PRJTSKSEQ]:[Task]],2,0),"")</f>
        <v/>
      </c>
      <c r="C13" s="189"/>
      <c r="D13" s="189"/>
      <c r="E13" s="189"/>
      <c r="F13" s="189"/>
      <c r="G13" s="187">
        <f>SUMIFS(TaskTimings[Total Minutes],TaskTimings[PRJ],$A$4,TaskTimings[TSK],$B13)</f>
        <v>0</v>
      </c>
      <c r="H13" s="188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89" t="str">
        <f>IFERROR(VLOOKUP($A$4&amp;"-"&amp;$A14,ProjectTasks[[PRJTSKSEQ]:[Task]],2,0),"")</f>
        <v/>
      </c>
      <c r="C14" s="189"/>
      <c r="D14" s="189"/>
      <c r="E14" s="189"/>
      <c r="F14" s="189"/>
      <c r="G14" s="187">
        <f>SUMIFS(TaskTimings[Total Minutes],TaskTimings[PRJ],$A$4,TaskTimings[TSK],$B14)</f>
        <v>0</v>
      </c>
      <c r="H14" s="188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89" t="str">
        <f>IFERROR(VLOOKUP($A$4&amp;"-"&amp;$A15,ProjectTasks[[PRJTSKSEQ]:[Task]],2,0),"")</f>
        <v/>
      </c>
      <c r="C15" s="189"/>
      <c r="D15" s="189"/>
      <c r="E15" s="189"/>
      <c r="F15" s="189"/>
      <c r="G15" s="187">
        <f>SUMIFS(TaskTimings[Total Minutes],TaskTimings[PRJ],$A$4,TaskTimings[TSK],$B15)</f>
        <v>0</v>
      </c>
      <c r="H15" s="188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89" t="str">
        <f>IFERROR(VLOOKUP($A$4&amp;"-"&amp;$A16,ProjectTasks[[PRJTSKSEQ]:[Task]],2,0),"")</f>
        <v/>
      </c>
      <c r="C16" s="189"/>
      <c r="D16" s="189"/>
      <c r="E16" s="189"/>
      <c r="F16" s="189"/>
      <c r="G16" s="187">
        <f>SUMIFS(TaskTimings[Total Minutes],TaskTimings[PRJ],$A$4,TaskTimings[TSK],$B16)</f>
        <v>0</v>
      </c>
      <c r="H16" s="188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89" t="str">
        <f>IFERROR(VLOOKUP($A$4&amp;"-"&amp;$A17,ProjectTasks[[PRJTSKSEQ]:[Task]],2,0),"")</f>
        <v/>
      </c>
      <c r="C17" s="189"/>
      <c r="D17" s="189"/>
      <c r="E17" s="189"/>
      <c r="F17" s="189"/>
      <c r="G17" s="187">
        <f>SUMIFS(TaskTimings[Total Minutes],TaskTimings[PRJ],$A$4,TaskTimings[TSK],$B17)</f>
        <v>0</v>
      </c>
      <c r="H17" s="188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89" t="str">
        <f>IFERROR(VLOOKUP($A$4&amp;"-"&amp;$A18,ProjectTasks[[PRJTSKSEQ]:[Task]],2,0),"")</f>
        <v/>
      </c>
      <c r="C18" s="189"/>
      <c r="D18" s="189"/>
      <c r="E18" s="189"/>
      <c r="F18" s="189"/>
      <c r="G18" s="187">
        <f>SUMIFS(TaskTimings[Total Minutes],TaskTimings[PRJ],$A$4,TaskTimings[TSK],$B18)</f>
        <v>0</v>
      </c>
      <c r="H18" s="188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89" t="str">
        <f>IFERROR(VLOOKUP($A$4&amp;"-"&amp;$A19,ProjectTasks[[PRJTSKSEQ]:[Task]],2,0),"")</f>
        <v/>
      </c>
      <c r="C19" s="189"/>
      <c r="D19" s="189"/>
      <c r="E19" s="189"/>
      <c r="F19" s="189"/>
      <c r="G19" s="187">
        <f>SUMIFS(TaskTimings[Total Minutes],TaskTimings[PRJ],$A$4,TaskTimings[TSK],$B19)</f>
        <v>0</v>
      </c>
      <c r="H19" s="188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89" t="str">
        <f>IFERROR(VLOOKUP($A$4&amp;"-"&amp;$A20,ProjectTasks[[PRJTSKSEQ]:[Task]],2,0),"")</f>
        <v/>
      </c>
      <c r="C20" s="189"/>
      <c r="D20" s="189"/>
      <c r="E20" s="189"/>
      <c r="F20" s="189"/>
      <c r="G20" s="187">
        <f>SUMIFS(TaskTimings[Total Minutes],TaskTimings[PRJ],$A$4,TaskTimings[TSK],$B20)</f>
        <v>0</v>
      </c>
      <c r="H20" s="188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92" t="str">
        <f>IFERROR(VLOOKUP($A$4&amp;"-"&amp;$A21,ProjectTasks[[PRJTSKSEQ]:[Task]],2,0),"")</f>
        <v/>
      </c>
      <c r="C21" s="192"/>
      <c r="D21" s="192"/>
      <c r="E21" s="192"/>
      <c r="F21" s="192"/>
      <c r="G21" s="190">
        <f>SUMIFS(TaskTimings[Total Minutes],TaskTimings[PRJ],$A$4,TaskTimings[TSK],$B21)</f>
        <v>0</v>
      </c>
      <c r="H21" s="191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79" t="s">
        <v>24</v>
      </c>
      <c r="E23" s="180"/>
      <c r="F23" s="181"/>
      <c r="G23" s="179">
        <f>SUM(G7:H21)</f>
        <v>1875</v>
      </c>
      <c r="H23" s="181"/>
      <c r="J23" s="172">
        <f>SUM(J7:J21)</f>
        <v>1875</v>
      </c>
      <c r="K23" s="172">
        <f t="shared" ref="K23:P23" si="0">SUM(K7:K21)</f>
        <v>0</v>
      </c>
      <c r="L23" s="172">
        <f t="shared" si="0"/>
        <v>0</v>
      </c>
      <c r="M23" s="172">
        <f t="shared" si="0"/>
        <v>0</v>
      </c>
      <c r="N23" s="172">
        <f t="shared" si="0"/>
        <v>0</v>
      </c>
      <c r="O23" s="172">
        <f t="shared" si="0"/>
        <v>0</v>
      </c>
      <c r="P23" s="172">
        <f t="shared" si="0"/>
        <v>0</v>
      </c>
    </row>
    <row r="24" spans="1:16" ht="15.75" thickBot="1" x14ac:dyDescent="0.3">
      <c r="D24" s="182"/>
      <c r="E24" s="183"/>
      <c r="F24" s="184"/>
      <c r="G24" s="182"/>
      <c r="H24" s="184"/>
      <c r="J24" s="173"/>
      <c r="K24" s="173"/>
      <c r="L24" s="173"/>
      <c r="M24" s="173"/>
      <c r="N24" s="173"/>
      <c r="O24" s="173"/>
      <c r="P24" s="173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199" t="s">
        <v>54</v>
      </c>
      <c r="B1" s="199"/>
      <c r="C1" s="199"/>
      <c r="D1" s="199"/>
      <c r="F1" s="201" t="s">
        <v>35</v>
      </c>
      <c r="G1" s="201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99"/>
      <c r="B2" s="199"/>
      <c r="C2" s="199"/>
      <c r="D2" s="199"/>
      <c r="F2" s="200">
        <v>43475</v>
      </c>
      <c r="G2" s="200"/>
      <c r="I2" s="217">
        <f>SUM(I7:I30)</f>
        <v>315</v>
      </c>
      <c r="J2" s="211" t="str">
        <f>INT($I$2/60)&amp;":"&amp;MOD(INT($I$2),60)</f>
        <v>5:15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99"/>
      <c r="B3" s="199"/>
      <c r="C3" s="199"/>
      <c r="D3" s="199"/>
      <c r="F3" s="200"/>
      <c r="G3" s="200"/>
      <c r="I3" s="218"/>
      <c r="J3" s="212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78" t="s">
        <v>44</v>
      </c>
      <c r="L4" s="178"/>
      <c r="M4" s="178"/>
    </row>
    <row r="5" spans="1:28" ht="15.75" thickBot="1" x14ac:dyDescent="0.3">
      <c r="B5" s="178" t="s">
        <v>45</v>
      </c>
      <c r="C5" s="178"/>
      <c r="D5" s="178"/>
      <c r="E5" s="178"/>
      <c r="F5" s="178"/>
      <c r="K5" s="197"/>
      <c r="L5" s="197"/>
      <c r="M5" s="197"/>
    </row>
    <row r="6" spans="1:28" ht="15.75" thickBot="1" x14ac:dyDescent="0.3">
      <c r="A6" s="14">
        <v>1</v>
      </c>
      <c r="B6" s="198"/>
      <c r="C6" s="198"/>
      <c r="D6" s="198"/>
      <c r="E6" s="198"/>
      <c r="F6" s="198"/>
      <c r="J6" s="25"/>
      <c r="K6" s="32" t="s">
        <v>0</v>
      </c>
      <c r="L6" s="208" t="s">
        <v>4</v>
      </c>
      <c r="M6" s="208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202">
        <f>$F$2</f>
        <v>43475</v>
      </c>
      <c r="C7" s="174"/>
      <c r="D7" s="203" t="str">
        <f>IFERROR(VLOOKUP($A$1&amp;"/"&amp;$B$7&amp;"/"&amp;$A6,TaskTimings[[EmployeeDateSeqCode]:[Task]],2,0),"")</f>
        <v/>
      </c>
      <c r="E7" s="203"/>
      <c r="F7" s="203"/>
      <c r="G7" s="203"/>
      <c r="H7" s="23">
        <f>IFERROR(VLOOKUP($A$1&amp;"/"&amp;$B$7&amp;"/"&amp;$A6,TaskTimings[[EmployeeDateSeqCode]:[Total Minutes]],7,0),0)</f>
        <v>0</v>
      </c>
      <c r="I7" s="210">
        <f>SUM(H7:H10)</f>
        <v>0</v>
      </c>
      <c r="J7" s="25"/>
      <c r="K7" s="70">
        <v>1</v>
      </c>
      <c r="L7" s="213" t="str">
        <f>IFERROR(VLOOKUP($K7,$X$7:$Y$30,2,0),"")</f>
        <v>SDS</v>
      </c>
      <c r="M7" s="213"/>
      <c r="N7" s="72">
        <f>SUMIFS($AB$7:$AB$30,$Y$7:$Y$30,$L7)</f>
        <v>315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86"/>
      <c r="C8" s="175"/>
      <c r="D8" s="204" t="str">
        <f>IFERROR(VLOOKUP($A$1&amp;"/"&amp;$B$7&amp;"/"&amp;$A7,TaskTimings[[EmployeeDateSeqCode]:[Task]],2,0),"")</f>
        <v/>
      </c>
      <c r="E8" s="204"/>
      <c r="F8" s="204"/>
      <c r="G8" s="204"/>
      <c r="H8" s="22">
        <f>IFERROR(VLOOKUP($A$1&amp;"/"&amp;$B$7&amp;"/"&amp;$A7,TaskTimings[[EmployeeDateSeqCode]:[Total Minutes]],7,0),0)</f>
        <v>0</v>
      </c>
      <c r="I8" s="211"/>
      <c r="J8" s="25"/>
      <c r="K8" s="70">
        <v>2</v>
      </c>
      <c r="L8" s="213" t="str">
        <f>IFERROR(VLOOKUP($K8,$X$7:$Y$30,2,0),"")</f>
        <v/>
      </c>
      <c r="M8" s="213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86"/>
      <c r="C9" s="175"/>
      <c r="D9" s="204" t="str">
        <f>IFERROR(VLOOKUP($A$1&amp;"/"&amp;$B$7&amp;"/"&amp;$A8,TaskTimings[[EmployeeDateSeqCode]:[Task]],2,0),"")</f>
        <v/>
      </c>
      <c r="E9" s="204"/>
      <c r="F9" s="204"/>
      <c r="G9" s="204"/>
      <c r="H9" s="22">
        <f>IFERROR(VLOOKUP($A$1&amp;"/"&amp;$B$7&amp;"/"&amp;$A8,TaskTimings[[EmployeeDateSeqCode]:[Total Minutes]],7,0),0)</f>
        <v>0</v>
      </c>
      <c r="I9" s="211"/>
      <c r="J9" s="25"/>
      <c r="K9" s="70">
        <v>3</v>
      </c>
      <c r="L9" s="213" t="str">
        <f>IFERROR(VLOOKUP($K9,$X$7:$Y$30,2,0),"")</f>
        <v/>
      </c>
      <c r="M9" s="213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86"/>
      <c r="C10" s="175"/>
      <c r="D10" s="204" t="str">
        <f>IFERROR(VLOOKUP($A$1&amp;"/"&amp;$B$7&amp;"/"&amp;$A9,TaskTimings[[EmployeeDateSeqCode]:[Task]],2,0),"")</f>
        <v/>
      </c>
      <c r="E10" s="204"/>
      <c r="F10" s="204"/>
      <c r="G10" s="204"/>
      <c r="H10" s="22">
        <f>IFERROR(VLOOKUP($A$1&amp;"/"&amp;$B$7&amp;"/"&amp;$A9,TaskTimings[[EmployeeDateSeqCode]:[Total Minutes]],7,0),0)</f>
        <v>0</v>
      </c>
      <c r="I10" s="211"/>
      <c r="J10" s="25"/>
      <c r="K10" s="70">
        <v>4</v>
      </c>
      <c r="L10" s="213" t="str">
        <f>IFERROR(VLOOKUP($K10,$X$7:$Y$30,2,0),"")</f>
        <v/>
      </c>
      <c r="M10" s="213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205">
        <f>B7+1</f>
        <v>43476</v>
      </c>
      <c r="C11" s="175"/>
      <c r="D11" s="204" t="str">
        <f>IFERROR(VLOOKUP($A$1&amp;"/"&amp;$B$11&amp;"/"&amp;$A10,TaskTimings[[EmployeeDateSeqCode]:[Task]],2,0),"")</f>
        <v/>
      </c>
      <c r="E11" s="204"/>
      <c r="F11" s="204"/>
      <c r="G11" s="204"/>
      <c r="H11" s="22">
        <f>IFERROR(VLOOKUP($A$1&amp;"/"&amp;$B$11&amp;"/"&amp;$A10,TaskTimings[[EmployeeDateSeqCode]:[Total Minutes]],7,0),0)</f>
        <v>0</v>
      </c>
      <c r="I11" s="211">
        <f t="shared" ref="I11" si="2">SUM(H11:H14)</f>
        <v>0</v>
      </c>
      <c r="J11" s="25"/>
      <c r="K11" s="71">
        <v>5</v>
      </c>
      <c r="L11" s="216" t="str">
        <f>IFERROR(VLOOKUP($K11,$X$7:$Y$30,2,0),"")</f>
        <v/>
      </c>
      <c r="M11" s="216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86"/>
      <c r="C12" s="175"/>
      <c r="D12" s="204" t="str">
        <f>IFERROR(VLOOKUP($A$1&amp;"/"&amp;$B$11&amp;"/"&amp;$A11,TaskTimings[[EmployeeDateSeqCode]:[Task]],2,0),"")</f>
        <v/>
      </c>
      <c r="E12" s="204"/>
      <c r="F12" s="204"/>
      <c r="G12" s="204"/>
      <c r="H12" s="22">
        <f>IFERROR(VLOOKUP($A$1&amp;"/"&amp;$B$11&amp;"/"&amp;$A11,TaskTimings[[EmployeeDateSeqCode]:[Total Minutes]],7,0),0)</f>
        <v>0</v>
      </c>
      <c r="I12" s="21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86"/>
      <c r="C13" s="175"/>
      <c r="D13" s="204" t="str">
        <f>IFERROR(VLOOKUP($A$1&amp;"/"&amp;$B$11&amp;"/"&amp;$A12,TaskTimings[[EmployeeDateSeqCode]:[Task]],2,0),"")</f>
        <v/>
      </c>
      <c r="E13" s="204"/>
      <c r="F13" s="204"/>
      <c r="G13" s="204"/>
      <c r="H13" s="22">
        <f>IFERROR(VLOOKUP($A$1&amp;"/"&amp;$B$11&amp;"/"&amp;$A12,TaskTimings[[EmployeeDateSeqCode]:[Total Minutes]],7,0),0)</f>
        <v>0</v>
      </c>
      <c r="I13" s="211"/>
      <c r="J13" s="25"/>
      <c r="K13" s="197" t="s">
        <v>46</v>
      </c>
      <c r="L13" s="197"/>
      <c r="M13" s="197"/>
      <c r="N13" s="197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86"/>
      <c r="C14" s="175"/>
      <c r="D14" s="204" t="str">
        <f>IFERROR(VLOOKUP($A$1&amp;"/"&amp;$B$11&amp;"/"&amp;$A13,TaskTimings[[EmployeeDateSeqCode]:[Task]],2,0),"")</f>
        <v/>
      </c>
      <c r="E14" s="204"/>
      <c r="F14" s="204"/>
      <c r="G14" s="204"/>
      <c r="H14" s="22">
        <f>IFERROR(VLOOKUP($A$1&amp;"/"&amp;$B$11&amp;"/"&amp;$A13,TaskTimings[[EmployeeDateSeqCode]:[Total Minutes]],7,0),0)</f>
        <v>0</v>
      </c>
      <c r="I14" s="211"/>
      <c r="J14" s="25"/>
      <c r="K14" s="198"/>
      <c r="L14" s="198"/>
      <c r="M14" s="198"/>
      <c r="N14" s="198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205">
        <f>B11+1</f>
        <v>43477</v>
      </c>
      <c r="C15" s="175"/>
      <c r="D15" s="204" t="str">
        <f>IFERROR(VLOOKUP($A$1&amp;"/"&amp;$B$15&amp;"/"&amp;$A14,TaskTimings[[EmployeeDateSeqCode]:[Task]],2,0),"")</f>
        <v>SDS/Modification</v>
      </c>
      <c r="E15" s="204"/>
      <c r="F15" s="204"/>
      <c r="G15" s="204"/>
      <c r="H15" s="22">
        <f>IFERROR(VLOOKUP($A$1&amp;"/"&amp;$B$15&amp;"/"&amp;$A14,TaskTimings[[EmployeeDateSeqCode]:[Total Minutes]],7,0),0)</f>
        <v>59.999999999999943</v>
      </c>
      <c r="I15" s="211">
        <f t="shared" ref="I15" si="3">SUM(H15:H18)</f>
        <v>59.999999999999943</v>
      </c>
      <c r="J15" s="25"/>
      <c r="K15" s="214" t="s">
        <v>4</v>
      </c>
      <c r="L15" s="215"/>
      <c r="M15" s="215" t="s">
        <v>29</v>
      </c>
      <c r="N15" s="215"/>
      <c r="O15" s="215"/>
      <c r="P15" s="215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86"/>
      <c r="C16" s="175"/>
      <c r="D16" s="204" t="str">
        <f>IFERROR(VLOOKUP($A$1&amp;"/"&amp;$B$15&amp;"/"&amp;$A15,TaskTimings[[EmployeeDateSeqCode]:[Task]],2,0),"")</f>
        <v/>
      </c>
      <c r="E16" s="204"/>
      <c r="F16" s="204"/>
      <c r="G16" s="204"/>
      <c r="H16" s="22">
        <f>IFERROR(VLOOKUP($A$1&amp;"/"&amp;$B$15&amp;"/"&amp;$A15,TaskTimings[[EmployeeDateSeqCode]:[Total Minutes]],7,0),0)</f>
        <v>0</v>
      </c>
      <c r="I16" s="211"/>
      <c r="J16" s="26">
        <v>1</v>
      </c>
      <c r="K16" s="219" t="str">
        <f>VLOOKUP(1,$K$7:$M$11,2,0)</f>
        <v>SDS</v>
      </c>
      <c r="L16" s="187"/>
      <c r="M16" s="213" t="str">
        <f>IF($K$16="","",IFERROR(VLOOKUP($K$16&amp;"/"&amp;$J16,$Z$7:$AA$30,2,0),""))</f>
        <v>Modification</v>
      </c>
      <c r="N16" s="213"/>
      <c r="O16" s="213"/>
      <c r="P16" s="213"/>
      <c r="Q16" s="22">
        <f>IF($M16="","",SUMIFS($H$7:$H$30,$D$7:$D$30,$K$16&amp;"/"&amp;$M16))</f>
        <v>180</v>
      </c>
      <c r="R16" s="211">
        <f>SUM(Q16:Q19)</f>
        <v>315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86"/>
      <c r="C17" s="175"/>
      <c r="D17" s="204" t="str">
        <f>IFERROR(VLOOKUP($A$1&amp;"/"&amp;$B$15&amp;"/"&amp;$A16,TaskTimings[[EmployeeDateSeqCode]:[Task]],2,0),"")</f>
        <v/>
      </c>
      <c r="E17" s="204"/>
      <c r="F17" s="204"/>
      <c r="G17" s="204"/>
      <c r="H17" s="22">
        <f>IFERROR(VLOOKUP($A$1&amp;"/"&amp;$B$15&amp;"/"&amp;$A16,TaskTimings[[EmployeeDateSeqCode]:[Total Minutes]],7,0),0)</f>
        <v>0</v>
      </c>
      <c r="I17" s="211"/>
      <c r="J17" s="26">
        <v>2</v>
      </c>
      <c r="K17" s="219"/>
      <c r="L17" s="187"/>
      <c r="M17" s="213" t="str">
        <f>IF($K$16="","",IFERROR(VLOOKUP($K$16&amp;"/"&amp;$J17,$Z$7:$AA$30,2,0),""))</f>
        <v>Testing</v>
      </c>
      <c r="N17" s="213"/>
      <c r="O17" s="213"/>
      <c r="P17" s="213"/>
      <c r="Q17" s="22">
        <f>IF($M17="","",SUMIFS($H$7:$H$30,$D$7:$D$30,$K$16&amp;"/"&amp;$M17))</f>
        <v>135</v>
      </c>
      <c r="R17" s="211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86"/>
      <c r="C18" s="175"/>
      <c r="D18" s="204" t="str">
        <f>IFERROR(VLOOKUP($A$1&amp;"/"&amp;$B$15&amp;"/"&amp;$A17,TaskTimings[[EmployeeDateSeqCode]:[Task]],2,0),"")</f>
        <v/>
      </c>
      <c r="E18" s="204"/>
      <c r="F18" s="204"/>
      <c r="G18" s="204"/>
      <c r="H18" s="22">
        <f>IFERROR(VLOOKUP($A$1&amp;"/"&amp;$B$15&amp;"/"&amp;$A17,TaskTimings[[EmployeeDateSeqCode]:[Total Minutes]],7,0),0)</f>
        <v>0</v>
      </c>
      <c r="I18" s="211"/>
      <c r="J18" s="26">
        <v>3</v>
      </c>
      <c r="K18" s="219"/>
      <c r="L18" s="187"/>
      <c r="M18" s="213" t="str">
        <f>IF($K$16="","",IFERROR(VLOOKUP($K$16&amp;"/"&amp;$J18,$Z$7:$AA$30,2,0),""))</f>
        <v/>
      </c>
      <c r="N18" s="213"/>
      <c r="O18" s="213"/>
      <c r="P18" s="213"/>
      <c r="Q18" s="22" t="str">
        <f>IF($M18="","",SUMIFS($H$7:$H$30,$D$7:$D$30,$K$16&amp;"/"&amp;$M18))</f>
        <v/>
      </c>
      <c r="R18" s="211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205">
        <f>B15+1</f>
        <v>43478</v>
      </c>
      <c r="C19" s="175"/>
      <c r="D19" s="204" t="str">
        <f>IFERROR(VLOOKUP($A$1&amp;"/"&amp;$B$19&amp;"/"&amp;$A18,TaskTimings[[EmployeeDateSeqCode]:[Task]],2,0),"")</f>
        <v/>
      </c>
      <c r="E19" s="204"/>
      <c r="F19" s="204"/>
      <c r="G19" s="204"/>
      <c r="H19" s="22">
        <f>IFERROR(VLOOKUP($A$1&amp;"/"&amp;$B$19&amp;"/"&amp;$A18,TaskTimings[[EmployeeDateSeqCode]:[Total Minutes]],7,0),0)</f>
        <v>0</v>
      </c>
      <c r="I19" s="211">
        <f t="shared" ref="I19" si="4">SUM(H19:H22)</f>
        <v>0</v>
      </c>
      <c r="J19" s="26">
        <v>4</v>
      </c>
      <c r="K19" s="219"/>
      <c r="L19" s="187"/>
      <c r="M19" s="213" t="str">
        <f>IF($K$16="","",IFERROR(VLOOKUP($K$16&amp;"/"&amp;$J19,$Z$7:$AA$30,2,0),""))</f>
        <v/>
      </c>
      <c r="N19" s="213"/>
      <c r="O19" s="213"/>
      <c r="P19" s="213"/>
      <c r="Q19" s="22" t="str">
        <f>IF($M19="","",SUMIFS($H$7:$H$30,$D$7:$D$30,$K$16&amp;"/"&amp;$M19))</f>
        <v/>
      </c>
      <c r="R19" s="211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86"/>
      <c r="C20" s="175"/>
      <c r="D20" s="204" t="str">
        <f>IFERROR(VLOOKUP($A$1&amp;"/"&amp;$B$19&amp;"/"&amp;$A19,TaskTimings[[EmployeeDateSeqCode]:[Task]],2,0),"")</f>
        <v/>
      </c>
      <c r="E20" s="204"/>
      <c r="F20" s="204"/>
      <c r="G20" s="204"/>
      <c r="H20" s="22">
        <f>IFERROR(VLOOKUP($A$1&amp;"/"&amp;$B$19&amp;"/"&amp;$A19,TaskTimings[[EmployeeDateSeqCode]:[Total Minutes]],7,0),0)</f>
        <v>0</v>
      </c>
      <c r="I20" s="211"/>
      <c r="J20" s="26">
        <v>1</v>
      </c>
      <c r="K20" s="219" t="str">
        <f>VLOOKUP(2,$K$7:$M$11,2,0)</f>
        <v/>
      </c>
      <c r="L20" s="187"/>
      <c r="M20" s="213" t="str">
        <f>IF($K$20="","",IFERROR(VLOOKUP($K$20&amp;"/"&amp;$J20,$Z$7:$AA$30,2,0),""))</f>
        <v/>
      </c>
      <c r="N20" s="213"/>
      <c r="O20" s="213"/>
      <c r="P20" s="213"/>
      <c r="Q20" s="22" t="str">
        <f>IF($M20="","",SUMIFS($H$7:$H$30,$D$7:$D$30,$K$20&amp;"/"&amp;$M20))</f>
        <v/>
      </c>
      <c r="R20" s="211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86"/>
      <c r="C21" s="175"/>
      <c r="D21" s="204" t="str">
        <f>IFERROR(VLOOKUP($A$1&amp;"/"&amp;$B$19&amp;"/"&amp;$A20,TaskTimings[[EmployeeDateSeqCode]:[Task]],2,0),"")</f>
        <v/>
      </c>
      <c r="E21" s="204"/>
      <c r="F21" s="204"/>
      <c r="G21" s="204"/>
      <c r="H21" s="22">
        <f>IFERROR(VLOOKUP($A$1&amp;"/"&amp;$B$19&amp;"/"&amp;$A20,TaskTimings[[EmployeeDateSeqCode]:[Total Minutes]],7,0),0)</f>
        <v>0</v>
      </c>
      <c r="I21" s="211"/>
      <c r="J21" s="26">
        <v>2</v>
      </c>
      <c r="K21" s="219"/>
      <c r="L21" s="187"/>
      <c r="M21" s="213" t="str">
        <f>IF($K$20="","",IFERROR(VLOOKUP($K$20&amp;"/"&amp;$J21,$Z$7:$AA$30,2,0),""))</f>
        <v/>
      </c>
      <c r="N21" s="213"/>
      <c r="O21" s="213"/>
      <c r="P21" s="213"/>
      <c r="Q21" s="22" t="str">
        <f>IF($M21="","",SUMIFS($H$7:$H$30,$D$7:$D$30,$K$20&amp;"/"&amp;$M21))</f>
        <v/>
      </c>
      <c r="R21" s="211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86"/>
      <c r="C22" s="175"/>
      <c r="D22" s="204" t="str">
        <f>IFERROR(VLOOKUP($A$1&amp;"/"&amp;$B$19&amp;"/"&amp;$A21,TaskTimings[[EmployeeDateSeqCode]:[Task]],2,0),"")</f>
        <v/>
      </c>
      <c r="E22" s="204"/>
      <c r="F22" s="204"/>
      <c r="G22" s="204"/>
      <c r="H22" s="22">
        <f>IFERROR(VLOOKUP($A$1&amp;"/"&amp;$B$19&amp;"/"&amp;$A21,TaskTimings[[EmployeeDateSeqCode]:[Total Minutes]],7,0),0)</f>
        <v>0</v>
      </c>
      <c r="I22" s="211"/>
      <c r="J22" s="26">
        <v>3</v>
      </c>
      <c r="K22" s="219"/>
      <c r="L22" s="187"/>
      <c r="M22" s="213" t="str">
        <f>IF($K$20="","",IFERROR(VLOOKUP($K$20&amp;"/"&amp;$J22,$Z$7:$AA$30,2,0),""))</f>
        <v/>
      </c>
      <c r="N22" s="213"/>
      <c r="O22" s="213"/>
      <c r="P22" s="213"/>
      <c r="Q22" s="22" t="str">
        <f>IF($M22="","",SUMIFS($H$7:$H$30,$D$7:$D$30,$K$20&amp;"/"&amp;$M22))</f>
        <v/>
      </c>
      <c r="R22" s="211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205">
        <f>B19+1</f>
        <v>43479</v>
      </c>
      <c r="C23" s="175"/>
      <c r="D23" s="204" t="str">
        <f>IFERROR(VLOOKUP($A$1&amp;"/"&amp;$B$23&amp;"/"&amp;$A22,TaskTimings[[EmployeeDateSeqCode]:[Task]],2,0),"")</f>
        <v>SDS/Modification</v>
      </c>
      <c r="E23" s="204"/>
      <c r="F23" s="204"/>
      <c r="G23" s="204"/>
      <c r="H23" s="22">
        <f>IFERROR(VLOOKUP($A$1&amp;"/"&amp;$B$23&amp;"/"&amp;$A22,TaskTimings[[EmployeeDateSeqCode]:[Total Minutes]],7,0),0)</f>
        <v>60.000000000000107</v>
      </c>
      <c r="I23" s="211">
        <f t="shared" ref="I23" si="6">SUM(H23:H26)</f>
        <v>165.00000000000006</v>
      </c>
      <c r="J23" s="26">
        <v>4</v>
      </c>
      <c r="K23" s="219"/>
      <c r="L23" s="187"/>
      <c r="M23" s="213" t="str">
        <f>IF($K$20="","",IFERROR(VLOOKUP($K$20&amp;"/"&amp;$J23,$Z$7:$AA$30,2,0),""))</f>
        <v/>
      </c>
      <c r="N23" s="213"/>
      <c r="O23" s="213"/>
      <c r="P23" s="213"/>
      <c r="Q23" s="22" t="str">
        <f>IF($M23="","",SUMIFS($H$7:$H$30,$D$7:$D$30,$K$20&amp;"/"&amp;$M23))</f>
        <v/>
      </c>
      <c r="R23" s="211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86"/>
      <c r="C24" s="175"/>
      <c r="D24" s="204" t="str">
        <f>IFERROR(VLOOKUP($A$1&amp;"/"&amp;$B$23&amp;"/"&amp;$A23,TaskTimings[[EmployeeDateSeqCode]:[Task]],2,0),"")</f>
        <v>SDS/Modification</v>
      </c>
      <c r="E24" s="204"/>
      <c r="F24" s="204"/>
      <c r="G24" s="204"/>
      <c r="H24" s="22">
        <f>IFERROR(VLOOKUP($A$1&amp;"/"&amp;$B$23&amp;"/"&amp;$A23,TaskTimings[[EmployeeDateSeqCode]:[Total Minutes]],7,0),0)</f>
        <v>59.999999999999943</v>
      </c>
      <c r="I24" s="211"/>
      <c r="J24" s="26">
        <v>1</v>
      </c>
      <c r="K24" s="219" t="str">
        <f>VLOOKUP(3,$K$7:$M$11,2,0)</f>
        <v/>
      </c>
      <c r="L24" s="187"/>
      <c r="M24" s="213" t="str">
        <f>IF($K$24="","",IFERROR(VLOOKUP($K$24&amp;"/"&amp;$J24,$Z$7:$AA$30,2,0),""))</f>
        <v/>
      </c>
      <c r="N24" s="213"/>
      <c r="O24" s="213"/>
      <c r="P24" s="213"/>
      <c r="Q24" s="22" t="str">
        <f>IF($M24="","",SUMIFS($H$7:$H$30,$D$7:$D$30,$K$24&amp;"/"&amp;$M24))</f>
        <v/>
      </c>
      <c r="R24" s="211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86"/>
      <c r="C25" s="175"/>
      <c r="D25" s="204" t="str">
        <f>IFERROR(VLOOKUP($A$1&amp;"/"&amp;$B$23&amp;"/"&amp;$A24,TaskTimings[[EmployeeDateSeqCode]:[Task]],2,0),"")</f>
        <v>SDS/Testing</v>
      </c>
      <c r="E25" s="204"/>
      <c r="F25" s="204"/>
      <c r="G25" s="204"/>
      <c r="H25" s="22">
        <f>IFERROR(VLOOKUP($A$1&amp;"/"&amp;$B$23&amp;"/"&amp;$A24,TaskTimings[[EmployeeDateSeqCode]:[Total Minutes]],7,0),0)</f>
        <v>45</v>
      </c>
      <c r="I25" s="211"/>
      <c r="J25" s="26">
        <v>2</v>
      </c>
      <c r="K25" s="219"/>
      <c r="L25" s="187"/>
      <c r="M25" s="213" t="str">
        <f>IF($K$24="","",IFERROR(VLOOKUP($K$24&amp;"/"&amp;$J25,$Z$7:$AA$30,2,0),""))</f>
        <v/>
      </c>
      <c r="N25" s="213"/>
      <c r="O25" s="213"/>
      <c r="P25" s="213"/>
      <c r="Q25" s="22" t="str">
        <f>IF($M25="","",SUMIFS($H$7:$H$30,$D$7:$D$30,$K$24&amp;"/"&amp;$M25))</f>
        <v/>
      </c>
      <c r="R25" s="211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135</v>
      </c>
    </row>
    <row r="26" spans="1:28" x14ac:dyDescent="0.25">
      <c r="A26" s="14">
        <v>1</v>
      </c>
      <c r="B26" s="186"/>
      <c r="C26" s="175"/>
      <c r="D26" s="204" t="str">
        <f>IFERROR(VLOOKUP($A$1&amp;"/"&amp;$B$23&amp;"/"&amp;$A25,TaskTimings[[EmployeeDateSeqCode]:[Task]],2,0),"")</f>
        <v/>
      </c>
      <c r="E26" s="204"/>
      <c r="F26" s="204"/>
      <c r="G26" s="204"/>
      <c r="H26" s="22">
        <f>IFERROR(VLOOKUP($A$1&amp;"/"&amp;$B$23&amp;"/"&amp;$A25,TaskTimings[[EmployeeDateSeqCode]:[Total Minutes]],7,0),0)</f>
        <v>0</v>
      </c>
      <c r="I26" s="211"/>
      <c r="J26" s="26">
        <v>3</v>
      </c>
      <c r="K26" s="219"/>
      <c r="L26" s="187"/>
      <c r="M26" s="213" t="str">
        <f>IF($K$24="","",IFERROR(VLOOKUP($K$24&amp;"/"&amp;$J26,$Z$7:$AA$30,2,0),""))</f>
        <v/>
      </c>
      <c r="N26" s="213"/>
      <c r="O26" s="213"/>
      <c r="P26" s="213"/>
      <c r="Q26" s="22" t="str">
        <f>IF($M26="","",SUMIFS($H$7:$H$30,$D$7:$D$30,$K$24&amp;"/"&amp;$M26))</f>
        <v/>
      </c>
      <c r="R26" s="211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205">
        <f>B23+1</f>
        <v>43480</v>
      </c>
      <c r="C27" s="175"/>
      <c r="D27" s="204" t="str">
        <f>IFERROR(VLOOKUP($A$1&amp;"/"&amp;$B$27&amp;"/"&amp;$A26,TaskTimings[[EmployeeDateSeqCode]:[Task]],2,0),"")</f>
        <v>SDS/Testing</v>
      </c>
      <c r="E27" s="204"/>
      <c r="F27" s="204"/>
      <c r="G27" s="204"/>
      <c r="H27" s="22">
        <f>IFERROR(VLOOKUP($A$1&amp;"/"&amp;$B$27&amp;"/"&amp;$A26,TaskTimings[[EmployeeDateSeqCode]:[Total Minutes]],7,0),0)</f>
        <v>90</v>
      </c>
      <c r="I27" s="211">
        <f t="shared" ref="I27" si="8">SUM(H27:H30)</f>
        <v>90</v>
      </c>
      <c r="J27" s="26">
        <v>4</v>
      </c>
      <c r="K27" s="219"/>
      <c r="L27" s="187"/>
      <c r="M27" s="213" t="str">
        <f>IF($K$24="","",IFERROR(VLOOKUP($K$24&amp;"/"&amp;$J27,$Z$7:$AA$30,2,0),""))</f>
        <v/>
      </c>
      <c r="N27" s="213"/>
      <c r="O27" s="213"/>
      <c r="P27" s="213"/>
      <c r="Q27" s="22" t="str">
        <f>IF($M27="","",SUMIFS($H$7:$H$30,$D$7:$D$30,$K$24&amp;"/"&amp;$M27))</f>
        <v/>
      </c>
      <c r="R27" s="211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86"/>
      <c r="C28" s="175"/>
      <c r="D28" s="204" t="str">
        <f>IFERROR(VLOOKUP($A$1&amp;"/"&amp;$B$27&amp;"/"&amp;$A27,TaskTimings[[EmployeeDateSeqCode]:[Task]],2,0),"")</f>
        <v/>
      </c>
      <c r="E28" s="204"/>
      <c r="F28" s="204"/>
      <c r="G28" s="204"/>
      <c r="H28" s="22">
        <f>IFERROR(VLOOKUP($A$1&amp;"/"&amp;$B$27&amp;"/"&amp;$A27,TaskTimings[[EmployeeDateSeqCode]:[Total Minutes]],7,0),0)</f>
        <v>0</v>
      </c>
      <c r="I28" s="211"/>
      <c r="J28" s="26">
        <v>1</v>
      </c>
      <c r="K28" s="219" t="str">
        <f>VLOOKUP(4,$K$7:$M$11,2,0)</f>
        <v/>
      </c>
      <c r="L28" s="187"/>
      <c r="M28" s="213" t="str">
        <f>IF($K$28="","",IFERROR(VLOOKUP($K$28&amp;"/"&amp;$J28,$Z$7:$AA$30,2,0),""))</f>
        <v/>
      </c>
      <c r="N28" s="213"/>
      <c r="O28" s="213"/>
      <c r="P28" s="213"/>
      <c r="Q28" s="22" t="str">
        <f>IF($M28="","",SUMIFS($H$7:$H$30,$D$7:$D$30,$K$28&amp;"/"&amp;$M28))</f>
        <v/>
      </c>
      <c r="R28" s="211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86"/>
      <c r="C29" s="175"/>
      <c r="D29" s="204" t="str">
        <f>IFERROR(VLOOKUP($A$1&amp;"/"&amp;$B$27&amp;"/"&amp;$A28,TaskTimings[[EmployeeDateSeqCode]:[Task]],2,0),"")</f>
        <v/>
      </c>
      <c r="E29" s="204"/>
      <c r="F29" s="204"/>
      <c r="G29" s="204"/>
      <c r="H29" s="22">
        <f>IFERROR(VLOOKUP($A$1&amp;"/"&amp;$B$27&amp;"/"&amp;$A28,TaskTimings[[EmployeeDateSeqCode]:[Total Minutes]],7,0),0)</f>
        <v>0</v>
      </c>
      <c r="I29" s="211"/>
      <c r="J29" s="26">
        <v>2</v>
      </c>
      <c r="K29" s="219"/>
      <c r="L29" s="187"/>
      <c r="M29" s="213" t="str">
        <f>IF($K$28="","",IFERROR(VLOOKUP($K$28&amp;"/"&amp;$J29,$Z$7:$AA$30,2,0),""))</f>
        <v/>
      </c>
      <c r="N29" s="213"/>
      <c r="O29" s="213"/>
      <c r="P29" s="213"/>
      <c r="Q29" s="22" t="str">
        <f>IF($M29="","",SUMIFS($H$7:$H$30,$D$7:$D$30,$K$28&amp;"/"&amp;$M29))</f>
        <v/>
      </c>
      <c r="R29" s="211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206"/>
      <c r="C30" s="207"/>
      <c r="D30" s="209" t="str">
        <f>IFERROR(VLOOKUP($A$1&amp;"/"&amp;$B$27&amp;"/"&amp;$A29,TaskTimings[[EmployeeDateSeqCode]:[Task]],2,0),"")</f>
        <v/>
      </c>
      <c r="E30" s="209"/>
      <c r="F30" s="209"/>
      <c r="G30" s="209"/>
      <c r="H30" s="24">
        <f>IFERROR(VLOOKUP($A$1&amp;"/"&amp;$B$27&amp;"/"&amp;$A29,TaskTimings[[EmployeeDateSeqCode]:[Total Minutes]],7,0),0)</f>
        <v>0</v>
      </c>
      <c r="I30" s="212"/>
      <c r="J30" s="26">
        <v>3</v>
      </c>
      <c r="K30" s="219"/>
      <c r="L30" s="187"/>
      <c r="M30" s="213" t="str">
        <f>IF($K$28="","",IFERROR(VLOOKUP($K$28&amp;"/"&amp;$J30,$Z$7:$AA$30,2,0),""))</f>
        <v/>
      </c>
      <c r="N30" s="213"/>
      <c r="O30" s="213"/>
      <c r="P30" s="213"/>
      <c r="Q30" s="22" t="str">
        <f>IF($M30="","",SUMIFS($H$7:$H$30,$D$7:$D$30,$K$28&amp;"/"&amp;$M30))</f>
        <v/>
      </c>
      <c r="R30" s="211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219"/>
      <c r="L31" s="187"/>
      <c r="M31" s="213" t="str">
        <f>IF($K$28="","",IFERROR(VLOOKUP($K$28&amp;"/"&amp;$J31,$Z$7:$AA$30,2,0),""))</f>
        <v/>
      </c>
      <c r="N31" s="213"/>
      <c r="O31" s="213"/>
      <c r="P31" s="213"/>
      <c r="Q31" s="22" t="str">
        <f>IF($M31="","",SUMIFS($H$7:$H$30,$D$7:$D$30,$K$28&amp;"/"&amp;$M31))</f>
        <v/>
      </c>
      <c r="R31" s="211"/>
    </row>
    <row r="32" spans="1:28" x14ac:dyDescent="0.25">
      <c r="J32" s="26">
        <v>1</v>
      </c>
      <c r="K32" s="219" t="str">
        <f>VLOOKUP(5,$K$7:$M$11,2,0)</f>
        <v/>
      </c>
      <c r="L32" s="187"/>
      <c r="M32" s="213" t="str">
        <f>IF($K$32="","",IFERROR(VLOOKUP($K$32&amp;"/"&amp;$J32,$Z$7:$AA$30,2,0),""))</f>
        <v/>
      </c>
      <c r="N32" s="213"/>
      <c r="O32" s="213"/>
      <c r="P32" s="213"/>
      <c r="Q32" s="22" t="str">
        <f>IF($M32="","",SUMIFS($H$7:$H$30,$D$7:$D$30,$K$32&amp;"/"&amp;$M32))</f>
        <v/>
      </c>
      <c r="R32" s="211">
        <f t="shared" ref="R32" si="10">SUM(Q32:Q35)</f>
        <v>0</v>
      </c>
    </row>
    <row r="33" spans="10:18" x14ac:dyDescent="0.25">
      <c r="J33" s="26">
        <v>2</v>
      </c>
      <c r="K33" s="219"/>
      <c r="L33" s="187"/>
      <c r="M33" s="213" t="str">
        <f>IF($K$32="","",IFERROR(VLOOKUP($K$32&amp;"/"&amp;$J33,$Z$7:$AA$30,2,0),""))</f>
        <v/>
      </c>
      <c r="N33" s="213"/>
      <c r="O33" s="213"/>
      <c r="P33" s="213"/>
      <c r="Q33" s="22" t="str">
        <f>IF($M33="","",SUMIFS($H$7:$H$30,$D$7:$D$30,$K$32&amp;"/"&amp;$M33))</f>
        <v/>
      </c>
      <c r="R33" s="211"/>
    </row>
    <row r="34" spans="10:18" x14ac:dyDescent="0.25">
      <c r="J34" s="26">
        <v>3</v>
      </c>
      <c r="K34" s="219"/>
      <c r="L34" s="187"/>
      <c r="M34" s="213" t="str">
        <f>IF($K$32="","",IFERROR(VLOOKUP($K$32&amp;"/"&amp;$J34,$Z$7:$AA$30,2,0),""))</f>
        <v/>
      </c>
      <c r="N34" s="213"/>
      <c r="O34" s="213"/>
      <c r="P34" s="213"/>
      <c r="Q34" s="22" t="str">
        <f>IF($M34="","",SUMIFS($H$7:$H$30,$D$7:$D$30,$K$32&amp;"/"&amp;$M34))</f>
        <v/>
      </c>
      <c r="R34" s="211"/>
    </row>
    <row r="35" spans="10:18" ht="15.75" thickBot="1" x14ac:dyDescent="0.3">
      <c r="J35" s="26">
        <v>4</v>
      </c>
      <c r="K35" s="220"/>
      <c r="L35" s="190"/>
      <c r="M35" s="216" t="str">
        <f>IF($K$32="","",IFERROR(VLOOKUP($K$32&amp;"/"&amp;$J35,$Z$7:$AA$30,2,0),""))</f>
        <v/>
      </c>
      <c r="N35" s="216"/>
      <c r="O35" s="216"/>
      <c r="P35" s="216"/>
      <c r="Q35" s="24" t="str">
        <f>IF($M35="","",SUMIFS($H$7:$H$30,$D$7:$D$30,$K$32&amp;"/"&amp;$M35))</f>
        <v/>
      </c>
      <c r="R35" s="212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2019-04-05T10:06:06Z</dcterms:modified>
</cp:coreProperties>
</file>