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27" i="4" l="1"/>
  <c r="B27" i="4"/>
  <c r="P27" i="4" s="1"/>
  <c r="C27" i="4"/>
  <c r="Q27" i="4" s="1"/>
  <c r="D27" i="4"/>
  <c r="L27" i="4"/>
  <c r="M27" i="4"/>
  <c r="N27" i="4"/>
  <c r="O27" i="4" s="1"/>
  <c r="A26" i="4"/>
  <c r="B26" i="4"/>
  <c r="P26" i="4" s="1"/>
  <c r="C26" i="4"/>
  <c r="Q26" i="4" s="1"/>
  <c r="D26" i="4"/>
  <c r="L26" i="4"/>
  <c r="M26" i="4"/>
  <c r="A25" i="4" l="1"/>
  <c r="B25" i="4"/>
  <c r="P25" i="4" s="1"/>
  <c r="C25" i="4"/>
  <c r="Q25" i="4" s="1"/>
  <c r="D25" i="4"/>
  <c r="L25" i="4"/>
  <c r="M25" i="4"/>
  <c r="N25" i="4"/>
  <c r="O25" i="4" s="1"/>
  <c r="A21" i="2" l="1"/>
  <c r="C21" i="2"/>
  <c r="E21" i="2"/>
  <c r="F21" i="2"/>
  <c r="G21" i="2"/>
  <c r="A24" i="4"/>
  <c r="D24" i="4"/>
  <c r="L24" i="4"/>
  <c r="M24" i="4"/>
  <c r="N24" i="4" l="1"/>
  <c r="O24" i="4" s="1"/>
  <c r="N26" i="4"/>
  <c r="O26" i="4" s="1"/>
  <c r="A23" i="4"/>
  <c r="D23" i="4"/>
  <c r="L23" i="4"/>
  <c r="M23" i="4"/>
  <c r="A20" i="2"/>
  <c r="C20" i="2"/>
  <c r="E20" i="2"/>
  <c r="F20" i="2"/>
  <c r="G20" i="2"/>
  <c r="A19" i="2"/>
  <c r="C19" i="2"/>
  <c r="E19" i="2"/>
  <c r="F19" i="2"/>
  <c r="G19" i="2"/>
  <c r="A22" i="4" l="1"/>
  <c r="D22" i="4"/>
  <c r="L22" i="4"/>
  <c r="N23" i="4" s="1"/>
  <c r="O23" i="4" s="1"/>
  <c r="M22" i="4"/>
  <c r="N22" i="4"/>
  <c r="O22" i="4" s="1"/>
  <c r="A21" i="4" l="1"/>
  <c r="D21" i="4"/>
  <c r="L21" i="4"/>
  <c r="M21" i="4"/>
  <c r="A18" i="2"/>
  <c r="C18" i="2"/>
  <c r="E18" i="2"/>
  <c r="F18" i="2"/>
  <c r="G18" i="2"/>
  <c r="A20" i="4"/>
  <c r="D20" i="4"/>
  <c r="L20" i="4"/>
  <c r="M20" i="4"/>
  <c r="A19" i="4"/>
  <c r="D19" i="4"/>
  <c r="L19" i="4"/>
  <c r="M19" i="4"/>
  <c r="A18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19" i="4" l="1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E26" i="4" l="1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A16" i="4"/>
  <c r="A17" i="4" s="1"/>
  <c r="A15" i="4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U14" i="6"/>
  <c r="V14" i="6" s="1"/>
  <c r="W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Y10" i="6" s="1"/>
  <c r="W11" i="6"/>
  <c r="Y11" i="6" s="1"/>
  <c r="W15" i="6"/>
  <c r="Y15" i="6" s="1"/>
  <c r="W12" i="6"/>
  <c r="Y12" i="6" s="1"/>
  <c r="W9" i="6"/>
  <c r="Y13" i="6"/>
  <c r="Z13" i="6" s="1"/>
  <c r="AA13" i="6" s="1"/>
  <c r="AB13" i="6" s="1"/>
  <c r="X13" i="6"/>
  <c r="Y8" i="6"/>
  <c r="X8" i="6"/>
  <c r="Y14" i="6"/>
  <c r="Z14" i="6" s="1"/>
  <c r="AA14" i="6" s="1"/>
  <c r="AB14" i="6" s="1"/>
  <c r="X14" i="6"/>
  <c r="Y7" i="6"/>
  <c r="Z7" i="6" s="1"/>
  <c r="AA7" i="6" s="1"/>
  <c r="U16" i="6"/>
  <c r="V16" i="6" s="1"/>
  <c r="W16" i="6" s="1"/>
  <c r="U17" i="6"/>
  <c r="V17" i="6" s="1"/>
  <c r="W17" i="6" s="1"/>
  <c r="U18" i="6"/>
  <c r="V18" i="6" s="1"/>
  <c r="W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X11" i="6"/>
  <c r="X10" i="6"/>
  <c r="X12" i="6"/>
  <c r="X16" i="6" s="1"/>
  <c r="Y9" i="6"/>
  <c r="Z11" i="6" s="1"/>
  <c r="AA11" i="6" s="1"/>
  <c r="Z8" i="6"/>
  <c r="AA8" i="6" s="1"/>
  <c r="Y16" i="6"/>
  <c r="Y17" i="6"/>
  <c r="Z17" i="6" s="1"/>
  <c r="AA17" i="6" s="1"/>
  <c r="AB17" i="6" s="1"/>
  <c r="X17" i="6"/>
  <c r="Y18" i="6"/>
  <c r="Z18" i="6" s="1"/>
  <c r="AA18" i="6" s="1"/>
  <c r="AB18" i="6" s="1"/>
  <c r="X18" i="6"/>
  <c r="W19" i="6"/>
  <c r="U21" i="6"/>
  <c r="V21" i="6" s="1"/>
  <c r="W21" i="6" s="1"/>
  <c r="U20" i="6"/>
  <c r="V20" i="6" s="1"/>
  <c r="W20" i="6" s="1"/>
  <c r="U22" i="6"/>
  <c r="V22" i="6" s="1"/>
  <c r="W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10" i="6" l="1"/>
  <c r="AA10" i="6" s="1"/>
  <c r="X15" i="6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4" i="6" s="1"/>
  <c r="Z24" i="6" s="1"/>
  <c r="AA24" i="6" s="1"/>
  <c r="AB24" i="6" s="1"/>
  <c r="Y21" i="6"/>
  <c r="Z21" i="6" s="1"/>
  <c r="AA21" i="6" s="1"/>
  <c r="AB21" i="6" s="1"/>
  <c r="X21" i="6"/>
  <c r="Y19" i="6"/>
  <c r="Z19" i="6" s="1"/>
  <c r="AA19" i="6" s="1"/>
  <c r="X19" i="6"/>
  <c r="Y20" i="6"/>
  <c r="X20" i="6"/>
  <c r="Y22" i="6"/>
  <c r="Z22" i="6" s="1"/>
  <c r="AA22" i="6" s="1"/>
  <c r="AB22" i="6" s="1"/>
  <c r="X22" i="6"/>
  <c r="W23" i="6"/>
  <c r="U25" i="6"/>
  <c r="V25" i="6" s="1"/>
  <c r="W25" i="6" s="1"/>
  <c r="U26" i="6"/>
  <c r="V26" i="6" s="1"/>
  <c r="W26" i="6" s="1"/>
  <c r="I23" i="6"/>
  <c r="H28" i="6"/>
  <c r="H30" i="6"/>
  <c r="H27" i="6"/>
  <c r="H29" i="6"/>
  <c r="D28" i="6"/>
  <c r="D27" i="6"/>
  <c r="AB11" i="6" s="1"/>
  <c r="D29" i="6"/>
  <c r="D30" i="6"/>
  <c r="AB10" i="6" l="1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X24" i="6"/>
  <c r="Y23" i="6"/>
  <c r="Z23" i="6" s="1"/>
  <c r="AA23" i="6" s="1"/>
  <c r="AB23" i="6" s="1"/>
  <c r="X23" i="6"/>
  <c r="Y25" i="6"/>
  <c r="Z25" i="6" s="1"/>
  <c r="AA25" i="6" s="1"/>
  <c r="AB25" i="6" s="1"/>
  <c r="X25" i="6"/>
  <c r="Y26" i="6"/>
  <c r="Z26" i="6" s="1"/>
  <c r="AA26" i="6" s="1"/>
  <c r="AB26" i="6" s="1"/>
  <c r="X26" i="6"/>
  <c r="U28" i="6"/>
  <c r="V28" i="6" s="1"/>
  <c r="W28" i="6" s="1"/>
  <c r="U29" i="6"/>
  <c r="V29" i="6" s="1"/>
  <c r="W29" i="6" s="1"/>
  <c r="U30" i="6"/>
  <c r="V30" i="6" s="1"/>
  <c r="W30" i="6" s="1"/>
  <c r="I27" i="6"/>
  <c r="I2" i="6" s="1"/>
  <c r="J2" i="6" s="1"/>
  <c r="Y27" i="6" l="1"/>
  <c r="Z27" i="6" s="1"/>
  <c r="AA27" i="6" s="1"/>
  <c r="AB27" i="6" s="1"/>
  <c r="Y30" i="6"/>
  <c r="X30" i="6"/>
  <c r="Y29" i="6"/>
  <c r="Z29" i="6" s="1"/>
  <c r="AA29" i="6" s="1"/>
  <c r="AB29" i="6" s="1"/>
  <c r="X29" i="6"/>
  <c r="Y28" i="6"/>
  <c r="Z28" i="6" s="1"/>
  <c r="AA28" i="6" s="1"/>
  <c r="AB28" i="6" s="1"/>
  <c r="X28" i="6"/>
  <c r="Z30" i="6" l="1"/>
  <c r="AA30" i="6" s="1"/>
  <c r="AB30" i="6" s="1"/>
  <c r="L7" i="6"/>
  <c r="L9" i="6"/>
  <c r="L11" i="6"/>
  <c r="L10" i="6"/>
  <c r="L8" i="6"/>
  <c r="K16" i="6" l="1"/>
  <c r="N7" i="6"/>
  <c r="K24" i="6"/>
  <c r="N9" i="6"/>
  <c r="K20" i="6"/>
  <c r="N8" i="6"/>
  <c r="K32" i="6"/>
  <c r="N11" i="6"/>
  <c r="K28" i="6"/>
  <c r="N10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<sst xmlns="http://schemas.openxmlformats.org/spreadsheetml/2006/main" count="171" uniqueCount="85">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</sst>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166" fontId="1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320</c:v>
                </c:pt>
                <c:pt idx="1">
                  <c:v>-597.00000000000011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51327360"/>
        <c:axId val="1451321376"/>
      </c:barChart>
      <c:catAx>
        <c:axId val="145132736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51321376"/>
        <c:crosses val="autoZero"/>
        <c:auto val="1"/>
        <c:lblAlgn val="ctr"/>
        <c:lblOffset val="100"/>
        <c:noMultiLvlLbl val="0"/>
      </c:catAx>
      <c:valAx>
        <c:axId val="14513213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51327360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320</c:v>
                </c:pt>
                <c:pt idx="2">
                  <c:v>-597.00000000000011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451322464"/>
        <c:axId val="1451329536"/>
      </c:barChart>
      <c:catAx>
        <c:axId val="14513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51329536"/>
        <c:crosses val="autoZero"/>
        <c:auto val="1"/>
        <c:lblAlgn val="ctr"/>
        <c:lblOffset val="100"/>
        <c:noMultiLvlLbl val="0"/>
      </c:catAx>
      <c:valAx>
        <c:axId val="145132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513224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320</c:v>
                </c:pt>
                <c:pt idx="1">
                  <c:v>-597.00000000000011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320</c:v>
                </c:pt>
                <c:pt idx="2">
                  <c:v>-597.00000000000011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317568"/>
        <c:axId val="1451328992"/>
      </c:areaChart>
      <c:catAx>
        <c:axId val="1451317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51328992"/>
        <c:crosses val="autoZero"/>
        <c:auto val="1"/>
        <c:lblAlgn val="ctr"/>
        <c:lblOffset val="100"/>
        <c:noMultiLvlLbl val="0"/>
      </c:catAx>
      <c:valAx>
        <c:axId val="14513289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5131756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498E-2"/>
          <c:y val="0"/>
          <c:w val="0.70026343258816892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-277.00000000000011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0</c:v>
                </c:pt>
                <c:pt idx="1">
                  <c:v>-277.00000000000011</c:v>
                </c:pt>
                <c:pt idx="2">
                  <c:v>0</c:v>
                </c:pt>
                <c:pt idx="3">
                  <c:v>384.99999999999994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320</c:v>
                </c:pt>
                <c:pt idx="2">
                  <c:v>0</c:v>
                </c:pt>
                <c:pt idx="3">
                  <c:v>354.99999999999989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-597.00000000000011</c:v>
                </c:pt>
                <c:pt idx="2">
                  <c:v>0</c:v>
                </c:pt>
                <c:pt idx="3">
                  <c:v>30.000000000000053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51323008"/>
        <c:axId val="1451324640"/>
      </c:barChart>
      <c:catAx>
        <c:axId val="1451323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51324640"/>
        <c:crosses val="autoZero"/>
        <c:auto val="1"/>
        <c:lblAlgn val="ctr"/>
        <c:lblOffset val="100"/>
        <c:noMultiLvlLbl val="0"/>
      </c:catAx>
      <c:valAx>
        <c:axId val="1451324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51323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</c:v>
                </c:pt>
                <c:pt idx="1">
                  <c:v>144.99999999999989</c:v>
                </c:pt>
                <c:pt idx="2">
                  <c:v>320</c:v>
                </c:pt>
                <c:pt idx="3">
                  <c:v>0</c:v>
                </c:pt>
                <c:pt idx="4">
                  <c:v>-597.00000000000011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1451323552"/>
        <c:axId val="1451318656"/>
      </c:barChart>
      <c:dateAx>
        <c:axId val="1451323552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51318656"/>
        <c:crosses val="autoZero"/>
        <c:auto val="1"/>
        <c:lblOffset val="100"/>
        <c:baseTimeUnit val="days"/>
      </c:dateAx>
      <c:valAx>
        <c:axId val="1451318656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51323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1" totalsRowShown="0" headerRowDxfId="31" dataDxfId="30">
  <autoFilter ref="A1:G21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27" totalsRowShown="0" headerRowDxfId="18" dataDxfId="17">
  <autoFilter ref="A1:Q27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40">
        <f t="shared" si="0"/>
        <v>3</v>
      </c>
      <c r="E4" s="41" t="s">
        <v>51</v>
      </c>
      <c r="F4" s="42" t="s">
        <v>52</v>
      </c>
      <c r="G4" s="42" t="s">
        <v>3</v>
      </c>
    </row>
    <row r="5" spans="1:7" x14ac:dyDescent="0.25">
      <c r="D5" s="40">
        <f t="shared" si="0"/>
        <v>4</v>
      </c>
      <c r="E5" s="42" t="s">
        <v>59</v>
      </c>
      <c r="F5" s="42" t="s">
        <v>60</v>
      </c>
      <c r="G5" s="42" t="s">
        <v>3</v>
      </c>
    </row>
    <row r="6" spans="1:7" x14ac:dyDescent="0.25">
      <c r="D6" s="51">
        <f t="shared" si="0"/>
        <v>5</v>
      </c>
      <c r="E6" s="41" t="s">
        <v>62</v>
      </c>
      <c r="F6" s="41" t="s">
        <v>63</v>
      </c>
      <c r="G6" s="41" t="s">
        <v>2</v>
      </c>
    </row>
    <row r="7" spans="1:7" x14ac:dyDescent="0.25">
      <c r="D7" s="51">
        <f t="shared" si="0"/>
        <v>6</v>
      </c>
      <c r="E7" s="41" t="s">
        <v>66</v>
      </c>
      <c r="F7" s="41" t="s">
        <v>67</v>
      </c>
      <c r="G7" s="41" t="s">
        <v>2</v>
      </c>
    </row>
    <row r="8" spans="1:7" x14ac:dyDescent="0.25">
      <c r="D8" s="51">
        <f t="shared" si="0"/>
        <v>7</v>
      </c>
      <c r="E8" s="41" t="s">
        <v>72</v>
      </c>
      <c r="F8" s="41" t="s">
        <v>73</v>
      </c>
      <c r="G8" s="41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B13" workbookViewId="0">
      <selection activeCell="D22" sqref="D22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4" t="str">
        <f>CONCATENATE(ProjectTasks[Project],"/",ProjectTasks[Task])</f>
        <v>TKT/Database Analysis from Old Project</v>
      </c>
      <c r="F8" s="34" t="str">
        <f>ProjectTasks[Project]</f>
        <v>TKT</v>
      </c>
      <c r="G8" s="34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4" t="str">
        <f>CONCATENATE(ProjectTasks[Project],"/",ProjectTasks[Task])</f>
        <v>TKT/DB Designing</v>
      </c>
      <c r="F9" s="34" t="str">
        <f>ProjectTasks[Project]</f>
        <v>TKT</v>
      </c>
      <c r="G9" s="34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4" t="str">
        <f>CONCATENATE(ProjectTasks[Project],"/",ProjectTasks[Task])</f>
        <v>TKT/Appframe configuration</v>
      </c>
      <c r="F10" s="34" t="str">
        <f>ProjectTasks[Project]</f>
        <v>TKT</v>
      </c>
      <c r="G10" s="34" t="str">
        <f>ProjectTasks[Task]</f>
        <v>Appframe configuration</v>
      </c>
    </row>
    <row r="11" spans="1:7" x14ac:dyDescent="0.25">
      <c r="A11" s="43">
        <f t="shared" si="1"/>
        <v>10</v>
      </c>
      <c r="B11" s="42" t="s">
        <v>48</v>
      </c>
      <c r="C11" s="11" t="str">
        <f>ProjectTasks[[#This Row],[Project]]&amp;"-"&amp;COUNTIF($B$1:ProjectTasks[[#This Row],[Project]],ProjectTasks[[#This Row],[Project]])</f>
        <v>TKT-4</v>
      </c>
      <c r="D11" s="42" t="s">
        <v>53</v>
      </c>
      <c r="E11" s="45" t="str">
        <f>CONCATENATE(ProjectTasks[Project],"/",ProjectTasks[Task])</f>
        <v>TKT/Discussion for ticketing modification</v>
      </c>
      <c r="F11" s="45" t="str">
        <f>ProjectTasks[Project]</f>
        <v>TKT</v>
      </c>
      <c r="G11" s="45" t="str">
        <f>ProjectTasks[Task]</f>
        <v>Discussion for ticketing modification</v>
      </c>
    </row>
    <row r="12" spans="1:7" x14ac:dyDescent="0.25">
      <c r="A12" s="43">
        <f t="shared" si="1"/>
        <v>11</v>
      </c>
      <c r="B12" s="42" t="s">
        <v>52</v>
      </c>
      <c r="C12" s="11" t="str">
        <f>ProjectTasks[[#This Row],[Project]]&amp;"-"&amp;COUNTIF($B$1:ProjectTasks[[#This Row],[Project]],ProjectTasks[[#This Row],[Project]])</f>
        <v>SDS-1</v>
      </c>
      <c r="D12" s="42" t="s">
        <v>56</v>
      </c>
      <c r="E12" s="45" t="str">
        <f>CONCATENATE(ProjectTasks[Project],"/",ProjectTasks[Task])</f>
        <v>SDS/Decryption</v>
      </c>
      <c r="F12" s="45" t="str">
        <f>ProjectTasks[Project]</f>
        <v>SDS</v>
      </c>
      <c r="G12" s="45" t="str">
        <f>ProjectTasks[Task]</f>
        <v>Decryption</v>
      </c>
    </row>
    <row r="13" spans="1:7" x14ac:dyDescent="0.25">
      <c r="A13" s="43">
        <f t="shared" si="1"/>
        <v>12</v>
      </c>
      <c r="B13" s="42" t="s">
        <v>60</v>
      </c>
      <c r="C13" s="44" t="str">
        <f>ProjectTasks[[#This Row],[Project]]&amp;"-"&amp;COUNTIF($B$1:ProjectTasks[[#This Row],[Project]],ProjectTasks[[#This Row],[Project]])</f>
        <v>RTM-1</v>
      </c>
      <c r="D13" s="42" t="s">
        <v>61</v>
      </c>
      <c r="E13" s="45" t="str">
        <f>CONCATENATE(ProjectTasks[Project],"/",ProjectTasks[Task])</f>
        <v>RTM/Solving the issue of repeating icon in tray</v>
      </c>
      <c r="F13" s="45" t="str">
        <f>ProjectTasks[Project]</f>
        <v>RTM</v>
      </c>
      <c r="G13" s="45" t="str">
        <f>ProjectTasks[Task]</f>
        <v>Solving the issue of repeating icon in tray</v>
      </c>
    </row>
    <row r="14" spans="1:7" x14ac:dyDescent="0.25">
      <c r="A14" s="43">
        <f t="shared" ref="A14:A20" si="2">IFERROR($A13+1,1)</f>
        <v>13</v>
      </c>
      <c r="B14" s="41" t="s">
        <v>63</v>
      </c>
      <c r="C14" s="52" t="str">
        <f>ProjectTasks[[#This Row],[Project]]&amp;"-"&amp;COUNTIF($B$1:ProjectTasks[[#This Row],[Project]],ProjectTasks[[#This Row],[Project]])</f>
        <v>PPOIO-1</v>
      </c>
      <c r="D14" s="41" t="s">
        <v>64</v>
      </c>
      <c r="E14" s="53" t="str">
        <f>CONCATENATE(ProjectTasks[Project],"/",ProjectTasks[Task])</f>
        <v>PPOIO/Project Study</v>
      </c>
      <c r="F14" s="53" t="str">
        <f>ProjectTasks[Project]</f>
        <v>PPOIO</v>
      </c>
      <c r="G14" s="53" t="str">
        <f>ProjectTasks[Task]</f>
        <v>Project Study</v>
      </c>
    </row>
    <row r="15" spans="1:7" x14ac:dyDescent="0.25">
      <c r="A15" s="43">
        <f t="shared" si="2"/>
        <v>14</v>
      </c>
      <c r="B15" s="41" t="s">
        <v>63</v>
      </c>
      <c r="C15" s="52" t="str">
        <f>ProjectTasks[[#This Row],[Project]]&amp;"-"&amp;COUNTIF($B$1:ProjectTasks[[#This Row],[Project]],ProjectTasks[[#This Row],[Project]])</f>
        <v>PPOIO-2</v>
      </c>
      <c r="D15" s="41" t="s">
        <v>65</v>
      </c>
      <c r="E15" s="53" t="str">
        <f>CONCATENATE(ProjectTasks[Project],"/",ProjectTasks[Task])</f>
        <v>PPOIO/Business Plan</v>
      </c>
      <c r="F15" s="53" t="str">
        <f>ProjectTasks[Project]</f>
        <v>PPOIO</v>
      </c>
      <c r="G15" s="53" t="str">
        <f>ProjectTasks[Task]</f>
        <v>Business Plan</v>
      </c>
    </row>
    <row r="16" spans="1:7" x14ac:dyDescent="0.25">
      <c r="A16" s="43">
        <f t="shared" si="2"/>
        <v>15</v>
      </c>
      <c r="B16" s="41" t="s">
        <v>67</v>
      </c>
      <c r="C16" s="52" t="str">
        <f>ProjectTasks[[#This Row],[Project]]&amp;"-"&amp;COUNTIF($B$1:ProjectTasks[[#This Row],[Project]],ProjectTasks[[#This Row],[Project]])</f>
        <v>APPFRAME-1</v>
      </c>
      <c r="D16" s="41" t="s">
        <v>68</v>
      </c>
      <c r="E16" s="53" t="str">
        <f>CONCATENATE(ProjectTasks[Project],"/",ProjectTasks[Task])</f>
        <v>APPFRAME/Development</v>
      </c>
      <c r="F16" s="53" t="str">
        <f>ProjectTasks[Project]</f>
        <v>APPFRAME</v>
      </c>
      <c r="G16" s="53" t="str">
        <f>ProjectTasks[Task]</f>
        <v>Development</v>
      </c>
    </row>
    <row r="17" spans="1:7" x14ac:dyDescent="0.25">
      <c r="A17" s="43">
        <f t="shared" si="2"/>
        <v>16</v>
      </c>
      <c r="B17" s="41" t="s">
        <v>73</v>
      </c>
      <c r="C17" s="52" t="str">
        <f>ProjectTasks[[#This Row],[Project]]&amp;"-"&amp;COUNTIF($B$1:ProjectTasks[[#This Row],[Project]],ProjectTasks[[#This Row],[Project]])</f>
        <v>MITWEB-1</v>
      </c>
      <c r="D17" s="41" t="s">
        <v>74</v>
      </c>
      <c r="E17" s="53" t="str">
        <f>CONCATENATE(ProjectTasks[Project],"/",ProjectTasks[Task])</f>
        <v>MITWEB/Modification</v>
      </c>
      <c r="F17" s="53" t="str">
        <f>ProjectTasks[Project]</f>
        <v>MITWEB</v>
      </c>
      <c r="G17" s="53" t="str">
        <f>ProjectTasks[Task]</f>
        <v>Modification</v>
      </c>
    </row>
    <row r="18" spans="1:7" x14ac:dyDescent="0.25">
      <c r="A18" s="47">
        <f t="shared" si="2"/>
        <v>17</v>
      </c>
      <c r="B18" s="42" t="s">
        <v>60</v>
      </c>
      <c r="C18" s="44" t="str">
        <f>ProjectTasks[[#This Row],[Project]]&amp;"-"&amp;COUNTIF($B$1:ProjectTasks[[#This Row],[Project]],ProjectTasks[[#This Row],[Project]])</f>
        <v>RTM-2</v>
      </c>
      <c r="D18" s="41" t="s">
        <v>76</v>
      </c>
      <c r="E18" s="45" t="str">
        <f>CONCATENATE(ProjectTasks[Project],"/",ProjectTasks[Task])</f>
        <v>RTM/Getting branchname into tool</v>
      </c>
      <c r="F18" s="45" t="str">
        <f>ProjectTasks[Project]</f>
        <v>RTM</v>
      </c>
      <c r="G18" s="45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9">
        <f>IFERROR($A20+1,1)</f>
        <v>20</v>
      </c>
      <c r="B21" s="61" t="s">
        <v>52</v>
      </c>
      <c r="C21" s="60" t="str">
        <f>ProjectTasks[[#This Row],[Project]]&amp;"-"&amp;COUNTIF($B$1:ProjectTasks[[#This Row],[Project]],ProjectTasks[[#This Row],[Project]])</f>
        <v>SDS-2</v>
      </c>
      <c r="D21" s="61" t="s">
        <v>82</v>
      </c>
      <c r="E21" s="65" t="str">
        <f>CONCATENATE(ProjectTasks[Project],"/",ProjectTasks[Task])</f>
        <v>SDS/Request and get Response from  web</v>
      </c>
      <c r="F21" s="65" t="str">
        <f>ProjectTasks[Project]</f>
        <v>SDS</v>
      </c>
      <c r="G21" s="65" t="str">
        <f>ProjectTasks[Task]</f>
        <v>Request and get Response from  web</v>
      </c>
    </row>
  </sheetData>
  <dataValidations count="1">
    <dataValidation type="list" allowBlank="1" showInputMessage="1" showErrorMessage="1" sqref="B2:B21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topLeftCell="A19" workbookViewId="0">
      <selection activeCell="J27" sqref="J27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6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47">
        <f t="shared" si="0"/>
        <v>2</v>
      </c>
      <c r="B3" s="44" t="str">
        <f>VLOOKUP(TaskTimings[Task],ProjectTasks[[TaskProjectCode]:[TSK]],2,0)</f>
        <v>TKT</v>
      </c>
      <c r="C3" s="44" t="str">
        <f>VLOOKUP(TaskTimings[Task],ProjectTasks[[TaskProjectCode]:[TSK]],3,0)</f>
        <v>Discussion for ticketing modification</v>
      </c>
      <c r="D3" s="44" t="str">
        <f>TaskTimings[Employee]&amp;"/"&amp;TaskTimings[Date]</f>
        <v>Shareena/43430</v>
      </c>
      <c r="E3" s="46">
        <f>COUNTIF($D$1:TaskTimings[[#This Row],[EmployeeDate]],TaskTimings[[#This Row],[EmployeeDate]])</f>
        <v>1</v>
      </c>
      <c r="F3" s="44" t="str">
        <f>TaskTimings[[#This Row],[EmployeeDate]]&amp;"/"&amp;TaskTimings[[#This Row],[EmployeeDateSeq]]</f>
        <v>Shareena/43430/1</v>
      </c>
      <c r="G3" s="42" t="s">
        <v>55</v>
      </c>
      <c r="H3" s="42" t="s">
        <v>16</v>
      </c>
      <c r="I3" s="48">
        <v>43430</v>
      </c>
      <c r="J3" s="49">
        <v>0.39583333333333331</v>
      </c>
      <c r="K3" s="50">
        <v>0.45833333333333331</v>
      </c>
      <c r="L3" s="40">
        <f>(TaskTimings[End Time]-TaskTimings[Start Time])*1440</f>
        <v>90</v>
      </c>
      <c r="M3" s="40" t="str">
        <f>TEXT(TaskTimings[End Time]-TaskTimings[Start Time],"HH:mm")</f>
        <v>01:30</v>
      </c>
      <c r="N3" s="40">
        <f>SUMIFS(TaskTimings[Total Minutes],TaskTimings[Date],TaskTimings[Date],TaskTimings[Employee],TaskTimings[Employee])</f>
        <v>330.99999999999994</v>
      </c>
      <c r="O3" s="40" t="str">
        <f>TEXT(TaskTimings[Day Total Minutes]/1440,"HH:mm")</f>
        <v>05:31</v>
      </c>
      <c r="P3" s="44" t="str">
        <f>TaskTimings[PRJ]</f>
        <v>TKT</v>
      </c>
      <c r="Q3" s="44" t="str">
        <f>TaskTimings[TSK]</f>
        <v>Discussion for ticketing modification</v>
      </c>
    </row>
    <row r="4" spans="1:17" x14ac:dyDescent="0.25">
      <c r="A4" s="47">
        <f t="shared" si="0"/>
        <v>3</v>
      </c>
      <c r="B4" s="44" t="str">
        <f>VLOOKUP(TaskTimings[Task],ProjectTasks[[TaskProjectCode]:[TSK]],2,0)</f>
        <v>SDS</v>
      </c>
      <c r="C4" s="44" t="str">
        <f>VLOOKUP(TaskTimings[Task],ProjectTasks[[TaskProjectCode]:[TSK]],3,0)</f>
        <v>Decryption</v>
      </c>
      <c r="D4" s="44" t="str">
        <f>TaskTimings[Employee]&amp;"/"&amp;TaskTimings[Date]</f>
        <v>Aswathy/43430</v>
      </c>
      <c r="E4" s="44">
        <f>COUNTIF($D$1:TaskTimings[[#This Row],[EmployeeDate]],TaskTimings[[#This Row],[EmployeeDate]])</f>
        <v>2</v>
      </c>
      <c r="F4" s="44" t="str">
        <f>TaskTimings[[#This Row],[EmployeeDate]]&amp;"/"&amp;TaskTimings[[#This Row],[EmployeeDateSeq]]</f>
        <v>Aswathy/43430/2</v>
      </c>
      <c r="G4" s="42" t="s">
        <v>57</v>
      </c>
      <c r="H4" s="42" t="s">
        <v>54</v>
      </c>
      <c r="I4" s="48">
        <v>43430</v>
      </c>
      <c r="J4" s="49">
        <v>0.45833333333333331</v>
      </c>
      <c r="K4" s="50">
        <v>0.47916666666666669</v>
      </c>
      <c r="L4" s="40">
        <f>(TaskTimings[End Time]-TaskTimings[Start Time])*1440</f>
        <v>30.000000000000053</v>
      </c>
      <c r="M4" s="40" t="str">
        <f>TEXT(TaskTimings[End Time]-TaskTimings[Start Time],"HH:mm")</f>
        <v>00:30</v>
      </c>
      <c r="N4" s="40">
        <f>SUMIFS(TaskTimings[Total Minutes],TaskTimings[Date],TaskTimings[Date],TaskTimings[Employee],TaskTimings[Employee])</f>
        <v>330</v>
      </c>
      <c r="O4" s="40" t="str">
        <f>TEXT(TaskTimings[Day Total Minutes]/1440,"HH:mm")</f>
        <v>05:30</v>
      </c>
      <c r="P4" s="44" t="str">
        <f>TaskTimings[PRJ]</f>
        <v>SDS</v>
      </c>
      <c r="Q4" s="44" t="str">
        <f>TaskTimings[TSK]</f>
        <v>Decryption</v>
      </c>
    </row>
    <row r="5" spans="1:17" x14ac:dyDescent="0.25">
      <c r="A5" s="47">
        <f t="shared" si="0"/>
        <v>4</v>
      </c>
      <c r="B5" s="44" t="str">
        <f>VLOOKUP(TaskTimings[Task],ProjectTasks[[TaskProjectCode]:[TSK]],2,0)</f>
        <v>TKT</v>
      </c>
      <c r="C5" s="44" t="str">
        <f>VLOOKUP(TaskTimings[Task],ProjectTasks[[TaskProjectCode]:[TSK]],3,0)</f>
        <v>Database Analysis from Old Project</v>
      </c>
      <c r="D5" s="44" t="str">
        <f>TaskTimings[Employee]&amp;"/"&amp;TaskTimings[Date]</f>
        <v>Shareena/43430</v>
      </c>
      <c r="E5" s="44">
        <f>COUNTIF($D$1:TaskTimings[[#This Row],[EmployeeDate]],TaskTimings[[#This Row],[EmployeeDate]])</f>
        <v>2</v>
      </c>
      <c r="F5" s="44" t="str">
        <f>TaskTimings[[#This Row],[EmployeeDate]]&amp;"/"&amp;TaskTimings[[#This Row],[EmployeeDateSeq]]</f>
        <v>Shareena/43430/2</v>
      </c>
      <c r="G5" s="42" t="s">
        <v>58</v>
      </c>
      <c r="H5" s="42" t="s">
        <v>16</v>
      </c>
      <c r="I5" s="48">
        <v>43430</v>
      </c>
      <c r="J5" s="49">
        <v>0.47569444444444442</v>
      </c>
      <c r="K5" s="50">
        <v>0.55972222222222223</v>
      </c>
      <c r="L5" s="40">
        <f>(TaskTimings[End Time]-TaskTimings[Start Time])*1440</f>
        <v>121.00000000000006</v>
      </c>
      <c r="M5" s="40" t="str">
        <f>TEXT(TaskTimings[End Time]-TaskTimings[Start Time],"HH:mm")</f>
        <v>02:01</v>
      </c>
      <c r="N5" s="40">
        <f>SUMIFS(TaskTimings[Total Minutes],TaskTimings[Date],TaskTimings[Date],TaskTimings[Employee],TaskTimings[Employee])</f>
        <v>330.99999999999994</v>
      </c>
      <c r="O5" s="40" t="str">
        <f>TEXT(TaskTimings[Day Total Minutes]/1440,"HH:mm")</f>
        <v>05:31</v>
      </c>
      <c r="P5" s="44" t="str">
        <f>TaskTimings[PRJ]</f>
        <v>TKT</v>
      </c>
      <c r="Q5" s="44" t="str">
        <f>TaskTimings[TSK]</f>
        <v>Database Analysis from Old Project</v>
      </c>
    </row>
    <row r="6" spans="1:17" x14ac:dyDescent="0.25">
      <c r="A6" s="47">
        <f t="shared" si="0"/>
        <v>5</v>
      </c>
      <c r="B6" s="44" t="str">
        <f>VLOOKUP(TaskTimings[Task],ProjectTasks[[TaskProjectCode]:[TSK]],2,0)</f>
        <v>RTM</v>
      </c>
      <c r="C6" s="44" t="str">
        <f>VLOOKUP(TaskTimings[Task],ProjectTasks[[TaskProjectCode]:[TSK]],3,0)</f>
        <v>Solving the issue of repeating icon in tray</v>
      </c>
      <c r="D6" s="44" t="str">
        <f>TaskTimings[Employee]&amp;"/"&amp;TaskTimings[Date]</f>
        <v>Aswathy/43430</v>
      </c>
      <c r="E6" s="44">
        <f>COUNTIF($D$1:TaskTimings[[#This Row],[EmployeeDate]],TaskTimings[[#This Row],[EmployeeDate]])</f>
        <v>3</v>
      </c>
      <c r="F6" s="44" t="str">
        <f>TaskTimings[[#This Row],[EmployeeDate]]&amp;"/"&amp;TaskTimings[[#This Row],[EmployeeDateSeq]]</f>
        <v>Aswathy/43430/3</v>
      </c>
      <c r="G6" s="42" t="s">
        <v>84</v>
      </c>
      <c r="H6" s="42" t="s">
        <v>54</v>
      </c>
      <c r="I6" s="48">
        <v>43430</v>
      </c>
      <c r="J6" s="49">
        <v>0.47916666666666669</v>
      </c>
      <c r="K6" s="50">
        <v>0.54166666666666663</v>
      </c>
      <c r="L6" s="40">
        <f>(TaskTimings[End Time]-TaskTimings[Start Time])*1440</f>
        <v>89.999999999999915</v>
      </c>
      <c r="M6" s="40" t="str">
        <f>TEXT(TaskTimings[End Time]-TaskTimings[Start Time],"HH:mm")</f>
        <v>01:30</v>
      </c>
      <c r="N6" s="40">
        <f>SUMIFS(TaskTimings[Total Minutes],TaskTimings[Date],TaskTimings[Date],TaskTimings[Employee],TaskTimings[Employee])</f>
        <v>330</v>
      </c>
      <c r="O6" s="40" t="str">
        <f>TEXT(TaskTimings[Day Total Minutes]/1440,"HH:mm")</f>
        <v>05:30</v>
      </c>
      <c r="P6" s="44" t="str">
        <f>TaskTimings[PRJ]</f>
        <v>RTM</v>
      </c>
      <c r="Q6" s="44" t="str">
        <f>TaskTimings[TSK]</f>
        <v>Solving the issue of repeating icon in tray</v>
      </c>
    </row>
    <row r="7" spans="1:17" x14ac:dyDescent="0.25">
      <c r="A7" s="47">
        <f t="shared" si="0"/>
        <v>6</v>
      </c>
      <c r="B7" s="44" t="str">
        <f>VLOOKUP(TaskTimings[Task],ProjectTasks[[TaskProjectCode]:[TSK]],2,0)</f>
        <v>TKT</v>
      </c>
      <c r="C7" s="44" t="str">
        <f>VLOOKUP(TaskTimings[Task],ProjectTasks[[TaskProjectCode]:[TSK]],3,0)</f>
        <v>Database Analysis from Old Project</v>
      </c>
      <c r="D7" s="44" t="str">
        <f>TaskTimings[Employee]&amp;"/"&amp;TaskTimings[Date]</f>
        <v>Shareena/43430</v>
      </c>
      <c r="E7" s="44">
        <f>COUNTIF($D$1:TaskTimings[[#This Row],[EmployeeDate]],TaskTimings[[#This Row],[EmployeeDate]])</f>
        <v>3</v>
      </c>
      <c r="F7" s="44" t="str">
        <f>TaskTimings[[#This Row],[EmployeeDate]]&amp;"/"&amp;TaskTimings[[#This Row],[EmployeeDateSeq]]</f>
        <v>Shareena/43430/3</v>
      </c>
      <c r="G7" s="42" t="s">
        <v>58</v>
      </c>
      <c r="H7" s="42" t="s">
        <v>16</v>
      </c>
      <c r="I7" s="48">
        <v>43430</v>
      </c>
      <c r="J7" s="49">
        <v>0.58333333333333337</v>
      </c>
      <c r="K7" s="50">
        <v>0.66666666666666663</v>
      </c>
      <c r="L7" s="40">
        <f>(TaskTimings[End Time]-TaskTimings[Start Time])*1440</f>
        <v>119.99999999999989</v>
      </c>
      <c r="M7" s="40" t="str">
        <f>TEXT(TaskTimings[End Time]-TaskTimings[Start Time],"HH:mm")</f>
        <v>02:00</v>
      </c>
      <c r="N7" s="40">
        <f>SUMIFS(TaskTimings[Total Minutes],TaskTimings[Date],TaskTimings[Date],TaskTimings[Employee],TaskTimings[Employee])</f>
        <v>330.99999999999994</v>
      </c>
      <c r="O7" s="40" t="str">
        <f>TEXT(TaskTimings[Day Total Minutes]/1440,"HH:mm")</f>
        <v>05:31</v>
      </c>
      <c r="P7" s="44" t="str">
        <f>TaskTimings[PRJ]</f>
        <v>TKT</v>
      </c>
      <c r="Q7" s="44" t="str">
        <f>TaskTimings[TSK]</f>
        <v>Database Analysis from Old Project</v>
      </c>
    </row>
    <row r="8" spans="1:17" x14ac:dyDescent="0.25">
      <c r="A8" s="47">
        <f t="shared" si="0"/>
        <v>7</v>
      </c>
      <c r="B8" s="44" t="str">
        <f>VLOOKUP(TaskTimings[Task],ProjectTasks[[TaskProjectCode]:[TSK]],2,0)</f>
        <v>RTM</v>
      </c>
      <c r="C8" s="44" t="str">
        <f>VLOOKUP(TaskTimings[Task],ProjectTasks[[TaskProjectCode]:[TSK]],3,0)</f>
        <v>Solving the issue of repeating icon in tray</v>
      </c>
      <c r="D8" s="44" t="str">
        <f>TaskTimings[Employee]&amp;"/"&amp;TaskTimings[Date]</f>
        <v>Aswathy/43430</v>
      </c>
      <c r="E8" s="44">
        <f>COUNTIF($D$1:TaskTimings[[#This Row],[EmployeeDate]],TaskTimings[[#This Row],[EmployeeDate]])</f>
        <v>4</v>
      </c>
      <c r="F8" s="44" t="str">
        <f>TaskTimings[[#This Row],[EmployeeDate]]&amp;"/"&amp;TaskTimings[[#This Row],[EmployeeDateSeq]]</f>
        <v>Aswathy/43430/4</v>
      </c>
      <c r="G8" s="42" t="s">
        <v>84</v>
      </c>
      <c r="H8" s="42" t="s">
        <v>54</v>
      </c>
      <c r="I8" s="48">
        <v>43430</v>
      </c>
      <c r="J8" s="49">
        <v>0.625</v>
      </c>
      <c r="K8" s="50">
        <v>0.70833333333333337</v>
      </c>
      <c r="L8" s="40">
        <f>(TaskTimings[End Time]-TaskTimings[Start Time])*1440</f>
        <v>120.00000000000006</v>
      </c>
      <c r="M8" s="40" t="str">
        <f>TEXT(TaskTimings[End Time]-TaskTimings[Start Time],"HH:mm")</f>
        <v>02:00</v>
      </c>
      <c r="N8" s="40">
        <f>SUMIFS(TaskTimings[Total Minutes],TaskTimings[Date],TaskTimings[Date],TaskTimings[Employee],TaskTimings[Employee])</f>
        <v>330</v>
      </c>
      <c r="O8" s="40" t="str">
        <f>TEXT(TaskTimings[Day Total Minutes]/1440,"HH:mm")</f>
        <v>05:30</v>
      </c>
      <c r="P8" s="44" t="str">
        <f>TaskTimings[PRJ]</f>
        <v>RTM</v>
      </c>
      <c r="Q8" s="44" t="str">
        <f>TaskTimings[TSK]</f>
        <v>Solving the issue of repeating icon in tray</v>
      </c>
    </row>
    <row r="9" spans="1:17" x14ac:dyDescent="0.25">
      <c r="A9" s="43">
        <f t="shared" ref="A9:A17" si="1">IFERROR($A8+1,1)</f>
        <v>8</v>
      </c>
      <c r="B9" s="52" t="str">
        <f>VLOOKUP(TaskTimings[Task],ProjectTasks[[TaskProjectCode]:[TSK]],2,0)</f>
        <v>TKT</v>
      </c>
      <c r="C9" s="52" t="str">
        <f>VLOOKUP(TaskTimings[Task],ProjectTasks[[TaskProjectCode]:[TSK]],3,0)</f>
        <v>Discussion for ticketing modification</v>
      </c>
      <c r="D9" s="52" t="str">
        <f>TaskTimings[Employee]&amp;"/"&amp;TaskTimings[Date]</f>
        <v>Firose/43430</v>
      </c>
      <c r="E9" s="52">
        <f>COUNTIF($D$1:TaskTimings[[#This Row],[EmployeeDate]],TaskTimings[[#This Row],[EmployeeDate]])</f>
        <v>1</v>
      </c>
      <c r="F9" s="52" t="str">
        <f>TaskTimings[[#This Row],[EmployeeDate]]&amp;"/"&amp;TaskTimings[[#This Row],[EmployeeDateSeq]]</f>
        <v>Firose/43430/1</v>
      </c>
      <c r="G9" s="41" t="s">
        <v>55</v>
      </c>
      <c r="H9" s="41" t="s">
        <v>34</v>
      </c>
      <c r="I9" s="54">
        <v>43430</v>
      </c>
      <c r="J9" s="55">
        <v>0.41666666666666669</v>
      </c>
      <c r="K9" s="55">
        <v>0.45833333333333331</v>
      </c>
      <c r="L9" s="51">
        <f>(TaskTimings[End Time]-TaskTimings[Start Time])*1440</f>
        <v>59.999999999999943</v>
      </c>
      <c r="M9" s="51" t="str">
        <f>TEXT(TaskTimings[End Time]-TaskTimings[Start Time],"HH:mm")</f>
        <v>01:00</v>
      </c>
      <c r="N9" s="51">
        <f>SUMIFS(TaskTimings[Total Minutes],TaskTimings[Date],TaskTimings[Date],TaskTimings[Employee],TaskTimings[Employee])</f>
        <v>419.99999999999989</v>
      </c>
      <c r="O9" s="51" t="str">
        <f>TEXT(TaskTimings[Day Total Minutes]/1440,"HH:mm")</f>
        <v>07:00</v>
      </c>
      <c r="P9" s="52" t="str">
        <f>TaskTimings[PRJ]</f>
        <v>TKT</v>
      </c>
      <c r="Q9" s="52" t="str">
        <f>TaskTimings[TSK]</f>
        <v>Discussion for ticketing modification</v>
      </c>
    </row>
    <row r="10" spans="1:17" x14ac:dyDescent="0.25">
      <c r="A10" s="43">
        <f t="shared" si="1"/>
        <v>9</v>
      </c>
      <c r="B10" s="52" t="str">
        <f>VLOOKUP(TaskTimings[Task],ProjectTasks[[TaskProjectCode]:[TSK]],2,0)</f>
        <v>PPOIO</v>
      </c>
      <c r="C10" s="52" t="str">
        <f>VLOOKUP(TaskTimings[Task],ProjectTasks[[TaskProjectCode]:[TSK]],3,0)</f>
        <v>Project Study</v>
      </c>
      <c r="D10" s="52" t="str">
        <f>TaskTimings[Employee]&amp;"/"&amp;TaskTimings[Date]</f>
        <v>Firose/43430</v>
      </c>
      <c r="E10" s="52">
        <f>COUNTIF($D$1:TaskTimings[[#This Row],[EmployeeDate]],TaskTimings[[#This Row],[EmployeeDate]])</f>
        <v>2</v>
      </c>
      <c r="F10" s="52" t="str">
        <f>TaskTimings[[#This Row],[EmployeeDate]]&amp;"/"&amp;TaskTimings[[#This Row],[EmployeeDateSeq]]</f>
        <v>Firose/43430/2</v>
      </c>
      <c r="G10" s="41" t="s">
        <v>69</v>
      </c>
      <c r="H10" s="41" t="s">
        <v>34</v>
      </c>
      <c r="I10" s="54">
        <v>43430</v>
      </c>
      <c r="J10" s="55">
        <v>0.45833333333333331</v>
      </c>
      <c r="K10" s="55">
        <v>0.54166666666666663</v>
      </c>
      <c r="L10" s="51">
        <f>(TaskTimings[End Time]-TaskTimings[Start Time])*1440</f>
        <v>119.99999999999997</v>
      </c>
      <c r="M10" s="51" t="str">
        <f>TEXT(TaskTimings[End Time]-TaskTimings[Start Time],"HH:mm")</f>
        <v>02:00</v>
      </c>
      <c r="N10" s="51">
        <f>SUMIFS(TaskTimings[Total Minutes],TaskTimings[Date],TaskTimings[Date],TaskTimings[Employee],TaskTimings[Employee])</f>
        <v>419.99999999999989</v>
      </c>
      <c r="O10" s="51" t="str">
        <f>TEXT(TaskTimings[Day Total Minutes]/1440,"HH:mm")</f>
        <v>07:00</v>
      </c>
      <c r="P10" s="52" t="str">
        <f>TaskTimings[PRJ]</f>
        <v>PPOIO</v>
      </c>
      <c r="Q10" s="52" t="str">
        <f>TaskTimings[TSK]</f>
        <v>Project Study</v>
      </c>
    </row>
    <row r="11" spans="1:17" x14ac:dyDescent="0.25">
      <c r="A11" s="43">
        <f t="shared" si="1"/>
        <v>10</v>
      </c>
      <c r="B11" s="52" t="str">
        <f>VLOOKUP(TaskTimings[Task],ProjectTasks[[TaskProjectCode]:[TSK]],2,0)</f>
        <v>PPOIO</v>
      </c>
      <c r="C11" s="52" t="str">
        <f>VLOOKUP(TaskTimings[Task],ProjectTasks[[TaskProjectCode]:[TSK]],3,0)</f>
        <v>Business Plan</v>
      </c>
      <c r="D11" s="52" t="str">
        <f>TaskTimings[Employee]&amp;"/"&amp;TaskTimings[Date]</f>
        <v>Firose/43430</v>
      </c>
      <c r="E11" s="52">
        <f>COUNTIF($D$1:TaskTimings[[#This Row],[EmployeeDate]],TaskTimings[[#This Row],[EmployeeDate]])</f>
        <v>3</v>
      </c>
      <c r="F11" s="52" t="str">
        <f>TaskTimings[[#This Row],[EmployeeDate]]&amp;"/"&amp;TaskTimings[[#This Row],[EmployeeDateSeq]]</f>
        <v>Firose/43430/3</v>
      </c>
      <c r="G11" s="41" t="s">
        <v>70</v>
      </c>
      <c r="H11" s="41" t="s">
        <v>34</v>
      </c>
      <c r="I11" s="54">
        <v>43430</v>
      </c>
      <c r="J11" s="55">
        <v>0.58333333333333337</v>
      </c>
      <c r="K11" s="55">
        <v>0.75</v>
      </c>
      <c r="L11" s="51">
        <f>(TaskTimings[End Time]-TaskTimings[Start Time])*1440</f>
        <v>239.99999999999994</v>
      </c>
      <c r="M11" s="51" t="str">
        <f>TEXT(TaskTimings[End Time]-TaskTimings[Start Time],"HH:mm")</f>
        <v>04:00</v>
      </c>
      <c r="N11" s="51">
        <f>SUMIFS(TaskTimings[Total Minutes],TaskTimings[Date],TaskTimings[Date],TaskTimings[Employee],TaskTimings[Employee])</f>
        <v>419.99999999999989</v>
      </c>
      <c r="O11" s="51" t="str">
        <f>TEXT(TaskTimings[Day Total Minutes]/1440,"HH:mm")</f>
        <v>07:00</v>
      </c>
      <c r="P11" s="52" t="str">
        <f>TaskTimings[PRJ]</f>
        <v>PPOIO</v>
      </c>
      <c r="Q11" s="52" t="str">
        <f>TaskTimings[TSK]</f>
        <v>Business Plan</v>
      </c>
    </row>
    <row r="12" spans="1:17" x14ac:dyDescent="0.25">
      <c r="A12" s="43">
        <f t="shared" si="1"/>
        <v>11</v>
      </c>
      <c r="B12" s="52" t="str">
        <f>VLOOKUP(TaskTimings[Task],ProjectTasks[[TaskProjectCode]:[TSK]],2,0)</f>
        <v>TEEBPD</v>
      </c>
      <c r="C12" s="52" t="str">
        <f>VLOOKUP(TaskTimings[Task],ProjectTasks[[TaskProjectCode]:[TSK]],3,0)</f>
        <v>Client Suggestion Implementation</v>
      </c>
      <c r="D12" s="52" t="str">
        <f>TaskTimings[Employee]&amp;"/"&amp;TaskTimings[Date]</f>
        <v>Firose/43431</v>
      </c>
      <c r="E12" s="52">
        <f>COUNTIF($D$1:TaskTimings[[#This Row],[EmployeeDate]],TaskTimings[[#This Row],[EmployeeDate]])</f>
        <v>1</v>
      </c>
      <c r="F12" s="52" t="str">
        <f>TaskTimings[[#This Row],[EmployeeDate]]&amp;"/"&amp;TaskTimings[[#This Row],[EmployeeDateSeq]]</f>
        <v>Firose/43431/1</v>
      </c>
      <c r="G12" s="41" t="s">
        <v>71</v>
      </c>
      <c r="H12" s="41" t="s">
        <v>34</v>
      </c>
      <c r="I12" s="54">
        <v>43431</v>
      </c>
      <c r="J12" s="55">
        <v>0.375</v>
      </c>
      <c r="K12" s="55">
        <v>0.70833333333333337</v>
      </c>
      <c r="L12" s="51">
        <f>(TaskTimings[End Time]-TaskTimings[Start Time])*1440</f>
        <v>480.00000000000006</v>
      </c>
      <c r="M12" s="51" t="str">
        <f>TEXT(TaskTimings[End Time]-TaskTimings[Start Time],"HH:mm")</f>
        <v>08:00</v>
      </c>
      <c r="N12" s="51">
        <f>SUMIFS(TaskTimings[Total Minutes],TaskTimings[Date],TaskTimings[Date],TaskTimings[Employee],TaskTimings[Employee])</f>
        <v>480.00000000000006</v>
      </c>
      <c r="O12" s="51" t="str">
        <f>TEXT(TaskTimings[Day Total Minutes]/1440,"HH:mm")</f>
        <v>08:00</v>
      </c>
      <c r="P12" s="52" t="str">
        <f>TaskTimings[PRJ]</f>
        <v>TEEBPD</v>
      </c>
      <c r="Q12" s="52" t="str">
        <f>TaskTimings[TSK]</f>
        <v>Client Suggestion Implementation</v>
      </c>
    </row>
    <row r="13" spans="1:17" x14ac:dyDescent="0.25">
      <c r="A13" s="43">
        <f>IFERROR($A12+1,1)</f>
        <v>12</v>
      </c>
      <c r="B13" s="52" t="str">
        <f>VLOOKUP(TaskTimings[Task],ProjectTasks[[TaskProjectCode]:[TSK]],2,0)</f>
        <v>TKT</v>
      </c>
      <c r="C13" s="52" t="str">
        <f>VLOOKUP(TaskTimings[Task],ProjectTasks[[TaskProjectCode]:[TSK]],3,0)</f>
        <v>Database Analysis from Old Project</v>
      </c>
      <c r="D13" s="52" t="str">
        <f>TaskTimings[Employee]&amp;"/"&amp;TaskTimings[Date]</f>
        <v>Shareena/43431</v>
      </c>
      <c r="E13" s="52">
        <f>COUNTIF($D$1:TaskTimings[[#This Row],[EmployeeDate]],TaskTimings[[#This Row],[EmployeeDate]])</f>
        <v>1</v>
      </c>
      <c r="F13" s="52" t="str">
        <f>TaskTimings[[#This Row],[EmployeeDate]]&amp;"/"&amp;TaskTimings[[#This Row],[EmployeeDateSeq]]</f>
        <v>Shareena/43431/1</v>
      </c>
      <c r="G13" s="41" t="s">
        <v>58</v>
      </c>
      <c r="H13" s="41" t="s">
        <v>16</v>
      </c>
      <c r="I13" s="54">
        <v>43431</v>
      </c>
      <c r="J13" s="56">
        <v>0.38541666666666669</v>
      </c>
      <c r="K13" s="55">
        <v>0.47916666666666669</v>
      </c>
      <c r="L13" s="51">
        <f>(TaskTimings[End Time]-TaskTimings[Start Time])*1440</f>
        <v>135</v>
      </c>
      <c r="M13" s="51" t="str">
        <f>TEXT(TaskTimings[End Time]-TaskTimings[Start Time],"HH:mm")</f>
        <v>02:15</v>
      </c>
      <c r="N13" s="51">
        <f>SUMIFS(TaskTimings[Total Minutes],TaskTimings[Date],TaskTimings[Date],TaskTimings[Employee],TaskTimings[Employee])</f>
        <v>135</v>
      </c>
      <c r="O13" s="51" t="str">
        <f>TEXT(TaskTimings[Day Total Minutes]/1440,"HH:mm")</f>
        <v>02:15</v>
      </c>
      <c r="P13" s="52" t="str">
        <f>TaskTimings[PRJ]</f>
        <v>TKT</v>
      </c>
      <c r="Q13" s="52" t="str">
        <f>TaskTimings[TSK]</f>
        <v>Database Analysis from Old Project</v>
      </c>
    </row>
    <row r="14" spans="1:17" x14ac:dyDescent="0.25">
      <c r="A14" s="43">
        <f>IFERROR($A13+1,1)</f>
        <v>13</v>
      </c>
      <c r="B14" s="52" t="str">
        <f>VLOOKUP(TaskTimings[Task],ProjectTasks[[TaskProjectCode]:[TSK]],2,0)</f>
        <v>RTM</v>
      </c>
      <c r="C14" s="52" t="str">
        <f>VLOOKUP(TaskTimings[Task],ProjectTasks[[TaskProjectCode]:[TSK]],3,0)</f>
        <v>Solving the issue of repeating icon in tray</v>
      </c>
      <c r="D14" s="52" t="str">
        <f>TaskTimings[Employee]&amp;"/"&amp;TaskTimings[Date]</f>
        <v>Aswathy/43431</v>
      </c>
      <c r="E14" s="52">
        <f>COUNTIF($D$1:TaskTimings[[#This Row],[EmployeeDate]],TaskTimings[[#This Row],[EmployeeDate]])</f>
        <v>1</v>
      </c>
      <c r="F14" s="52" t="str">
        <f>TaskTimings[[#This Row],[EmployeeDate]]&amp;"/"&amp;TaskTimings[[#This Row],[EmployeeDateSeq]]</f>
        <v>Aswathy/43431/1</v>
      </c>
      <c r="G14" s="41" t="s">
        <v>84</v>
      </c>
      <c r="H14" s="41" t="s">
        <v>54</v>
      </c>
      <c r="I14" s="54">
        <v>43431</v>
      </c>
      <c r="J14" s="56">
        <v>0.38541666666666669</v>
      </c>
      <c r="K14" s="55">
        <v>0.41666666666666669</v>
      </c>
      <c r="L14" s="51">
        <f>(TaskTimings[End Time]-TaskTimings[Start Time])*1440</f>
        <v>45</v>
      </c>
      <c r="M14" s="51" t="str">
        <f>TEXT(TaskTimings[End Time]-TaskTimings[Start Time],"HH:mm")</f>
        <v>00:45</v>
      </c>
      <c r="N14" s="51">
        <f>SUMIFS(TaskTimings[Total Minutes],TaskTimings[Date],TaskTimings[Date],TaskTimings[Employee],TaskTimings[Employee])</f>
        <v>144.99999999999989</v>
      </c>
      <c r="O14" s="51" t="str">
        <f>TEXT(TaskTimings[Day Total Minutes]/1440,"HH:mm")</f>
        <v>02:25</v>
      </c>
      <c r="P14" s="52" t="str">
        <f>TaskTimings[PRJ]</f>
        <v>RTM</v>
      </c>
      <c r="Q14" s="52" t="str">
        <f>TaskTimings[TSK]</f>
        <v>Solving the issue of repeating icon in tray</v>
      </c>
    </row>
    <row r="15" spans="1:17" x14ac:dyDescent="0.25">
      <c r="A15" s="43">
        <f>IFERROR($A12+1,1)</f>
        <v>12</v>
      </c>
      <c r="B15" s="52" t="str">
        <f>VLOOKUP(TaskTimings[Task],ProjectTasks[[TaskProjectCode]:[TSK]],2,0)</f>
        <v>RTM</v>
      </c>
      <c r="C15" s="52" t="str">
        <f>VLOOKUP(TaskTimings[Task],ProjectTasks[[TaskProjectCode]:[TSK]],3,0)</f>
        <v>Solving the issue of repeating icon in tray</v>
      </c>
      <c r="D15" s="52" t="str">
        <f>TaskTimings[Employee]&amp;"/"&amp;TaskTimings[Date]</f>
        <v>Aswathy/43431</v>
      </c>
      <c r="E15" s="52">
        <f>COUNTIF($D$1:TaskTimings[[#This Row],[EmployeeDate]],TaskTimings[[#This Row],[EmployeeDate]])</f>
        <v>2</v>
      </c>
      <c r="F15" s="52" t="str">
        <f>TaskTimings[[#This Row],[EmployeeDate]]&amp;"/"&amp;TaskTimings[[#This Row],[EmployeeDateSeq]]</f>
        <v>Aswathy/43431/2</v>
      </c>
      <c r="G15" s="41" t="s">
        <v>84</v>
      </c>
      <c r="H15" s="41" t="s">
        <v>54</v>
      </c>
      <c r="I15" s="54">
        <v>43431</v>
      </c>
      <c r="J15" s="56">
        <v>0.47222222222222227</v>
      </c>
      <c r="K15" s="55">
        <v>0.54166666666666663</v>
      </c>
      <c r="L15" s="51">
        <f>(TaskTimings[End Time]-TaskTimings[Start Time])*1440</f>
        <v>99.999999999999886</v>
      </c>
      <c r="M15" s="51" t="str">
        <f>TEXT(TaskTimings[End Time]-TaskTimings[Start Time],"HH:mm")</f>
        <v>01:40</v>
      </c>
      <c r="N15" s="51">
        <f>SUMIFS(TaskTimings[Total Minutes],TaskTimings[Date],TaskTimings[Date],TaskTimings[Employee],TaskTimings[Employee])</f>
        <v>144.99999999999989</v>
      </c>
      <c r="O15" s="51" t="str">
        <f>TEXT(TaskTimings[Day Total Minutes]/1440,"HH:mm")</f>
        <v>02:25</v>
      </c>
      <c r="P15" s="52" t="str">
        <f>TaskTimings[PRJ]</f>
        <v>RTM</v>
      </c>
      <c r="Q15" s="52" t="str">
        <f>TaskTimings[TSK]</f>
        <v>Solving the issue of repeating icon in tray</v>
      </c>
    </row>
    <row r="16" spans="1:17" x14ac:dyDescent="0.25">
      <c r="A16" s="43">
        <f>IFERROR($A12+1,1)</f>
        <v>12</v>
      </c>
      <c r="B16" s="52" t="str">
        <f>VLOOKUP(TaskTimings[Task],ProjectTasks[[TaskProjectCode]:[TSK]],2,0)</f>
        <v>MITWEB</v>
      </c>
      <c r="C16" s="52" t="str">
        <f>VLOOKUP(TaskTimings[Task],ProjectTasks[[TaskProjectCode]:[TSK]],3,0)</f>
        <v>Modification</v>
      </c>
      <c r="D16" s="52" t="str">
        <f>TaskTimings[Employee]&amp;"/"&amp;TaskTimings[Date]</f>
        <v>Firose/43432</v>
      </c>
      <c r="E16" s="52">
        <f>COUNTIF($D$1:TaskTimings[[#This Row],[EmployeeDate]],TaskTimings[[#This Row],[EmployeeDate]])</f>
        <v>1</v>
      </c>
      <c r="F16" s="52" t="str">
        <f>TaskTimings[[#This Row],[EmployeeDate]]&amp;"/"&amp;TaskTimings[[#This Row],[EmployeeDateSeq]]</f>
        <v>Firose/43432/1</v>
      </c>
      <c r="G16" s="41" t="s">
        <v>75</v>
      </c>
      <c r="H16" s="41" t="s">
        <v>34</v>
      </c>
      <c r="I16" s="54">
        <v>43432</v>
      </c>
      <c r="J16" s="55">
        <v>0.375</v>
      </c>
      <c r="K16" s="55">
        <v>0.41666666666666669</v>
      </c>
      <c r="L16" s="51">
        <f>(TaskTimings[End Time]-TaskTimings[Start Time])*1440</f>
        <v>60.000000000000028</v>
      </c>
      <c r="M16" s="51" t="str">
        <f>TEXT(TaskTimings[End Time]-TaskTimings[Start Time],"HH:mm")</f>
        <v>01:00</v>
      </c>
      <c r="N16" s="51">
        <f>SUMIFS(TaskTimings[Total Minutes],TaskTimings[Date],TaskTimings[Date],TaskTimings[Employee],TaskTimings[Employee])</f>
        <v>90</v>
      </c>
      <c r="O16" s="51" t="str">
        <f>TEXT(TaskTimings[Day Total Minutes]/1440,"HH:mm")</f>
        <v>01:30</v>
      </c>
      <c r="P16" s="52" t="str">
        <f>TaskTimings[PRJ]</f>
        <v>MITWEB</v>
      </c>
      <c r="Q16" s="52" t="str">
        <f>TaskTimings[TSK]</f>
        <v>Modification</v>
      </c>
    </row>
    <row r="17" spans="1:17" x14ac:dyDescent="0.25">
      <c r="A17" s="43">
        <f t="shared" si="1"/>
        <v>13</v>
      </c>
      <c r="B17" s="52" t="str">
        <f>VLOOKUP(TaskTimings[Task],ProjectTasks[[TaskProjectCode]:[TSK]],2,0)</f>
        <v>TKT</v>
      </c>
      <c r="C17" s="52" t="str">
        <f>VLOOKUP(TaskTimings[Task],ProjectTasks[[TaskProjectCode]:[TSK]],3,0)</f>
        <v>Discussion for ticketing modification</v>
      </c>
      <c r="D17" s="52" t="str">
        <f>TaskTimings[Employee]&amp;"/"&amp;TaskTimings[Date]</f>
        <v>Firose/43432</v>
      </c>
      <c r="E17" s="52">
        <f>COUNTIF($D$1:TaskTimings[[#This Row],[EmployeeDate]],TaskTimings[[#This Row],[EmployeeDate]])</f>
        <v>2</v>
      </c>
      <c r="F17" s="52" t="str">
        <f>TaskTimings[[#This Row],[EmployeeDate]]&amp;"/"&amp;TaskTimings[[#This Row],[EmployeeDateSeq]]</f>
        <v>Firose/43432/2</v>
      </c>
      <c r="G17" s="41" t="s">
        <v>55</v>
      </c>
      <c r="H17" s="41" t="s">
        <v>34</v>
      </c>
      <c r="I17" s="54">
        <v>43432</v>
      </c>
      <c r="J17" s="55">
        <v>0.41666666666666669</v>
      </c>
      <c r="K17" s="55">
        <v>0.4375</v>
      </c>
      <c r="L17" s="51">
        <f>(TaskTimings[End Time]-TaskTimings[Start Time])*1440</f>
        <v>29.999999999999972</v>
      </c>
      <c r="M17" s="51" t="str">
        <f>TEXT(TaskTimings[End Time]-TaskTimings[Start Time],"HH:mm")</f>
        <v>00:30</v>
      </c>
      <c r="N17" s="51">
        <f>SUMIFS(TaskTimings[Total Minutes],TaskTimings[Date],TaskTimings[Date],TaskTimings[Employee],TaskTimings[Employee])</f>
        <v>90</v>
      </c>
      <c r="O17" s="51" t="str">
        <f>TEXT(TaskTimings[Day Total Minutes]/1440,"HH:mm")</f>
        <v>01:30</v>
      </c>
      <c r="P17" s="52" t="str">
        <f>TaskTimings[PRJ]</f>
        <v>TKT</v>
      </c>
      <c r="Q17" s="52" t="str">
        <f>TaskTimings[TSK]</f>
        <v>Discussion for ticketing modification</v>
      </c>
    </row>
    <row r="18" spans="1:17" x14ac:dyDescent="0.25">
      <c r="A18" s="47">
        <f t="shared" ref="A18:A24" si="2">IFERROR($A17+1,1)</f>
        <v>14</v>
      </c>
      <c r="B18" s="44" t="str">
        <f>VLOOKUP(TaskTimings[Task],ProjectTasks[[TaskProjectCode]:[TSK]],2,0)</f>
        <v>TKT</v>
      </c>
      <c r="C18" s="44" t="str">
        <f>VLOOKUP(TaskTimings[Task],ProjectTasks[[TaskProjectCode]:[TSK]],3,0)</f>
        <v>Note down table relations</v>
      </c>
      <c r="D18" s="44" t="str">
        <f>TaskTimings[Employee]&amp;"/"&amp;TaskTimings[Date]</f>
        <v>Shareena/43432</v>
      </c>
      <c r="E18" s="44">
        <f>COUNTIF($D$1:TaskTimings[[#This Row],[EmployeeDate]],TaskTimings[[#This Row],[EmployeeDate]])</f>
        <v>1</v>
      </c>
      <c r="F18" s="44" t="str">
        <f>TaskTimings[[#This Row],[EmployeeDate]]&amp;"/"&amp;TaskTimings[[#This Row],[EmployeeDateSeq]]</f>
        <v>Shareena/43432/1</v>
      </c>
      <c r="G18" s="41" t="s">
        <v>81</v>
      </c>
      <c r="H18" s="42" t="s">
        <v>16</v>
      </c>
      <c r="I18" s="54">
        <v>43432</v>
      </c>
      <c r="J18" s="57">
        <v>0.43888888888888888</v>
      </c>
      <c r="K18" s="50">
        <v>0.70277777777777783</v>
      </c>
      <c r="L18" s="40">
        <f>(TaskTimings[End Time]-TaskTimings[Start Time])*1440</f>
        <v>380.00000000000011</v>
      </c>
      <c r="M18" s="40" t="str">
        <f>TEXT(TaskTimings[End Time]-TaskTimings[Start Time],"HH:mm")</f>
        <v>06:20</v>
      </c>
      <c r="N18" s="40">
        <f>SUMIFS(TaskTimings[Total Minutes],TaskTimings[Date],TaskTimings[Date],TaskTimings[Employee],TaskTimings[Employee])</f>
        <v>380.00000000000011</v>
      </c>
      <c r="O18" s="40" t="str">
        <f>TEXT(TaskTimings[Day Total Minutes]/1440,"HH:mm")</f>
        <v>06:20</v>
      </c>
      <c r="P18" s="44" t="str">
        <f>TaskTimings[PRJ]</f>
        <v>TKT</v>
      </c>
      <c r="Q18" s="44" t="str">
        <f>TaskTimings[TSK]</f>
        <v>Note down table relations</v>
      </c>
    </row>
    <row r="19" spans="1:17" x14ac:dyDescent="0.25">
      <c r="A19" s="47">
        <f t="shared" si="2"/>
        <v>15</v>
      </c>
      <c r="B19" s="44" t="str">
        <f>VLOOKUP(TaskTimings[Task],ProjectTasks[[TaskProjectCode]:[TSK]],2,0)</f>
        <v>SDS</v>
      </c>
      <c r="C19" s="44" t="str">
        <f>VLOOKUP(TaskTimings[Task],ProjectTasks[[TaskProjectCode]:[TSK]],3,0)</f>
        <v>Decryption</v>
      </c>
      <c r="D19" s="44" t="str">
        <f>TaskTimings[Employee]&amp;"/"&amp;TaskTimings[Date]</f>
        <v>Aswathy/43432</v>
      </c>
      <c r="E19" s="44">
        <f>COUNTIF($D$1:TaskTimings[[#This Row],[EmployeeDate]],TaskTimings[[#This Row],[EmployeeDate]])</f>
        <v>1</v>
      </c>
      <c r="F19" s="44" t="str">
        <f>TaskTimings[[#This Row],[EmployeeDate]]&amp;"/"&amp;TaskTimings[[#This Row],[EmployeeDateSeq]]</f>
        <v>Aswathy/43432/1</v>
      </c>
      <c r="G19" s="41" t="s">
        <v>57</v>
      </c>
      <c r="H19" s="42" t="s">
        <v>54</v>
      </c>
      <c r="I19" s="54">
        <v>43432</v>
      </c>
      <c r="J19" s="57">
        <v>0.44097222222222227</v>
      </c>
      <c r="K19" s="50">
        <v>0.48958333333333331</v>
      </c>
      <c r="L19" s="40">
        <f>(TaskTimings[End Time]-TaskTimings[Start Time])*1440</f>
        <v>69.999999999999915</v>
      </c>
      <c r="M19" s="40" t="str">
        <f>TEXT(TaskTimings[End Time]-TaskTimings[Start Time],"HH:mm")</f>
        <v>01:10</v>
      </c>
      <c r="N19" s="40">
        <f>SUMIFS(TaskTimings[Total Minutes],TaskTimings[Date],TaskTimings[Date],TaskTimings[Employee],TaskTimings[Employee])</f>
        <v>320</v>
      </c>
      <c r="O19" s="40" t="str">
        <f>TEXT(TaskTimings[Day Total Minutes]/1440,"HH:mm")</f>
        <v>05:20</v>
      </c>
      <c r="P19" s="44" t="str">
        <f>TaskTimings[PRJ]</f>
        <v>SDS</v>
      </c>
      <c r="Q19" s="44" t="str">
        <f>TaskTimings[TSK]</f>
        <v>Decryption</v>
      </c>
    </row>
    <row r="20" spans="1:17" x14ac:dyDescent="0.25">
      <c r="A20" s="47">
        <f t="shared" si="2"/>
        <v>16</v>
      </c>
      <c r="B20" s="44" t="str">
        <f>VLOOKUP(TaskTimings[Task],ProjectTasks[[TaskProjectCode]:[TSK]],2,0)</f>
        <v>RTM</v>
      </c>
      <c r="C20" s="44" t="str">
        <f>VLOOKUP(TaskTimings[Task],ProjectTasks[[TaskProjectCode]:[TSK]],3,0)</f>
        <v>Getting branchname into tool</v>
      </c>
      <c r="D20" s="44" t="str">
        <f>TaskTimings[Employee]&amp;"/"&amp;TaskTimings[Date]</f>
        <v>Aswathy/43432</v>
      </c>
      <c r="E20" s="44">
        <f>COUNTIF($D$1:TaskTimings[[#This Row],[EmployeeDate]],TaskTimings[[#This Row],[EmployeeDate]])</f>
        <v>2</v>
      </c>
      <c r="F20" s="44" t="str">
        <f>TaskTimings[[#This Row],[EmployeeDate]]&amp;"/"&amp;TaskTimings[[#This Row],[EmployeeDateSeq]]</f>
        <v>Aswathy/43432/2</v>
      </c>
      <c r="G20" s="41" t="s">
        <v>77</v>
      </c>
      <c r="H20" s="42" t="s">
        <v>54</v>
      </c>
      <c r="I20" s="54">
        <v>43432</v>
      </c>
      <c r="J20" s="57">
        <v>0.51041666666666663</v>
      </c>
      <c r="K20" s="50">
        <v>0.53125</v>
      </c>
      <c r="L20" s="40">
        <f>(TaskTimings[End Time]-TaskTimings[Start Time])*1440</f>
        <v>30.000000000000053</v>
      </c>
      <c r="M20" s="40" t="str">
        <f>TEXT(TaskTimings[End Time]-TaskTimings[Start Time],"HH:mm")</f>
        <v>00:30</v>
      </c>
      <c r="N20" s="40">
        <f>SUMIFS(TaskTimings[Total Minutes],TaskTimings[Date],TaskTimings[Date],TaskTimings[Employee],TaskTimings[Employee])</f>
        <v>320</v>
      </c>
      <c r="O20" s="40" t="str">
        <f>TEXT(TaskTimings[Day Total Minutes]/1440,"HH:mm")</f>
        <v>05:20</v>
      </c>
      <c r="P20" s="44" t="str">
        <f>TaskTimings[PRJ]</f>
        <v>RTM</v>
      </c>
      <c r="Q20" s="44" t="str">
        <f>TaskTimings[TSK]</f>
        <v>Getting branchname into tool</v>
      </c>
    </row>
    <row r="21" spans="1:17" x14ac:dyDescent="0.25">
      <c r="A21" s="47">
        <f t="shared" si="2"/>
        <v>17</v>
      </c>
      <c r="B21" s="44" t="str">
        <f>VLOOKUP(TaskTimings[Task],ProjectTasks[[TaskProjectCode]:[TSK]],2,0)</f>
        <v>SDS</v>
      </c>
      <c r="C21" s="44" t="str">
        <f>VLOOKUP(TaskTimings[Task],ProjectTasks[[TaskProjectCode]:[TSK]],3,0)</f>
        <v>Decryption</v>
      </c>
      <c r="D21" s="44" t="str">
        <f>TaskTimings[Employee]&amp;"/"&amp;TaskTimings[Date]</f>
        <v>Aswathy/43432</v>
      </c>
      <c r="E21" s="44">
        <f>COUNTIF($D$1:TaskTimings[[#This Row],[EmployeeDate]],TaskTimings[[#This Row],[EmployeeDate]])</f>
        <v>3</v>
      </c>
      <c r="F21" s="44" t="str">
        <f>TaskTimings[[#This Row],[EmployeeDate]]&amp;"/"&amp;TaskTimings[[#This Row],[EmployeeDateSeq]]</f>
        <v>Aswathy/43432/3</v>
      </c>
      <c r="G21" s="41" t="s">
        <v>57</v>
      </c>
      <c r="H21" s="42" t="s">
        <v>54</v>
      </c>
      <c r="I21" s="54">
        <v>43432</v>
      </c>
      <c r="J21" s="57">
        <v>0.53125</v>
      </c>
      <c r="K21" s="50">
        <v>0.68402777777777779</v>
      </c>
      <c r="L21" s="40">
        <f>(TaskTimings[End Time]-TaskTimings[Start Time])*1440</f>
        <v>220.00000000000003</v>
      </c>
      <c r="M21" s="40" t="str">
        <f>TEXT(TaskTimings[End Time]-TaskTimings[Start Time],"HH:mm")</f>
        <v>03:40</v>
      </c>
      <c r="N21" s="40">
        <f>SUMIFS(TaskTimings[Total Minutes],TaskTimings[Date],TaskTimings[Date],TaskTimings[Employee],TaskTimings[Employee])</f>
        <v>320</v>
      </c>
      <c r="O21" s="40" t="str">
        <f>TEXT(TaskTimings[Day Total Minutes]/1440,"HH:mm")</f>
        <v>05:20</v>
      </c>
      <c r="P21" s="44" t="str">
        <f>TaskTimings[PRJ]</f>
        <v>SDS</v>
      </c>
      <c r="Q21" s="44" t="str">
        <f>TaskTimings[TSK]</f>
        <v>Decryption</v>
      </c>
    </row>
    <row r="22" spans="1:17" x14ac:dyDescent="0.25">
      <c r="A22" s="47">
        <f t="shared" si="2"/>
        <v>18</v>
      </c>
      <c r="B22" s="44" t="str">
        <f>VLOOKUP(TaskTimings[Task],ProjectTasks[[TaskProjectCode]:[TSK]],2,0)</f>
        <v>TKT</v>
      </c>
      <c r="C22" s="44" t="str">
        <f>VLOOKUP(TaskTimings[Task],ProjectTasks[[TaskProjectCode]:[TSK]],3,0)</f>
        <v>Note down table relations</v>
      </c>
      <c r="D22" s="44" t="str">
        <f>TaskTimings[Employee]&amp;"/"&amp;TaskTimings[Date]</f>
        <v>Shareena/43433</v>
      </c>
      <c r="E22" s="44">
        <f>COUNTIF($D$1:TaskTimings[[#This Row],[EmployeeDate]],TaskTimings[[#This Row],[EmployeeDate]])</f>
        <v>1</v>
      </c>
      <c r="F22" s="44" t="str">
        <f>TaskTimings[[#This Row],[EmployeeDate]]&amp;"/"&amp;TaskTimings[[#This Row],[EmployeeDateSeq]]</f>
        <v>Shareena/43433/1</v>
      </c>
      <c r="G22" s="41" t="s">
        <v>81</v>
      </c>
      <c r="H22" s="42" t="s">
        <v>16</v>
      </c>
      <c r="I22" s="48">
        <v>43433</v>
      </c>
      <c r="J22" s="57">
        <v>0.46180555555555558</v>
      </c>
      <c r="K22" s="50">
        <v>0.55208333333333337</v>
      </c>
      <c r="L22" s="40">
        <f>(TaskTimings[End Time]-TaskTimings[Start Time])*1440</f>
        <v>130.00000000000003</v>
      </c>
      <c r="M22" s="40" t="str">
        <f>TEXT(TaskTimings[End Time]-TaskTimings[Start Time],"HH:mm")</f>
        <v>02:10</v>
      </c>
      <c r="N22" s="40">
        <f>SUMIFS(TaskTimings[Total Minutes],TaskTimings[Date],TaskTimings[Date],TaskTimings[Employee],TaskTimings[Employee])</f>
        <v>250.00000000000009</v>
      </c>
      <c r="O22" s="40" t="str">
        <f>TEXT(TaskTimings[Day Total Minutes]/1440,"HH:mm")</f>
        <v>04:10</v>
      </c>
      <c r="P22" s="44" t="str">
        <f>TaskTimings[PRJ]</f>
        <v>TKT</v>
      </c>
      <c r="Q22" s="44" t="str">
        <f>TaskTimings[TSK]</f>
        <v>Note down table relations</v>
      </c>
    </row>
    <row r="23" spans="1:17" x14ac:dyDescent="0.25">
      <c r="A23" s="5">
        <f t="shared" si="2"/>
        <v>19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8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9">
        <f t="shared" si="2"/>
        <v>20</v>
      </c>
      <c r="B24" s="60" t="str">
        <f>VLOOKUP(TaskTimings[Task],ProjectTasks[[TaskProjectCode]:[TSK]],2,0)</f>
        <v>SDS</v>
      </c>
      <c r="C24" s="60" t="str">
        <f>VLOOKUP(TaskTimings[Task],ProjectTasks[[TaskProjectCode]:[TSK]],3,0)</f>
        <v>Request and get Response from  web</v>
      </c>
      <c r="D24" s="60" t="str">
        <f>TaskTimings[Employee]&amp;"/"&amp;TaskTimings[Date]</f>
        <v>Aswathy/43434</v>
      </c>
      <c r="E24" s="60">
        <f>COUNTIF($D$1:TaskTimings[[#This Row],[EmployeeDate]],TaskTimings[[#This Row],[EmployeeDate]])</f>
        <v>1</v>
      </c>
      <c r="F24" s="60" t="str">
        <f>TaskTimings[[#This Row],[EmployeeDate]]&amp;"/"&amp;TaskTimings[[#This Row],[EmployeeDateSeq]]</f>
        <v>Aswathy/43434/1</v>
      </c>
      <c r="G24" s="61" t="s">
        <v>83</v>
      </c>
      <c r="H24" s="61" t="s">
        <v>54</v>
      </c>
      <c r="I24" s="62">
        <v>43434</v>
      </c>
      <c r="J24" s="63">
        <v>0.3888888888888889</v>
      </c>
      <c r="K24" s="66">
        <v>0.54722222222222217</v>
      </c>
      <c r="L24" s="64">
        <f>(TaskTimings[End Time]-TaskTimings[Start Time])*1440</f>
        <v>227.99999999999991</v>
      </c>
      <c r="M24" s="64" t="str">
        <f>TEXT(TaskTimings[End Time]-TaskTimings[Start Time],"HH:mm")</f>
        <v>03:48</v>
      </c>
      <c r="N24" s="64">
        <f>SUMIFS(TaskTimings[Total Minutes],TaskTimings[Date],TaskTimings[Date],TaskTimings[Employee],TaskTimings[Employee])</f>
        <v>-597.00000000000011</v>
      </c>
      <c r="O24" s="64" t="e">
        <f>TEXT(TaskTimings[Day Total Minutes]/1440,"HH:mm")</f>
        <v>#VALUE!</v>
      </c>
      <c r="P24" s="60" t="str">
        <f>TaskTimings[PRJ]</f>
        <v>SDS</v>
      </c>
      <c r="Q24" s="60" t="str">
        <f>TaskTimings[TSK]</f>
        <v>Request and get Response from  web</v>
      </c>
    </row>
    <row r="25" spans="1:17" x14ac:dyDescent="0.25">
      <c r="A25" s="59">
        <f>IFERROR($A24+1,1)</f>
        <v>21</v>
      </c>
      <c r="B25" s="60" t="str">
        <f>VLOOKUP(TaskTimings[Task],ProjectTasks[[TaskProjectCode]:[TSK]],2,0)</f>
        <v>TKT</v>
      </c>
      <c r="C25" s="60" t="str">
        <f>VLOOKUP(TaskTimings[Task],ProjectTasks[[TaskProjectCode]:[TSK]],3,0)</f>
        <v>Entering table details into excel sheet</v>
      </c>
      <c r="D25" s="60" t="str">
        <f>TaskTimings[Employee]&amp;"/"&amp;TaskTimings[Date]</f>
        <v>Shareena/43434</v>
      </c>
      <c r="E25" s="60">
        <f>COUNTIF($D$1:TaskTimings[[#This Row],[EmployeeDate]],TaskTimings[[#This Row],[EmployeeDate]])</f>
        <v>1</v>
      </c>
      <c r="F25" s="60" t="str">
        <f>TaskTimings[[#This Row],[EmployeeDate]]&amp;"/"&amp;TaskTimings[[#This Row],[EmployeeDateSeq]]</f>
        <v>Shareena/43434/1</v>
      </c>
      <c r="G25" s="61" t="s">
        <v>79</v>
      </c>
      <c r="H25" s="61" t="s">
        <v>16</v>
      </c>
      <c r="I25" s="62">
        <v>43434</v>
      </c>
      <c r="J25" s="63">
        <v>0.40625</v>
      </c>
      <c r="K25" s="66">
        <v>0.54861111111111105</v>
      </c>
      <c r="L25" s="64">
        <f>(TaskTimings[End Time]-TaskTimings[Start Time])*1440</f>
        <v>204.99999999999991</v>
      </c>
      <c r="M25" s="64" t="str">
        <f>TEXT(TaskTimings[End Time]-TaskTimings[Start Time],"HH:mm")</f>
        <v>03:25</v>
      </c>
      <c r="N25" s="64">
        <f>SUMIFS(TaskTimings[Total Minutes],TaskTimings[Date],TaskTimings[Date],TaskTimings[Employee],TaskTimings[Employee])</f>
        <v>-620.00000000000011</v>
      </c>
      <c r="O25" s="64" t="e">
        <f>TEXT(TaskTimings[Day Total Minutes]/1440,"HH:mm")</f>
        <v>#VALUE!</v>
      </c>
      <c r="P25" s="60" t="str">
        <f>TaskTimings[PRJ]</f>
        <v>TKT</v>
      </c>
      <c r="Q25" s="60" t="str">
        <f>TaskTimings[TSK]</f>
        <v>Entering table details into excel sheet</v>
      </c>
    </row>
    <row r="26" spans="1:17" x14ac:dyDescent="0.25">
      <c r="A26" s="59">
        <f>IFERROR($A25+1,1)</f>
        <v>22</v>
      </c>
      <c r="B26" s="60" t="str">
        <f>VLOOKUP(TaskTimings[Task],ProjectTasks[[TaskProjectCode]:[TSK]],2,0)</f>
        <v>SDS</v>
      </c>
      <c r="C26" s="60" t="str">
        <f>VLOOKUP(TaskTimings[Task],ProjectTasks[[TaskProjectCode]:[TSK]],3,0)</f>
        <v>Request and get Response from  web</v>
      </c>
      <c r="D26" s="60" t="str">
        <f>TaskTimings[Employee]&amp;"/"&amp;TaskTimings[Date]</f>
        <v>Aswathy/43434</v>
      </c>
      <c r="E26" s="60">
        <f>COUNTIF($D$1:TaskTimings[[#This Row],[EmployeeDate]],TaskTimings[[#This Row],[EmployeeDate]])</f>
        <v>2</v>
      </c>
      <c r="F26" s="60" t="str">
        <f>TaskTimings[[#This Row],[EmployeeDate]]&amp;"/"&amp;TaskTimings[[#This Row],[EmployeeDateSeq]]</f>
        <v>Aswathy/43434/2</v>
      </c>
      <c r="G26" s="61" t="s">
        <v>83</v>
      </c>
      <c r="H26" s="61" t="s">
        <v>54</v>
      </c>
      <c r="I26" s="62">
        <v>43434</v>
      </c>
      <c r="J26" s="63">
        <v>0.57291666666666663</v>
      </c>
      <c r="K26" s="64"/>
      <c r="L26" s="64">
        <f>(TaskTimings[End Time]-TaskTimings[Start Time])*1440</f>
        <v>-825</v>
      </c>
      <c r="M26" s="64" t="e">
        <f>TEXT(TaskTimings[End Time]-TaskTimings[Start Time],"HH:mm")</f>
        <v>#VALUE!</v>
      </c>
      <c r="N26" s="64">
        <f>SUMIFS(TaskTimings[Total Minutes],TaskTimings[Date],TaskTimings[Date],TaskTimings[Employee],TaskTimings[Employee])</f>
        <v>-597.00000000000011</v>
      </c>
      <c r="O26" s="64" t="e">
        <f>TEXT(TaskTimings[Day Total Minutes]/1440,"HH:mm")</f>
        <v>#VALUE!</v>
      </c>
      <c r="P26" s="60" t="str">
        <f>TaskTimings[PRJ]</f>
        <v>SDS</v>
      </c>
      <c r="Q26" s="60" t="str">
        <f>TaskTimings[TSK]</f>
        <v>Request and get Response from  web</v>
      </c>
    </row>
    <row r="27" spans="1:17" x14ac:dyDescent="0.25">
      <c r="A27" s="59">
        <f>IFERROR($A26+1,1)</f>
        <v>23</v>
      </c>
      <c r="B27" s="60" t="str">
        <f>VLOOKUP(TaskTimings[Task],ProjectTasks[[TaskProjectCode]:[TSK]],2,0)</f>
        <v>TKT</v>
      </c>
      <c r="C27" s="60" t="str">
        <f>VLOOKUP(TaskTimings[Task],ProjectTasks[[TaskProjectCode]:[TSK]],3,0)</f>
        <v>Entering table details into excel sheet</v>
      </c>
      <c r="D27" s="60" t="str">
        <f>TaskTimings[Employee]&amp;"/"&amp;TaskTimings[Date]</f>
        <v>Shareena/43434</v>
      </c>
      <c r="E27" s="60">
        <f>COUNTIF($D$1:TaskTimings[[#This Row],[EmployeeDate]],TaskTimings[[#This Row],[EmployeeDate]])</f>
        <v>2</v>
      </c>
      <c r="F27" s="60" t="str">
        <f>TaskTimings[[#This Row],[EmployeeDate]]&amp;"/"&amp;TaskTimings[[#This Row],[EmployeeDateSeq]]</f>
        <v>Shareena/43434/2</v>
      </c>
      <c r="G27" s="61" t="s">
        <v>79</v>
      </c>
      <c r="H27" s="61" t="s">
        <v>16</v>
      </c>
      <c r="I27" s="62">
        <v>43434</v>
      </c>
      <c r="J27" s="63">
        <v>0.57291666666666663</v>
      </c>
      <c r="K27" s="64"/>
      <c r="L27" s="64">
        <f>(TaskTimings[End Time]-TaskTimings[Start Time])*1440</f>
        <v>-825</v>
      </c>
      <c r="M27" s="64" t="e">
        <f>TEXT(TaskTimings[End Time]-TaskTimings[Start Time],"HH:mm")</f>
        <v>#VALUE!</v>
      </c>
      <c r="N27" s="64">
        <f>SUMIFS(TaskTimings[Total Minutes],TaskTimings[Date],TaskTimings[Date],TaskTimings[Employee],TaskTimings[Employee])</f>
        <v>-620.00000000000011</v>
      </c>
      <c r="O27" s="64" t="e">
        <f>TEXT(TaskTimings[Day Total Minutes]/1440,"HH:mm")</f>
        <v>#VALUE!</v>
      </c>
      <c r="P27" s="60" t="str">
        <f>TaskTimings[PRJ]</f>
        <v>TKT</v>
      </c>
      <c r="Q27" s="60" t="str">
        <f>TaskTimings[TSK]</f>
        <v>Entering table details into excel sheet</v>
      </c>
    </row>
  </sheetData>
  <dataValidations count="2">
    <dataValidation type="list" allowBlank="1" showInputMessage="1" showErrorMessage="1" sqref="H2:H27">
      <formula1>EmployeeNames</formula1>
    </dataValidation>
    <dataValidation type="list" allowBlank="1" showInputMessage="1" showErrorMessage="1" sqref="G2:G27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B8" sqref="B8:F8"/>
    </sheetView>
  </sheetViews>
  <sheetFormatPr defaultRowHeight="15" x14ac:dyDescent="0.25"/>
  <cols>
    <col min="10" max="16" width="13.28515625" customWidth="1"/>
  </cols>
  <sheetData>
    <row r="1" spans="1:16" x14ac:dyDescent="0.25">
      <c r="A1" s="88" t="s">
        <v>51</v>
      </c>
      <c r="B1" s="88"/>
      <c r="C1" s="88"/>
      <c r="D1" s="88"/>
      <c r="E1" s="88"/>
    </row>
    <row r="2" spans="1:16" x14ac:dyDescent="0.25">
      <c r="A2" s="88"/>
      <c r="B2" s="88"/>
      <c r="C2" s="88"/>
      <c r="D2" s="88"/>
      <c r="E2" s="88"/>
      <c r="J2" s="73" t="s">
        <v>33</v>
      </c>
      <c r="K2" s="73"/>
      <c r="L2" s="73"/>
    </row>
    <row r="3" spans="1:16" x14ac:dyDescent="0.25">
      <c r="A3" s="88"/>
      <c r="B3" s="88"/>
      <c r="C3" s="88"/>
      <c r="D3" s="88"/>
      <c r="E3" s="88"/>
      <c r="J3" s="73"/>
      <c r="K3" s="73"/>
      <c r="L3" s="73"/>
    </row>
    <row r="4" spans="1:16" ht="15.75" thickBot="1" x14ac:dyDescent="0.3">
      <c r="A4" s="89" t="str">
        <f>VLOOKUP($A$1,Project[[Project]:[Project Code]],2,0)</f>
        <v>SDS</v>
      </c>
      <c r="B4" s="89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80" t="s">
        <v>31</v>
      </c>
      <c r="B5" s="90" t="s">
        <v>29</v>
      </c>
      <c r="C5" s="90"/>
      <c r="D5" s="90"/>
      <c r="E5" s="90"/>
      <c r="F5" s="90"/>
      <c r="G5" s="69" t="s">
        <v>32</v>
      </c>
      <c r="H5" s="71"/>
      <c r="J5" s="80" t="str">
        <f>IFERROR(VLOOKUP(J$4,Employees[],2,0),"")</f>
        <v>Aswathy</v>
      </c>
      <c r="K5" s="69" t="str">
        <f>IFERROR(VLOOKUP(K$4,Employees[],2,0),"")</f>
        <v>Vishnu</v>
      </c>
      <c r="L5" s="69" t="str">
        <f>IFERROR(VLOOKUP(L$4,Employees[],2,0),"")</f>
        <v>Shareena</v>
      </c>
      <c r="M5" s="69" t="str">
        <f>IFERROR(VLOOKUP(M$4,Employees[],2,0),"")</f>
        <v>Firose</v>
      </c>
      <c r="N5" s="69" t="str">
        <f>IFERROR(VLOOKUP(N$4,Employees[],2,0),"")</f>
        <v/>
      </c>
      <c r="O5" s="69" t="str">
        <f>IFERROR(VLOOKUP(O$4,Employees[],2,0),"")</f>
        <v/>
      </c>
      <c r="P5" s="71" t="str">
        <f>IFERROR(VLOOKUP(P$4,Employees[],2,0),"")</f>
        <v/>
      </c>
    </row>
    <row r="6" spans="1:16" x14ac:dyDescent="0.25">
      <c r="A6" s="81"/>
      <c r="B6" s="91"/>
      <c r="C6" s="91"/>
      <c r="D6" s="91"/>
      <c r="E6" s="91"/>
      <c r="F6" s="91"/>
      <c r="G6" s="70"/>
      <c r="H6" s="72"/>
      <c r="J6" s="81"/>
      <c r="K6" s="70"/>
      <c r="L6" s="70"/>
      <c r="M6" s="70"/>
      <c r="N6" s="70"/>
      <c r="O6" s="70"/>
      <c r="P6" s="72"/>
    </row>
    <row r="7" spans="1:16" x14ac:dyDescent="0.25">
      <c r="A7" s="12">
        <v>1</v>
      </c>
      <c r="B7" s="84" t="str">
        <f>IFERROR(VLOOKUP($A$4&amp;"-"&amp;$A7,ProjectTasks[[PRJTSKSEQ]:[Task]],2,0),"")</f>
        <v>Decryption</v>
      </c>
      <c r="C7" s="84"/>
      <c r="D7" s="84"/>
      <c r="E7" s="84"/>
      <c r="F7" s="84"/>
      <c r="G7" s="82">
        <f>SUMIFS(TaskTimings[Total Minutes],TaskTimings[PRJ],$A$4,TaskTimings[TSK],$B7)</f>
        <v>320</v>
      </c>
      <c r="H7" s="83"/>
      <c r="J7" s="15">
        <f>SUMIFS(TaskTimings[Total Minutes],TaskTimings[PRJ],$A$4,TaskTimings[TSK],$B7,TaskTimings[Employee],J$5)</f>
        <v>320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84" t="str">
        <f>IFERROR(VLOOKUP($A$4&amp;"-"&amp;$A8,ProjectTasks[[PRJTSKSEQ]:[Task]],2,0),"")</f>
        <v>Request and get Response from  web</v>
      </c>
      <c r="C8" s="84"/>
      <c r="D8" s="84"/>
      <c r="E8" s="84"/>
      <c r="F8" s="84"/>
      <c r="G8" s="82">
        <f>SUMIFS(TaskTimings[Total Minutes],TaskTimings[PRJ],$A$4,TaskTimings[TSK],$B8)</f>
        <v>-597.00000000000011</v>
      </c>
      <c r="H8" s="83"/>
      <c r="J8" s="15">
        <f>SUMIFS(TaskTimings[Total Minutes],TaskTimings[PRJ],$A$4,TaskTimings[TSK],$B8,TaskTimings[Employee],J$5)</f>
        <v>-597.00000000000011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84" t="str">
        <f>IFERROR(VLOOKUP($A$4&amp;"-"&amp;$A9,ProjectTasks[[PRJTSKSEQ]:[Task]],2,0),"")</f>
        <v/>
      </c>
      <c r="C9" s="84"/>
      <c r="D9" s="84"/>
      <c r="E9" s="84"/>
      <c r="F9" s="84"/>
      <c r="G9" s="82">
        <f>SUMIFS(TaskTimings[Total Minutes],TaskTimings[PRJ],$A$4,TaskTimings[TSK],$B9)</f>
        <v>0</v>
      </c>
      <c r="H9" s="83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84" t="str">
        <f>IFERROR(VLOOKUP($A$4&amp;"-"&amp;$A10,ProjectTasks[[PRJTSKSEQ]:[Task]],2,0),"")</f>
        <v/>
      </c>
      <c r="C10" s="84"/>
      <c r="D10" s="84"/>
      <c r="E10" s="84"/>
      <c r="F10" s="84"/>
      <c r="G10" s="82">
        <f>SUMIFS(TaskTimings[Total Minutes],TaskTimings[PRJ],$A$4,TaskTimings[TSK],$B10)</f>
        <v>0</v>
      </c>
      <c r="H10" s="83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84" t="str">
        <f>IFERROR(VLOOKUP($A$4&amp;"-"&amp;$A11,ProjectTasks[[PRJTSKSEQ]:[Task]],2,0),"")</f>
        <v/>
      </c>
      <c r="C11" s="84"/>
      <c r="D11" s="84"/>
      <c r="E11" s="84"/>
      <c r="F11" s="84"/>
      <c r="G11" s="82">
        <f>SUMIFS(TaskTimings[Total Minutes],TaskTimings[PRJ],$A$4,TaskTimings[TSK],$B11)</f>
        <v>0</v>
      </c>
      <c r="H11" s="83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84" t="str">
        <f>IFERROR(VLOOKUP($A$4&amp;"-"&amp;$A12,ProjectTasks[[PRJTSKSEQ]:[Task]],2,0),"")</f>
        <v/>
      </c>
      <c r="C12" s="84"/>
      <c r="D12" s="84"/>
      <c r="E12" s="84"/>
      <c r="F12" s="84"/>
      <c r="G12" s="82">
        <f>SUMIFS(TaskTimings[Total Minutes],TaskTimings[PRJ],$A$4,TaskTimings[TSK],$B12)</f>
        <v>0</v>
      </c>
      <c r="H12" s="83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84" t="str">
        <f>IFERROR(VLOOKUP($A$4&amp;"-"&amp;$A13,ProjectTasks[[PRJTSKSEQ]:[Task]],2,0),"")</f>
        <v/>
      </c>
      <c r="C13" s="84"/>
      <c r="D13" s="84"/>
      <c r="E13" s="84"/>
      <c r="F13" s="84"/>
      <c r="G13" s="82">
        <f>SUMIFS(TaskTimings[Total Minutes],TaskTimings[PRJ],$A$4,TaskTimings[TSK],$B13)</f>
        <v>0</v>
      </c>
      <c r="H13" s="83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84" t="str">
        <f>IFERROR(VLOOKUP($A$4&amp;"-"&amp;$A14,ProjectTasks[[PRJTSKSEQ]:[Task]],2,0),"")</f>
        <v/>
      </c>
      <c r="C14" s="84"/>
      <c r="D14" s="84"/>
      <c r="E14" s="84"/>
      <c r="F14" s="84"/>
      <c r="G14" s="82">
        <f>SUMIFS(TaskTimings[Total Minutes],TaskTimings[PRJ],$A$4,TaskTimings[TSK],$B14)</f>
        <v>0</v>
      </c>
      <c r="H14" s="83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84" t="str">
        <f>IFERROR(VLOOKUP($A$4&amp;"-"&amp;$A15,ProjectTasks[[PRJTSKSEQ]:[Task]],2,0),"")</f>
        <v/>
      </c>
      <c r="C15" s="84"/>
      <c r="D15" s="84"/>
      <c r="E15" s="84"/>
      <c r="F15" s="84"/>
      <c r="G15" s="82">
        <f>SUMIFS(TaskTimings[Total Minutes],TaskTimings[PRJ],$A$4,TaskTimings[TSK],$B15)</f>
        <v>0</v>
      </c>
      <c r="H15" s="83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84" t="str">
        <f>IFERROR(VLOOKUP($A$4&amp;"-"&amp;$A16,ProjectTasks[[PRJTSKSEQ]:[Task]],2,0),"")</f>
        <v/>
      </c>
      <c r="C16" s="84"/>
      <c r="D16" s="84"/>
      <c r="E16" s="84"/>
      <c r="F16" s="84"/>
      <c r="G16" s="82">
        <f>SUMIFS(TaskTimings[Total Minutes],TaskTimings[PRJ],$A$4,TaskTimings[TSK],$B16)</f>
        <v>0</v>
      </c>
      <c r="H16" s="83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84" t="str">
        <f>IFERROR(VLOOKUP($A$4&amp;"-"&amp;$A17,ProjectTasks[[PRJTSKSEQ]:[Task]],2,0),"")</f>
        <v/>
      </c>
      <c r="C17" s="84"/>
      <c r="D17" s="84"/>
      <c r="E17" s="84"/>
      <c r="F17" s="84"/>
      <c r="G17" s="82">
        <f>SUMIFS(TaskTimings[Total Minutes],TaskTimings[PRJ],$A$4,TaskTimings[TSK],$B17)</f>
        <v>0</v>
      </c>
      <c r="H17" s="83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84" t="str">
        <f>IFERROR(VLOOKUP($A$4&amp;"-"&amp;$A18,ProjectTasks[[PRJTSKSEQ]:[Task]],2,0),"")</f>
        <v/>
      </c>
      <c r="C18" s="84"/>
      <c r="D18" s="84"/>
      <c r="E18" s="84"/>
      <c r="F18" s="84"/>
      <c r="G18" s="82">
        <f>SUMIFS(TaskTimings[Total Minutes],TaskTimings[PRJ],$A$4,TaskTimings[TSK],$B18)</f>
        <v>0</v>
      </c>
      <c r="H18" s="83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84" t="str">
        <f>IFERROR(VLOOKUP($A$4&amp;"-"&amp;$A19,ProjectTasks[[PRJTSKSEQ]:[Task]],2,0),"")</f>
        <v/>
      </c>
      <c r="C19" s="84"/>
      <c r="D19" s="84"/>
      <c r="E19" s="84"/>
      <c r="F19" s="84"/>
      <c r="G19" s="82">
        <f>SUMIFS(TaskTimings[Total Minutes],TaskTimings[PRJ],$A$4,TaskTimings[TSK],$B19)</f>
        <v>0</v>
      </c>
      <c r="H19" s="83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84" t="str">
        <f>IFERROR(VLOOKUP($A$4&amp;"-"&amp;$A20,ProjectTasks[[PRJTSKSEQ]:[Task]],2,0),"")</f>
        <v/>
      </c>
      <c r="C20" s="84"/>
      <c r="D20" s="84"/>
      <c r="E20" s="84"/>
      <c r="F20" s="84"/>
      <c r="G20" s="82">
        <f>SUMIFS(TaskTimings[Total Minutes],TaskTimings[PRJ],$A$4,TaskTimings[TSK],$B20)</f>
        <v>0</v>
      </c>
      <c r="H20" s="83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87" t="str">
        <f>IFERROR(VLOOKUP($A$4&amp;"-"&amp;$A21,ProjectTasks[[PRJTSKSEQ]:[Task]],2,0),"")</f>
        <v/>
      </c>
      <c r="C21" s="87"/>
      <c r="D21" s="87"/>
      <c r="E21" s="87"/>
      <c r="F21" s="87"/>
      <c r="G21" s="85">
        <f>SUMIFS(TaskTimings[Total Minutes],TaskTimings[PRJ],$A$4,TaskTimings[TSK],$B21)</f>
        <v>0</v>
      </c>
      <c r="H21" s="86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74" t="s">
        <v>24</v>
      </c>
      <c r="E23" s="75"/>
      <c r="F23" s="76"/>
      <c r="G23" s="74">
        <f>SUM(G7:H21)</f>
        <v>-277.00000000000011</v>
      </c>
      <c r="H23" s="76"/>
      <c r="J23" s="67">
        <f>SUM(J7:J21)</f>
        <v>-277.00000000000011</v>
      </c>
      <c r="K23" s="67">
        <f t="shared" ref="K23:P23" si="0">SUM(K7:K21)</f>
        <v>0</v>
      </c>
      <c r="L23" s="67">
        <f t="shared" si="0"/>
        <v>0</v>
      </c>
      <c r="M23" s="67">
        <f t="shared" si="0"/>
        <v>0</v>
      </c>
      <c r="N23" s="67">
        <f t="shared" si="0"/>
        <v>0</v>
      </c>
      <c r="O23" s="67">
        <f t="shared" si="0"/>
        <v>0</v>
      </c>
      <c r="P23" s="67">
        <f t="shared" si="0"/>
        <v>0</v>
      </c>
    </row>
    <row r="24" spans="1:16" ht="15.75" thickBot="1" x14ac:dyDescent="0.3">
      <c r="D24" s="77"/>
      <c r="E24" s="78"/>
      <c r="F24" s="79"/>
      <c r="G24" s="77"/>
      <c r="H24" s="79"/>
      <c r="J24" s="68"/>
      <c r="K24" s="68"/>
      <c r="L24" s="68"/>
      <c r="M24" s="68"/>
      <c r="N24" s="68"/>
      <c r="O24" s="68"/>
      <c r="P24" s="68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sheetData>
    <row r="1" spans="1:28" x14ac:dyDescent="0.25">
      <c r="A1" s="94" t="s">
        <v>54</v>
      </c>
      <c r="B1" s="94"/>
      <c r="C1" s="94"/>
      <c r="D1" s="94"/>
      <c r="F1" s="96" t="s">
        <v>35</v>
      </c>
      <c r="G1" s="96"/>
      <c r="I1" s="32" t="s">
        <v>41</v>
      </c>
      <c r="J1" s="29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94"/>
      <c r="B2" s="94"/>
      <c r="C2" s="94"/>
      <c r="D2" s="94"/>
      <c r="F2" s="95">
        <v>43430</v>
      </c>
      <c r="G2" s="95"/>
      <c r="I2" s="112">
        <f>SUM(I7:I30)</f>
        <v>197.99999999999977</v>
      </c>
      <c r="J2" s="106" t="str">
        <f>TEXT($I$2/1440,"H:mm")</f>
        <v>3:18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94"/>
      <c r="B3" s="94"/>
      <c r="C3" s="94"/>
      <c r="D3" s="94"/>
      <c r="F3" s="95"/>
      <c r="G3" s="95"/>
      <c r="I3" s="113"/>
      <c r="J3" s="107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73" t="s">
        <v>44</v>
      </c>
      <c r="L4" s="73"/>
      <c r="M4" s="73"/>
    </row>
    <row r="5" spans="1:28" ht="15.75" thickBot="1" x14ac:dyDescent="0.3">
      <c r="B5" s="73" t="s">
        <v>45</v>
      </c>
      <c r="C5" s="73"/>
      <c r="D5" s="73"/>
      <c r="E5" s="73"/>
      <c r="F5" s="73"/>
      <c r="K5" s="92"/>
      <c r="L5" s="92"/>
      <c r="M5" s="92"/>
    </row>
    <row r="6" spans="1:28" ht="15.75" thickBot="1" x14ac:dyDescent="0.3">
      <c r="A6" s="14">
        <v>1</v>
      </c>
      <c r="B6" s="93"/>
      <c r="C6" s="93"/>
      <c r="D6" s="93"/>
      <c r="E6" s="93"/>
      <c r="F6" s="93"/>
      <c r="J6" s="25"/>
      <c r="K6" s="38" t="s">
        <v>0</v>
      </c>
      <c r="L6" s="103" t="s">
        <v>4</v>
      </c>
      <c r="M6" s="103"/>
      <c r="N6" s="39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97">
        <f>$F$2</f>
        <v>43430</v>
      </c>
      <c r="C7" s="69"/>
      <c r="D7" s="98" t="str">
        <f>IFERROR(VLOOKUP($A$1&amp;"/"&amp;$B$7&amp;"/"&amp;$A6,TaskTimings[[EmployeeDateSeqCode]:[Task]],2,0),"")</f>
        <v>TKT/Discussion for ticketing modification</v>
      </c>
      <c r="E7" s="98"/>
      <c r="F7" s="98"/>
      <c r="G7" s="98"/>
      <c r="H7" s="23">
        <f>IFERROR(VLOOKUP($A$1&amp;"/"&amp;$B$7&amp;"/"&amp;$A6,TaskTimings[[EmployeeDateSeqCode]:[Total Minutes]],7,0),0)</f>
        <v>90</v>
      </c>
      <c r="I7" s="105">
        <f>SUM(H7:H10)</f>
        <v>330</v>
      </c>
      <c r="J7" s="25"/>
      <c r="K7" s="30">
        <v>1</v>
      </c>
      <c r="L7" s="108" t="str">
        <f>IFERROR(VLOOKUP($K7,$X$7:$Y$30,2,0),"")</f>
        <v>TKT</v>
      </c>
      <c r="M7" s="108"/>
      <c r="N7" s="26">
        <f>SUMIFS($AB$8:$AB$30,$Y$8:$Y$30,$L7)</f>
        <v>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33" t="str">
        <f>IF($U7=0,"",VLOOKUP($D7,TaskTimings[[Task]:[PRJLST]],10,0))</f>
        <v>TKT</v>
      </c>
      <c r="W7" s="14">
        <f>IF($V7="","",COUNTIF($V7:$V$7,$V7))</f>
        <v>1</v>
      </c>
      <c r="X7" s="14">
        <f>IF($W7=1,SUM($X$6:$X6)+1,"")</f>
        <v>1</v>
      </c>
      <c r="Y7" s="37" t="str">
        <f>IF($W7="","",$V7)</f>
        <v>TKT</v>
      </c>
      <c r="Z7" s="33" t="str">
        <f>IF($Y7="","",$Y7&amp;"/"&amp;COUNTIF($Y$7:$Y7,$Y7))</f>
        <v>TKT/1</v>
      </c>
      <c r="AA7" s="33" t="str">
        <f>IF($Z7="","",VLOOKUP($D7,TaskTimings[[Task]:[TSKLST]],11,0))</f>
        <v>Discussion for ticketing modification</v>
      </c>
      <c r="AB7" s="33">
        <f>IF($AA7="",0,SUMIFS($H$7:$H$30,$D$7:$D$30,$Y7&amp;"/"&amp;$AA7))</f>
        <v>90</v>
      </c>
    </row>
    <row r="8" spans="1:28" x14ac:dyDescent="0.25">
      <c r="A8" s="14">
        <v>3</v>
      </c>
      <c r="B8" s="81"/>
      <c r="C8" s="70"/>
      <c r="D8" s="99" t="str">
        <f>IFERROR(VLOOKUP($A$1&amp;"/"&amp;$B$7&amp;"/"&amp;$A7,TaskTimings[[EmployeeDateSeqCode]:[Task]],2,0),"")</f>
        <v>SDS/Decryption</v>
      </c>
      <c r="E8" s="99"/>
      <c r="F8" s="99"/>
      <c r="G8" s="99"/>
      <c r="H8" s="22">
        <f>IFERROR(VLOOKUP($A$1&amp;"/"&amp;$B$7&amp;"/"&amp;$A7,TaskTimings[[EmployeeDateSeqCode]:[Total Minutes]],7,0),0)</f>
        <v>30.000000000000053</v>
      </c>
      <c r="I8" s="106"/>
      <c r="J8" s="25"/>
      <c r="K8" s="30">
        <v>2</v>
      </c>
      <c r="L8" s="108" t="str">
        <f>IFERROR(VLOOKUP($K8,$X$7:$Y$30,2,0),"")</f>
        <v>SDS</v>
      </c>
      <c r="M8" s="108"/>
      <c r="N8" s="26">
        <f t="shared" ref="N8:N11" si="0">SUMIFS($AB$8:$AB$30,$Y$8:$Y$30,$L8)</f>
        <v>-277.00000000000011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33" t="str">
        <f>IF($U8=0,"",VLOOKUP($D8,TaskTimings[[Task]:[PRJLST]],10,0))</f>
        <v>SDS</v>
      </c>
      <c r="W8" s="14">
        <f>IF($V8="","",COUNTIF($V$7:$V8,$V8))</f>
        <v>1</v>
      </c>
      <c r="X8" s="14">
        <f>IF($W8=1,SUM($X$6:$X7)+1,"")</f>
        <v>2</v>
      </c>
      <c r="Y8" s="37" t="str">
        <f t="shared" ref="Y8:Y30" si="1">IF($W8="","",$V8)</f>
        <v>SDS</v>
      </c>
      <c r="Z8" s="33" t="str">
        <f>IF($Y8="","",$Y8&amp;"/"&amp;COUNTIF($Y$7:$Y8,$Y8))</f>
        <v>SDS/1</v>
      </c>
      <c r="AA8" s="33" t="str">
        <f>IF($Z8="","",VLOOKUP($D8,TaskTimings[[Task]:[TSKLST]],11,0))</f>
        <v>Decryption</v>
      </c>
      <c r="AB8" s="33">
        <f t="shared" ref="AB8:AB30" si="2">IF($AA8="",0,SUMIFS($H$7:$H$30,$D$7:$D$30,$Y8&amp;"/"&amp;$AA8))</f>
        <v>320</v>
      </c>
    </row>
    <row r="9" spans="1:28" x14ac:dyDescent="0.25">
      <c r="A9" s="14">
        <v>4</v>
      </c>
      <c r="B9" s="81"/>
      <c r="C9" s="70"/>
      <c r="D9" s="99" t="str">
        <f>IFERROR(VLOOKUP($A$1&amp;"/"&amp;$B$7&amp;"/"&amp;$A8,TaskTimings[[EmployeeDateSeqCode]:[Task]],2,0),"")</f>
        <v>RTM/Solving the issue of repeating icon in tray</v>
      </c>
      <c r="E9" s="99"/>
      <c r="F9" s="99"/>
      <c r="G9" s="99"/>
      <c r="H9" s="22">
        <f>IFERROR(VLOOKUP($A$1&amp;"/"&amp;$B$7&amp;"/"&amp;$A8,TaskTimings[[EmployeeDateSeqCode]:[Total Minutes]],7,0),0)</f>
        <v>89.999999999999915</v>
      </c>
      <c r="I9" s="106"/>
      <c r="J9" s="25"/>
      <c r="K9" s="30">
        <v>3</v>
      </c>
      <c r="L9" s="108" t="str">
        <f>IFERROR(VLOOKUP($K9,$X$7:$Y$30,2,0),"")</f>
        <v/>
      </c>
      <c r="M9" s="108"/>
      <c r="N9" s="26">
        <f t="shared" si="0"/>
        <v>0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33" t="str">
        <f>IF($U9=0,"",VLOOKUP($D9,TaskTimings[[Task]:[PRJLST]],10,0))</f>
        <v>RTM</v>
      </c>
      <c r="W9" s="14">
        <f>IF($V9="","",COUNTIF($V$7:$V9,$V9))</f>
        <v>1</v>
      </c>
      <c r="X9" s="14">
        <f>IF($W9=1,SUM($X$6:$X8)+1,"")</f>
        <v>4</v>
      </c>
      <c r="Y9" s="37" t="str">
        <f t="shared" si="1"/>
        <v>RTM</v>
      </c>
      <c r="Z9" s="33" t="str">
        <f>IF($Y9="","",$Y9&amp;"/"&amp;COUNTIF($Y$7:$Y9,$Y9))</f>
        <v>RTM/1</v>
      </c>
      <c r="AA9" s="33" t="str">
        <f>IF($Z9="","",VLOOKUP($D9,TaskTimings[[Task]:[TSKLST]],11,0))</f>
        <v>Solving the issue of repeating icon in tray</v>
      </c>
      <c r="AB9" s="33">
        <f t="shared" si="2"/>
        <v>354.99999999999989</v>
      </c>
    </row>
    <row r="10" spans="1:28" x14ac:dyDescent="0.25">
      <c r="A10" s="14">
        <v>1</v>
      </c>
      <c r="B10" s="81"/>
      <c r="C10" s="70"/>
      <c r="D10" s="99" t="str">
        <f>IFERROR(VLOOKUP($A$1&amp;"/"&amp;$B$7&amp;"/"&amp;$A9,TaskTimings[[EmployeeDateSeqCode]:[Task]],2,0),"")</f>
        <v>RTM/Solving the issue of repeating icon in tray</v>
      </c>
      <c r="E10" s="99"/>
      <c r="F10" s="99"/>
      <c r="G10" s="99"/>
      <c r="H10" s="22">
        <f>IFERROR(VLOOKUP($A$1&amp;"/"&amp;$B$7&amp;"/"&amp;$A9,TaskTimings[[EmployeeDateSeqCode]:[Total Minutes]],7,0),0)</f>
        <v>120.00000000000006</v>
      </c>
      <c r="I10" s="106"/>
      <c r="J10" s="25"/>
      <c r="K10" s="30">
        <v>4</v>
      </c>
      <c r="L10" s="108" t="str">
        <f>IFERROR(VLOOKUP($K10,$X$7:$Y$30,2,0),"")</f>
        <v>RTM</v>
      </c>
      <c r="M10" s="108"/>
      <c r="N10" s="26">
        <f t="shared" si="0"/>
        <v>384.99999999999994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33" t="str">
        <f>IF($U10=0,"",VLOOKUP($D10,TaskTimings[[Task]:[PRJLST]],10,0))</f>
        <v/>
      </c>
      <c r="W10" s="14" t="str">
        <f>IF($V10="","",COUNTIF($V$7:$V10,$V10))</f>
        <v/>
      </c>
      <c r="X10" s="14" t="str">
        <f>IF($W10=1,SUM($X$6:$X9)+1,"")</f>
        <v/>
      </c>
      <c r="Y10" s="37" t="str">
        <f t="shared" si="1"/>
        <v/>
      </c>
      <c r="Z10" s="33" t="str">
        <f>IF($Y10="","",$Y10&amp;"/"&amp;COUNTIF($Y$7:$Y10,$Y10))</f>
        <v/>
      </c>
      <c r="AA10" s="33" t="str">
        <f>IF($Z10="","",VLOOKUP($D10,TaskTimings[[Task]:[TSKLST]],11,0))</f>
        <v/>
      </c>
      <c r="AB10" s="33">
        <f t="shared" si="2"/>
        <v>0</v>
      </c>
    </row>
    <row r="11" spans="1:28" ht="15.75" thickBot="1" x14ac:dyDescent="0.3">
      <c r="A11" s="14">
        <v>2</v>
      </c>
      <c r="B11" s="100">
        <f>B7+1</f>
        <v>43431</v>
      </c>
      <c r="C11" s="70"/>
      <c r="D11" s="99" t="str">
        <f>IFERROR(VLOOKUP($A$1&amp;"/"&amp;$B$11&amp;"/"&amp;$A10,TaskTimings[[EmployeeDateSeqCode]:[Task]],2,0),"")</f>
        <v>RTM/Solving the issue of repeating icon in tray</v>
      </c>
      <c r="E11" s="99"/>
      <c r="F11" s="99"/>
      <c r="G11" s="99"/>
      <c r="H11" s="22">
        <f>IFERROR(VLOOKUP($A$1&amp;"/"&amp;$B$11&amp;"/"&amp;$A10,TaskTimings[[EmployeeDateSeqCode]:[Total Minutes]],7,0),0)</f>
        <v>45</v>
      </c>
      <c r="I11" s="106">
        <f t="shared" ref="I11" si="3">SUM(H11:H14)</f>
        <v>144.99999999999989</v>
      </c>
      <c r="J11" s="25"/>
      <c r="K11" s="31">
        <v>5</v>
      </c>
      <c r="L11" s="111" t="str">
        <f>IFERROR(VLOOKUP($K11,$X$7:$Y$30,2,0),"")</f>
        <v/>
      </c>
      <c r="M11" s="111"/>
      <c r="N11" s="27">
        <f t="shared" si="0"/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33" t="str">
        <f>IF($U11=0,"",VLOOKUP($D11,TaskTimings[[Task]:[PRJLST]],10,0))</f>
        <v/>
      </c>
      <c r="W11" s="14" t="str">
        <f>IF($V11="","",COUNTIF($V$7:$V11,$V11))</f>
        <v/>
      </c>
      <c r="X11" s="14" t="str">
        <f>IF($W11=1,SUM($X$6:$X10)+1,"")</f>
        <v/>
      </c>
      <c r="Y11" s="37" t="str">
        <f t="shared" si="1"/>
        <v/>
      </c>
      <c r="Z11" s="33" t="str">
        <f>IF($Y11="","",$Y11&amp;"/"&amp;COUNTIF($Y$7:$Y11,$Y11))</f>
        <v/>
      </c>
      <c r="AA11" s="33" t="str">
        <f>IF($Z11="","",VLOOKUP($D11,TaskTimings[[Task]:[TSKLST]],11,0))</f>
        <v/>
      </c>
      <c r="AB11" s="33">
        <f t="shared" si="2"/>
        <v>0</v>
      </c>
    </row>
    <row r="12" spans="1:28" x14ac:dyDescent="0.25">
      <c r="A12" s="14">
        <v>3</v>
      </c>
      <c r="B12" s="81"/>
      <c r="C12" s="70"/>
      <c r="D12" s="99" t="str">
        <f>IFERROR(VLOOKUP($A$1&amp;"/"&amp;$B$11&amp;"/"&amp;$A11,TaskTimings[[EmployeeDateSeqCode]:[Task]],2,0),"")</f>
        <v>RTM/Solving the issue of repeating icon in tray</v>
      </c>
      <c r="E12" s="99"/>
      <c r="F12" s="99"/>
      <c r="G12" s="99"/>
      <c r="H12" s="22">
        <f>IFERROR(VLOOKUP($A$1&amp;"/"&amp;$B$11&amp;"/"&amp;$A11,TaskTimings[[EmployeeDateSeqCode]:[Total Minutes]],7,0),0)</f>
        <v>99.999999999999886</v>
      </c>
      <c r="I12" s="106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33" t="str">
        <f>IF($U12=0,"",VLOOKUP($D12,TaskTimings[[Task]:[PRJLST]],10,0))</f>
        <v/>
      </c>
      <c r="W12" s="14" t="str">
        <f>IF($V12="","",COUNTIF($V$7:$V12,$V12))</f>
        <v/>
      </c>
      <c r="X12" s="14" t="str">
        <f>IF($W12=1,SUM($X$6:$X11)+1,"")</f>
        <v/>
      </c>
      <c r="Y12" s="37" t="str">
        <f t="shared" si="1"/>
        <v/>
      </c>
      <c r="Z12" s="33" t="str">
        <f>IF($Y12="","",$Y12&amp;"/"&amp;COUNTIF($Y$7:$Y12,$Y12))</f>
        <v/>
      </c>
      <c r="AA12" s="33" t="str">
        <f>IF($Z12="","",VLOOKUP($D12,TaskTimings[[Task]:[TSKLST]],11,0))</f>
        <v/>
      </c>
      <c r="AB12" s="33">
        <f t="shared" si="2"/>
        <v>0</v>
      </c>
    </row>
    <row r="13" spans="1:28" x14ac:dyDescent="0.25">
      <c r="A13" s="14">
        <v>4</v>
      </c>
      <c r="B13" s="81"/>
      <c r="C13" s="70"/>
      <c r="D13" s="99" t="str">
        <f>IFERROR(VLOOKUP($A$1&amp;"/"&amp;$B$11&amp;"/"&amp;$A12,TaskTimings[[EmployeeDateSeqCode]:[Task]],2,0),"")</f>
        <v/>
      </c>
      <c r="E13" s="99"/>
      <c r="F13" s="99"/>
      <c r="G13" s="99"/>
      <c r="H13" s="22">
        <f>IFERROR(VLOOKUP($A$1&amp;"/"&amp;$B$11&amp;"/"&amp;$A12,TaskTimings[[EmployeeDateSeqCode]:[Total Minutes]],7,0),0)</f>
        <v>0</v>
      </c>
      <c r="I13" s="106"/>
      <c r="J13" s="25"/>
      <c r="K13" s="92" t="s">
        <v>46</v>
      </c>
      <c r="L13" s="92"/>
      <c r="M13" s="92"/>
      <c r="N13" s="92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33" t="str">
        <f>IF($U13=0,"",VLOOKUP($D13,TaskTimings[[Task]:[PRJLST]],10,0))</f>
        <v/>
      </c>
      <c r="W13" s="14" t="str">
        <f>IF($V13="","",COUNTIF($V$7:$V13,$V13))</f>
        <v/>
      </c>
      <c r="X13" s="14" t="str">
        <f>IF($W13=1,SUM($X$6:$X12)+1,"")</f>
        <v/>
      </c>
      <c r="Y13" s="37" t="str">
        <f t="shared" si="1"/>
        <v/>
      </c>
      <c r="Z13" s="33" t="str">
        <f>IF($Y13="","",$Y13&amp;"/"&amp;COUNTIF($Y$7:$Y13,$Y13))</f>
        <v/>
      </c>
      <c r="AA13" s="33" t="str">
        <f>IF($Z13="","",VLOOKUP($D13,TaskTimings[[Task]:[TSKLST]],11,0))</f>
        <v/>
      </c>
      <c r="AB13" s="33">
        <f t="shared" si="2"/>
        <v>0</v>
      </c>
    </row>
    <row r="14" spans="1:28" ht="15.75" thickBot="1" x14ac:dyDescent="0.3">
      <c r="A14" s="14">
        <v>1</v>
      </c>
      <c r="B14" s="81"/>
      <c r="C14" s="70"/>
      <c r="D14" s="99" t="str">
        <f>IFERROR(VLOOKUP($A$1&amp;"/"&amp;$B$11&amp;"/"&amp;$A13,TaskTimings[[EmployeeDateSeqCode]:[Task]],2,0),"")</f>
        <v/>
      </c>
      <c r="E14" s="99"/>
      <c r="F14" s="99"/>
      <c r="G14" s="99"/>
      <c r="H14" s="22">
        <f>IFERROR(VLOOKUP($A$1&amp;"/"&amp;$B$11&amp;"/"&amp;$A13,TaskTimings[[EmployeeDateSeqCode]:[Total Minutes]],7,0),0)</f>
        <v>0</v>
      </c>
      <c r="I14" s="106"/>
      <c r="J14" s="25"/>
      <c r="K14" s="93"/>
      <c r="L14" s="93"/>
      <c r="M14" s="93"/>
      <c r="N14" s="93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33" t="str">
        <f>IF($U14=0,"",VLOOKUP($D14,TaskTimings[[Task]:[PRJLST]],10,0))</f>
        <v/>
      </c>
      <c r="W14" s="14" t="str">
        <f>IF($V14="","",COUNTIF($V$7:$V14,$V14))</f>
        <v/>
      </c>
      <c r="X14" s="14" t="str">
        <f>IF($W14=1,SUM($X$6:$X13)+1,"")</f>
        <v/>
      </c>
      <c r="Y14" s="37" t="str">
        <f t="shared" si="1"/>
        <v/>
      </c>
      <c r="Z14" s="33" t="str">
        <f>IF($Y14="","",$Y14&amp;"/"&amp;COUNTIF($Y$7:$Y14,$Y14))</f>
        <v/>
      </c>
      <c r="AA14" s="33" t="str">
        <f>IF($Z14="","",VLOOKUP($D14,TaskTimings[[Task]:[TSKLST]],11,0))</f>
        <v/>
      </c>
      <c r="AB14" s="33">
        <f t="shared" si="2"/>
        <v>0</v>
      </c>
    </row>
    <row r="15" spans="1:28" x14ac:dyDescent="0.25">
      <c r="A15" s="14">
        <v>2</v>
      </c>
      <c r="B15" s="100">
        <f>B11+1</f>
        <v>43432</v>
      </c>
      <c r="C15" s="70"/>
      <c r="D15" s="99" t="str">
        <f>IFERROR(VLOOKUP($A$1&amp;"/"&amp;$B$15&amp;"/"&amp;$A14,TaskTimings[[EmployeeDateSeqCode]:[Task]],2,0),"")</f>
        <v>SDS/Decryption</v>
      </c>
      <c r="E15" s="99"/>
      <c r="F15" s="99"/>
      <c r="G15" s="99"/>
      <c r="H15" s="22">
        <f>IFERROR(VLOOKUP($A$1&amp;"/"&amp;$B$15&amp;"/"&amp;$A14,TaskTimings[[EmployeeDateSeqCode]:[Total Minutes]],7,0),0)</f>
        <v>69.999999999999915</v>
      </c>
      <c r="I15" s="106">
        <f t="shared" ref="I15" si="4">SUM(H15:H18)</f>
        <v>320</v>
      </c>
      <c r="J15" s="25"/>
      <c r="K15" s="109" t="s">
        <v>4</v>
      </c>
      <c r="L15" s="110"/>
      <c r="M15" s="110" t="s">
        <v>29</v>
      </c>
      <c r="N15" s="110"/>
      <c r="O15" s="110"/>
      <c r="P15" s="110"/>
      <c r="Q15" s="23" t="s">
        <v>42</v>
      </c>
      <c r="R15" s="29" t="s">
        <v>24</v>
      </c>
      <c r="S15" s="25"/>
      <c r="T15" s="25"/>
      <c r="U15" s="14">
        <f>IF(COUNTIFS($D$6:$D15,D15)=1,1,0)</f>
        <v>0</v>
      </c>
      <c r="V15" s="33" t="str">
        <f>IF($U15=0,"",VLOOKUP($D15,TaskTimings[[Task]:[PRJLST]],10,0))</f>
        <v/>
      </c>
      <c r="W15" s="14" t="str">
        <f>IF($V15="","",COUNTIF($V$7:$V15,$V15))</f>
        <v/>
      </c>
      <c r="X15" s="14" t="str">
        <f>IF($W15=1,SUM($X$6:$X14)+1,"")</f>
        <v/>
      </c>
      <c r="Y15" s="37" t="str">
        <f t="shared" si="1"/>
        <v/>
      </c>
      <c r="Z15" s="33" t="str">
        <f>IF($Y15="","",$Y15&amp;"/"&amp;COUNTIF($Y$7:$Y15,$Y15))</f>
        <v/>
      </c>
      <c r="AA15" s="33" t="str">
        <f>IF($Z15="","",VLOOKUP($D15,TaskTimings[[Task]:[TSKLST]],11,0))</f>
        <v/>
      </c>
      <c r="AB15" s="33">
        <f t="shared" si="2"/>
        <v>0</v>
      </c>
    </row>
    <row r="16" spans="1:28" x14ac:dyDescent="0.25">
      <c r="A16" s="14">
        <v>3</v>
      </c>
      <c r="B16" s="81"/>
      <c r="C16" s="70"/>
      <c r="D16" s="99" t="str">
        <f>IFERROR(VLOOKUP($A$1&amp;"/"&amp;$B$15&amp;"/"&amp;$A15,TaskTimings[[EmployeeDateSeqCode]:[Task]],2,0),"")</f>
        <v>RTM/Getting branchname into tool</v>
      </c>
      <c r="E16" s="99"/>
      <c r="F16" s="99"/>
      <c r="G16" s="99"/>
      <c r="H16" s="22">
        <f>IFERROR(VLOOKUP($A$1&amp;"/"&amp;$B$15&amp;"/"&amp;$A15,TaskTimings[[EmployeeDateSeqCode]:[Total Minutes]],7,0),0)</f>
        <v>30.000000000000053</v>
      </c>
      <c r="I16" s="106"/>
      <c r="J16" s="28">
        <v>1</v>
      </c>
      <c r="K16" s="114" t="str">
        <f>VLOOKUP(1,$K$7:$M$11,2,0)</f>
        <v>TKT</v>
      </c>
      <c r="L16" s="82"/>
      <c r="M16" s="108" t="str">
        <f>IF($K$16="","",IFERROR(VLOOKUP($K$16&amp;"/"&amp;$J16,$Z$7:$AA$30,2,0),""))</f>
        <v>Discussion for ticketing modification</v>
      </c>
      <c r="N16" s="108"/>
      <c r="O16" s="108"/>
      <c r="P16" s="108"/>
      <c r="Q16" s="22">
        <f>IF($M16="","",SUMIFS($H$7:$H$30,$D$7:$D$30,$K$16&amp;"/"&amp;$M16))</f>
        <v>90</v>
      </c>
      <c r="R16" s="106">
        <f>SUM(Q16:Q19)</f>
        <v>90</v>
      </c>
      <c r="S16" s="35"/>
      <c r="T16" s="36"/>
      <c r="U16" s="14">
        <f>IF(COUNTIFS($D$6:$D16,D16)=1,1,0)</f>
        <v>1</v>
      </c>
      <c r="V16" s="33" t="str">
        <f>IF($U16=0,"",VLOOKUP($D16,TaskTimings[[Task]:[PRJLST]],10,0))</f>
        <v>RTM</v>
      </c>
      <c r="W16" s="14">
        <f>IF($V16="","",COUNTIF($V$7:$V16,$V16))</f>
        <v>2</v>
      </c>
      <c r="X16" s="14" t="str">
        <f>IF($W16=1,SUM($X$6:$X15)+1,"")</f>
        <v/>
      </c>
      <c r="Y16" s="37" t="str">
        <f t="shared" si="1"/>
        <v>RTM</v>
      </c>
      <c r="Z16" s="33" t="str">
        <f>IF($Y16="","",$Y16&amp;"/"&amp;COUNTIF($Y$7:$Y16,$Y16))</f>
        <v>RTM/2</v>
      </c>
      <c r="AA16" s="33" t="str">
        <f>IF($Z16="","",VLOOKUP($D16,TaskTimings[[Task]:[TSKLST]],11,0))</f>
        <v>Getting branchname into tool</v>
      </c>
      <c r="AB16" s="33">
        <f t="shared" si="2"/>
        <v>30.000000000000053</v>
      </c>
    </row>
    <row r="17" spans="1:28" x14ac:dyDescent="0.25">
      <c r="A17" s="14">
        <v>4</v>
      </c>
      <c r="B17" s="81"/>
      <c r="C17" s="70"/>
      <c r="D17" s="99" t="str">
        <f>IFERROR(VLOOKUP($A$1&amp;"/"&amp;$B$15&amp;"/"&amp;$A16,TaskTimings[[EmployeeDateSeqCode]:[Task]],2,0),"")</f>
        <v>SDS/Decryption</v>
      </c>
      <c r="E17" s="99"/>
      <c r="F17" s="99"/>
      <c r="G17" s="99"/>
      <c r="H17" s="22">
        <f>IFERROR(VLOOKUP($A$1&amp;"/"&amp;$B$15&amp;"/"&amp;$A16,TaskTimings[[EmployeeDateSeqCode]:[Total Minutes]],7,0),0)</f>
        <v>220.00000000000003</v>
      </c>
      <c r="I17" s="106"/>
      <c r="J17" s="28">
        <v>2</v>
      </c>
      <c r="K17" s="114"/>
      <c r="L17" s="82"/>
      <c r="M17" s="108" t="str">
        <f>IF($K$16="","",IFERROR(VLOOKUP($K$16&amp;"/"&amp;$J17,$Z$7:$AA$30,2,0),""))</f>
        <v/>
      </c>
      <c r="N17" s="108"/>
      <c r="O17" s="108"/>
      <c r="P17" s="108"/>
      <c r="Q17" s="22" t="str">
        <f>IF($M17="","",SUMIFS($H$7:$H$30,$D$7:$D$30,$K$16&amp;"/"&amp;$M17))</f>
        <v/>
      </c>
      <c r="R17" s="106"/>
      <c r="S17" s="35"/>
      <c r="T17" s="36"/>
      <c r="U17" s="14">
        <f>IF(COUNTIFS($D$6:$D17,D17)=1,1,0)</f>
        <v>0</v>
      </c>
      <c r="V17" s="33" t="str">
        <f>IF($U17=0,"",VLOOKUP($D17,TaskTimings[[Task]:[PRJLST]],10,0))</f>
        <v/>
      </c>
      <c r="W17" s="14" t="str">
        <f>IF($V17="","",COUNTIF($V$7:$V17,$V17))</f>
        <v/>
      </c>
      <c r="X17" s="14" t="str">
        <f>IF($W17=1,SUM($X$6:$X16)+1,"")</f>
        <v/>
      </c>
      <c r="Y17" s="37" t="str">
        <f t="shared" si="1"/>
        <v/>
      </c>
      <c r="Z17" s="33" t="str">
        <f>IF($Y17="","",$Y17&amp;"/"&amp;COUNTIF($Y$7:$Y17,$Y17))</f>
        <v/>
      </c>
      <c r="AA17" s="33" t="str">
        <f>IF($Z17="","",VLOOKUP($D17,TaskTimings[[Task]:[TSKLST]],11,0))</f>
        <v/>
      </c>
      <c r="AB17" s="33">
        <f t="shared" si="2"/>
        <v>0</v>
      </c>
    </row>
    <row r="18" spans="1:28" x14ac:dyDescent="0.25">
      <c r="A18" s="14">
        <v>1</v>
      </c>
      <c r="B18" s="81"/>
      <c r="C18" s="70"/>
      <c r="D18" s="99" t="str">
        <f>IFERROR(VLOOKUP($A$1&amp;"/"&amp;$B$15&amp;"/"&amp;$A17,TaskTimings[[EmployeeDateSeqCode]:[Task]],2,0),"")</f>
        <v/>
      </c>
      <c r="E18" s="99"/>
      <c r="F18" s="99"/>
      <c r="G18" s="99"/>
      <c r="H18" s="22">
        <f>IFERROR(VLOOKUP($A$1&amp;"/"&amp;$B$15&amp;"/"&amp;$A17,TaskTimings[[EmployeeDateSeqCode]:[Total Minutes]],7,0),0)</f>
        <v>0</v>
      </c>
      <c r="I18" s="106"/>
      <c r="J18" s="28">
        <v>3</v>
      </c>
      <c r="K18" s="114"/>
      <c r="L18" s="82"/>
      <c r="M18" s="108" t="str">
        <f>IF($K$16="","",IFERROR(VLOOKUP($K$16&amp;"/"&amp;$J18,$Z$7:$AA$30,2,0),""))</f>
        <v/>
      </c>
      <c r="N18" s="108"/>
      <c r="O18" s="108"/>
      <c r="P18" s="108"/>
      <c r="Q18" s="22" t="str">
        <f>IF($M18="","",SUMIFS($H$7:$H$30,$D$7:$D$30,$K$16&amp;"/"&amp;$M18))</f>
        <v/>
      </c>
      <c r="R18" s="106"/>
      <c r="S18" s="35"/>
      <c r="T18" s="36"/>
      <c r="U18" s="14">
        <f>IF(COUNTIFS($D$6:$D18,D18)=1,1,0)</f>
        <v>0</v>
      </c>
      <c r="V18" s="33" t="str">
        <f>IF($U18=0,"",VLOOKUP($D18,TaskTimings[[Task]:[PRJLST]],10,0))</f>
        <v/>
      </c>
      <c r="W18" s="14" t="str">
        <f>IF($V18="","",COUNTIF($V$7:$V18,$V18))</f>
        <v/>
      </c>
      <c r="X18" s="14" t="str">
        <f>IF($W18=1,SUM($X$6:$X17)+1,"")</f>
        <v/>
      </c>
      <c r="Y18" s="37" t="str">
        <f t="shared" si="1"/>
        <v/>
      </c>
      <c r="Z18" s="33" t="str">
        <f>IF($Y18="","",$Y18&amp;"/"&amp;COUNTIF($Y$7:$Y18,$Y18))</f>
        <v/>
      </c>
      <c r="AA18" s="33" t="str">
        <f>IF($Z18="","",VLOOKUP($D18,TaskTimings[[Task]:[TSKLST]],11,0))</f>
        <v/>
      </c>
      <c r="AB18" s="33">
        <f t="shared" si="2"/>
        <v>0</v>
      </c>
    </row>
    <row r="19" spans="1:28" x14ac:dyDescent="0.25">
      <c r="A19" s="14">
        <v>2</v>
      </c>
      <c r="B19" s="100">
        <f>B15+1</f>
        <v>43433</v>
      </c>
      <c r="C19" s="70"/>
      <c r="D19" s="99" t="str">
        <f>IFERROR(VLOOKUP($A$1&amp;"/"&amp;$B$19&amp;"/"&amp;$A18,TaskTimings[[EmployeeDateSeqCode]:[Task]],2,0),"")</f>
        <v/>
      </c>
      <c r="E19" s="99"/>
      <c r="F19" s="99"/>
      <c r="G19" s="99"/>
      <c r="H19" s="22">
        <f>IFERROR(VLOOKUP($A$1&amp;"/"&amp;$B$19&amp;"/"&amp;$A18,TaskTimings[[EmployeeDateSeqCode]:[Total Minutes]],7,0),0)</f>
        <v>0</v>
      </c>
      <c r="I19" s="106">
        <f t="shared" ref="I19" si="5">SUM(H19:H22)</f>
        <v>0</v>
      </c>
      <c r="J19" s="28">
        <v>4</v>
      </c>
      <c r="K19" s="114"/>
      <c r="L19" s="82"/>
      <c r="M19" s="108" t="str">
        <f>IF($K$16="","",IFERROR(VLOOKUP($K$16&amp;"/"&amp;$J19,$Z$7:$AA$30,2,0),""))</f>
        <v/>
      </c>
      <c r="N19" s="108"/>
      <c r="O19" s="108"/>
      <c r="P19" s="108"/>
      <c r="Q19" s="22" t="str">
        <f>IF($M19="","",SUMIFS($H$7:$H$30,$D$7:$D$30,$K$16&amp;"/"&amp;$M19))</f>
        <v/>
      </c>
      <c r="R19" s="106"/>
      <c r="S19" s="35"/>
      <c r="T19" s="36"/>
      <c r="U19" s="14">
        <f>IF(COUNTIFS($D$6:$D19,D19)=1,1,0)</f>
        <v>0</v>
      </c>
      <c r="V19" s="33" t="str">
        <f>IF($U19=0,"",VLOOKUP($D19,TaskTimings[[Task]:[PRJLST]],10,0))</f>
        <v/>
      </c>
      <c r="W19" s="14" t="str">
        <f>IF($V19="","",COUNTIF($V$7:$V19,$V19))</f>
        <v/>
      </c>
      <c r="X19" s="14" t="str">
        <f>IF($W19=1,SUM($X$6:$X18)+1,"")</f>
        <v/>
      </c>
      <c r="Y19" s="37" t="str">
        <f t="shared" si="1"/>
        <v/>
      </c>
      <c r="Z19" s="33" t="str">
        <f>IF($Y19="","",$Y19&amp;"/"&amp;COUNTIF($Y$7:$Y19,$Y19))</f>
        <v/>
      </c>
      <c r="AA19" s="33" t="str">
        <f>IF($Z19="","",VLOOKUP($D19,TaskTimings[[Task]:[TSKLST]],11,0))</f>
        <v/>
      </c>
      <c r="AB19" s="33">
        <f t="shared" si="2"/>
        <v>0</v>
      </c>
    </row>
    <row r="20" spans="1:28" x14ac:dyDescent="0.25">
      <c r="A20" s="14">
        <v>3</v>
      </c>
      <c r="B20" s="81"/>
      <c r="C20" s="70"/>
      <c r="D20" s="99" t="str">
        <f>IFERROR(VLOOKUP($A$1&amp;"/"&amp;$B$19&amp;"/"&amp;$A19,TaskTimings[[EmployeeDateSeqCode]:[Task]],2,0),"")</f>
        <v/>
      </c>
      <c r="E20" s="99"/>
      <c r="F20" s="99"/>
      <c r="G20" s="99"/>
      <c r="H20" s="22">
        <f>IFERROR(VLOOKUP($A$1&amp;"/"&amp;$B$19&amp;"/"&amp;$A19,TaskTimings[[EmployeeDateSeqCode]:[Total Minutes]],7,0),0)</f>
        <v>0</v>
      </c>
      <c r="I20" s="106"/>
      <c r="J20" s="28">
        <v>1</v>
      </c>
      <c r="K20" s="114" t="str">
        <f>VLOOKUP(2,$K$7:$M$11,2,0)</f>
        <v>SDS</v>
      </c>
      <c r="L20" s="82"/>
      <c r="M20" s="108" t="str">
        <f>IF($K$20="","",IFERROR(VLOOKUP($K$20&amp;"/"&amp;$J20,$Z$7:$AA$30,2,0),""))</f>
        <v>Decryption</v>
      </c>
      <c r="N20" s="108"/>
      <c r="O20" s="108"/>
      <c r="P20" s="108"/>
      <c r="Q20" s="22">
        <f>IF($M20="","",SUMIFS($H$7:$H$30,$D$7:$D$30,$K$20&amp;"/"&amp;$M20))</f>
        <v>320</v>
      </c>
      <c r="R20" s="106">
        <f t="shared" ref="R20" si="6">SUM(Q20:Q23)</f>
        <v>-277.00000000000011</v>
      </c>
      <c r="S20" s="25"/>
      <c r="T20" s="25"/>
      <c r="U20" s="14">
        <f>IF(COUNTIFS($D$6:$D20,D20)=1,1,0)</f>
        <v>0</v>
      </c>
      <c r="V20" s="33" t="str">
        <f>IF($U20=0,"",VLOOKUP($D20,TaskTimings[[Task]:[PRJLST]],10,0))</f>
        <v/>
      </c>
      <c r="W20" s="14" t="str">
        <f>IF($V20="","",COUNTIF($V$7:$V20,$V20))</f>
        <v/>
      </c>
      <c r="X20" s="14" t="str">
        <f>IF($W20=1,SUM($X$6:$X19)+1,"")</f>
        <v/>
      </c>
      <c r="Y20" s="37" t="str">
        <f t="shared" si="1"/>
        <v/>
      </c>
      <c r="Z20" s="33" t="str">
        <f>IF($Y20="","",$Y20&amp;"/"&amp;COUNTIF($Y$7:$Y20,$Y20))</f>
        <v/>
      </c>
      <c r="AA20" s="33" t="str">
        <f>IF($Z20="","",VLOOKUP($D20,TaskTimings[[Task]:[TSKLST]],11,0))</f>
        <v/>
      </c>
      <c r="AB20" s="33">
        <f t="shared" si="2"/>
        <v>0</v>
      </c>
    </row>
    <row r="21" spans="1:28" x14ac:dyDescent="0.25">
      <c r="A21" s="14">
        <v>4</v>
      </c>
      <c r="B21" s="81"/>
      <c r="C21" s="70"/>
      <c r="D21" s="99" t="str">
        <f>IFERROR(VLOOKUP($A$1&amp;"/"&amp;$B$19&amp;"/"&amp;$A20,TaskTimings[[EmployeeDateSeqCode]:[Task]],2,0),"")</f>
        <v/>
      </c>
      <c r="E21" s="99"/>
      <c r="F21" s="99"/>
      <c r="G21" s="99"/>
      <c r="H21" s="22">
        <f>IFERROR(VLOOKUP($A$1&amp;"/"&amp;$B$19&amp;"/"&amp;$A20,TaskTimings[[EmployeeDateSeqCode]:[Total Minutes]],7,0),0)</f>
        <v>0</v>
      </c>
      <c r="I21" s="106"/>
      <c r="J21" s="28">
        <v>2</v>
      </c>
      <c r="K21" s="114"/>
      <c r="L21" s="82"/>
      <c r="M21" s="108" t="str">
        <f>IF($K$20="","",IFERROR(VLOOKUP($K$20&amp;"/"&amp;$J21,$Z$7:$AA$30,2,0),""))</f>
        <v>Request and get Response from  web</v>
      </c>
      <c r="N21" s="108"/>
      <c r="O21" s="108"/>
      <c r="P21" s="108"/>
      <c r="Q21" s="22">
        <f>IF($M21="","",SUMIFS($H$7:$H$30,$D$7:$D$30,$K$20&amp;"/"&amp;$M21))</f>
        <v>-597.00000000000011</v>
      </c>
      <c r="R21" s="106"/>
      <c r="S21" s="25"/>
      <c r="T21" s="25"/>
      <c r="U21" s="14">
        <f>IF(COUNTIFS($D$6:$D21,D21)=1,1,0)</f>
        <v>0</v>
      </c>
      <c r="V21" s="33" t="str">
        <f>IF($U21=0,"",VLOOKUP($D21,TaskTimings[[Task]:[PRJLST]],10,0))</f>
        <v/>
      </c>
      <c r="W21" s="14" t="str">
        <f>IF($V21="","",COUNTIF($V$7:$V21,$V21))</f>
        <v/>
      </c>
      <c r="X21" s="14" t="str">
        <f>IF($W21=1,SUM($X$6:$X20)+1,"")</f>
        <v/>
      </c>
      <c r="Y21" s="37" t="str">
        <f t="shared" si="1"/>
        <v/>
      </c>
      <c r="Z21" s="33" t="str">
        <f>IF($Y21="","",$Y21&amp;"/"&amp;COUNTIF($Y$7:$Y21,$Y21))</f>
        <v/>
      </c>
      <c r="AA21" s="33" t="str">
        <f>IF($Z21="","",VLOOKUP($D21,TaskTimings[[Task]:[TSKLST]],11,0))</f>
        <v/>
      </c>
      <c r="AB21" s="33">
        <f t="shared" si="2"/>
        <v>0</v>
      </c>
    </row>
    <row r="22" spans="1:28" x14ac:dyDescent="0.25">
      <c r="A22" s="14">
        <v>1</v>
      </c>
      <c r="B22" s="81"/>
      <c r="C22" s="70"/>
      <c r="D22" s="99" t="str">
        <f>IFERROR(VLOOKUP($A$1&amp;"/"&amp;$B$19&amp;"/"&amp;$A21,TaskTimings[[EmployeeDateSeqCode]:[Task]],2,0),"")</f>
        <v/>
      </c>
      <c r="E22" s="99"/>
      <c r="F22" s="99"/>
      <c r="G22" s="99"/>
      <c r="H22" s="22">
        <f>IFERROR(VLOOKUP($A$1&amp;"/"&amp;$B$19&amp;"/"&amp;$A21,TaskTimings[[EmployeeDateSeqCode]:[Total Minutes]],7,0),0)</f>
        <v>0</v>
      </c>
      <c r="I22" s="106"/>
      <c r="J22" s="28">
        <v>3</v>
      </c>
      <c r="K22" s="114"/>
      <c r="L22" s="82"/>
      <c r="M22" s="108" t="str">
        <f>IF($K$20="","",IFERROR(VLOOKUP($K$20&amp;"/"&amp;$J22,$Z$7:$AA$30,2,0),""))</f>
        <v/>
      </c>
      <c r="N22" s="108"/>
      <c r="O22" s="108"/>
      <c r="P22" s="108"/>
      <c r="Q22" s="22" t="str">
        <f>IF($M22="","",SUMIFS($H$7:$H$30,$D$7:$D$30,$K$20&amp;"/"&amp;$M22))</f>
        <v/>
      </c>
      <c r="R22" s="106"/>
      <c r="S22" s="25"/>
      <c r="T22" s="25"/>
      <c r="U22" s="14">
        <f>IF(COUNTIFS($D$6:$D22,D22)=1,1,0)</f>
        <v>0</v>
      </c>
      <c r="V22" s="33" t="str">
        <f>IF($U22=0,"",VLOOKUP($D22,TaskTimings[[Task]:[PRJLST]],10,0))</f>
        <v/>
      </c>
      <c r="W22" s="14" t="str">
        <f>IF($V22="","",COUNTIF($V$7:$V22,$V22))</f>
        <v/>
      </c>
      <c r="X22" s="14" t="str">
        <f>IF($W22=1,SUM($X$6:$X21)+1,"")</f>
        <v/>
      </c>
      <c r="Y22" s="37" t="str">
        <f t="shared" si="1"/>
        <v/>
      </c>
      <c r="Z22" s="33" t="str">
        <f>IF($Y22="","",$Y22&amp;"/"&amp;COUNTIF($Y$7:$Y22,$Y22))</f>
        <v/>
      </c>
      <c r="AA22" s="33" t="str">
        <f>IF($Z22="","",VLOOKUP($D22,TaskTimings[[Task]:[TSKLST]],11,0))</f>
        <v/>
      </c>
      <c r="AB22" s="33">
        <f t="shared" si="2"/>
        <v>0</v>
      </c>
    </row>
    <row r="23" spans="1:28" x14ac:dyDescent="0.25">
      <c r="A23" s="14">
        <v>2</v>
      </c>
      <c r="B23" s="100">
        <f>B19+1</f>
        <v>43434</v>
      </c>
      <c r="C23" s="70"/>
      <c r="D23" s="99" t="str">
        <f>IFERROR(VLOOKUP($A$1&amp;"/"&amp;$B$23&amp;"/"&amp;$A22,TaskTimings[[EmployeeDateSeqCode]:[Task]],2,0),"")</f>
        <v>SDS/Request and get Response from  web</v>
      </c>
      <c r="E23" s="99"/>
      <c r="F23" s="99"/>
      <c r="G23" s="99"/>
      <c r="H23" s="22">
        <f>IFERROR(VLOOKUP($A$1&amp;"/"&amp;$B$23&amp;"/"&amp;$A22,TaskTimings[[EmployeeDateSeqCode]:[Total Minutes]],7,0),0)</f>
        <v>227.99999999999991</v>
      </c>
      <c r="I23" s="106">
        <f t="shared" ref="I23" si="7">SUM(H23:H26)</f>
        <v>-597.00000000000011</v>
      </c>
      <c r="J23" s="28">
        <v>4</v>
      </c>
      <c r="K23" s="114"/>
      <c r="L23" s="82"/>
      <c r="M23" s="108" t="str">
        <f>IF($K$20="","",IFERROR(VLOOKUP($K$20&amp;"/"&amp;$J23,$Z$7:$AA$30,2,0),""))</f>
        <v/>
      </c>
      <c r="N23" s="108"/>
      <c r="O23" s="108"/>
      <c r="P23" s="108"/>
      <c r="Q23" s="22" t="str">
        <f>IF($M23="","",SUMIFS($H$7:$H$30,$D$7:$D$30,$K$20&amp;"/"&amp;$M23))</f>
        <v/>
      </c>
      <c r="R23" s="106"/>
      <c r="S23" s="25"/>
      <c r="T23" s="25"/>
      <c r="U23" s="14">
        <f>IF(COUNTIFS($D$6:$D23,D23)=1,1,0)</f>
        <v>1</v>
      </c>
      <c r="V23" s="33" t="str">
        <f>IF($U23=0,"",VLOOKUP($D23,TaskTimings[[Task]:[PRJLST]],10,0))</f>
        <v>SDS</v>
      </c>
      <c r="W23" s="14">
        <f>IF($V23="","",COUNTIF($V$7:$V23,$V23))</f>
        <v>2</v>
      </c>
      <c r="X23" s="14" t="str">
        <f>IF($W23=1,SUM($X$6:$X22)+1,"")</f>
        <v/>
      </c>
      <c r="Y23" s="37" t="str">
        <f t="shared" si="1"/>
        <v>SDS</v>
      </c>
      <c r="Z23" s="33" t="str">
        <f>IF($Y23="","",$Y23&amp;"/"&amp;COUNTIF($Y$7:$Y23,$Y23))</f>
        <v>SDS/2</v>
      </c>
      <c r="AA23" s="33" t="str">
        <f>IF($Z23="","",VLOOKUP($D23,TaskTimings[[Task]:[TSKLST]],11,0))</f>
        <v>Request and get Response from  web</v>
      </c>
      <c r="AB23" s="33">
        <f t="shared" si="2"/>
        <v>-597.00000000000011</v>
      </c>
    </row>
    <row r="24" spans="1:28" x14ac:dyDescent="0.25">
      <c r="A24" s="14">
        <v>3</v>
      </c>
      <c r="B24" s="81"/>
      <c r="C24" s="70"/>
      <c r="D24" s="99" t="str">
        <f>IFERROR(VLOOKUP($A$1&amp;"/"&amp;$B$23&amp;"/"&amp;$A23,TaskTimings[[EmployeeDateSeqCode]:[Task]],2,0),"")</f>
        <v>SDS/Request and get Response from  web</v>
      </c>
      <c r="E24" s="99"/>
      <c r="F24" s="99"/>
      <c r="G24" s="99"/>
      <c r="H24" s="22">
        <f>IFERROR(VLOOKUP($A$1&amp;"/"&amp;$B$23&amp;"/"&amp;$A23,TaskTimings[[EmployeeDateSeqCode]:[Total Minutes]],7,0),0)</f>
        <v>-825</v>
      </c>
      <c r="I24" s="106"/>
      <c r="J24" s="28">
        <v>1</v>
      </c>
      <c r="K24" s="114" t="str">
        <f>VLOOKUP(3,$K$7:$M$11,2,0)</f>
        <v/>
      </c>
      <c r="L24" s="82"/>
      <c r="M24" s="108" t="str">
        <f>IF($K$24="","",IFERROR(VLOOKUP($K$24&amp;"/"&amp;$J24,$Z$7:$AA$30,2,0),""))</f>
        <v/>
      </c>
      <c r="N24" s="108"/>
      <c r="O24" s="108"/>
      <c r="P24" s="108"/>
      <c r="Q24" s="22" t="str">
        <f>IF($M24="","",SUMIFS($H$7:$H$30,$D$7:$D$30,$K$24&amp;"/"&amp;$M24))</f>
        <v/>
      </c>
      <c r="R24" s="106">
        <f t="shared" ref="R24" si="8">SUM(Q24:Q27)</f>
        <v>0</v>
      </c>
      <c r="S24" s="25"/>
      <c r="T24" s="25"/>
      <c r="U24" s="14">
        <f>IF(COUNTIFS($D$6:$D24,D24)=1,1,0)</f>
        <v>0</v>
      </c>
      <c r="V24" s="33" t="str">
        <f>IF($U24=0,"",VLOOKUP($D24,TaskTimings[[Task]:[PRJLST]],10,0))</f>
        <v/>
      </c>
      <c r="W24" s="14" t="str">
        <f>IF($V24="","",COUNTIF($V$7:$V24,$V24))</f>
        <v/>
      </c>
      <c r="X24" s="14" t="str">
        <f>IF($W24=1,SUM($X$6:$X23)+1,"")</f>
        <v/>
      </c>
      <c r="Y24" s="37" t="str">
        <f t="shared" si="1"/>
        <v/>
      </c>
      <c r="Z24" s="33" t="str">
        <f>IF($Y24="","",$Y24&amp;"/"&amp;COUNTIF($Y$7:$Y24,$Y24))</f>
        <v/>
      </c>
      <c r="AA24" s="33" t="str">
        <f>IF($Z24="","",VLOOKUP($D24,TaskTimings[[Task]:[TSKLST]],11,0))</f>
        <v/>
      </c>
      <c r="AB24" s="33">
        <f t="shared" si="2"/>
        <v>0</v>
      </c>
    </row>
    <row r="25" spans="1:28" x14ac:dyDescent="0.25">
      <c r="A25" s="14">
        <v>4</v>
      </c>
      <c r="B25" s="81"/>
      <c r="C25" s="70"/>
      <c r="D25" s="99" t="str">
        <f>IFERROR(VLOOKUP($A$1&amp;"/"&amp;$B$23&amp;"/"&amp;$A24,TaskTimings[[EmployeeDateSeqCode]:[Task]],2,0),"")</f>
        <v/>
      </c>
      <c r="E25" s="99"/>
      <c r="F25" s="99"/>
      <c r="G25" s="99"/>
      <c r="H25" s="22">
        <f>IFERROR(VLOOKUP($A$1&amp;"/"&amp;$B$23&amp;"/"&amp;$A24,TaskTimings[[EmployeeDateSeqCode]:[Total Minutes]],7,0),0)</f>
        <v>0</v>
      </c>
      <c r="I25" s="106"/>
      <c r="J25" s="28">
        <v>2</v>
      </c>
      <c r="K25" s="114"/>
      <c r="L25" s="82"/>
      <c r="M25" s="108" t="str">
        <f>IF($K$24="","",IFERROR(VLOOKUP($K$24&amp;"/"&amp;$J25,$Z$7:$AA$30,2,0),""))</f>
        <v/>
      </c>
      <c r="N25" s="108"/>
      <c r="O25" s="108"/>
      <c r="P25" s="108"/>
      <c r="Q25" s="22" t="str">
        <f>IF($M25="","",SUMIFS($H$7:$H$30,$D$7:$D$30,$K$24&amp;"/"&amp;$M25))</f>
        <v/>
      </c>
      <c r="R25" s="106"/>
      <c r="S25" s="25"/>
      <c r="T25" s="25"/>
      <c r="U25" s="14">
        <f>IF(COUNTIFS($D$6:$D25,D25)=1,1,0)</f>
        <v>0</v>
      </c>
      <c r="V25" s="33" t="str">
        <f>IF($U25=0,"",VLOOKUP($D25,TaskTimings[[Task]:[PRJLST]],10,0))</f>
        <v/>
      </c>
      <c r="W25" s="14" t="str">
        <f>IF($V25="","",COUNTIF($V$7:$V25,$V25))</f>
        <v/>
      </c>
      <c r="X25" s="14" t="str">
        <f>IF($W25=1,SUM($X$6:$X24)+1,"")</f>
        <v/>
      </c>
      <c r="Y25" s="37" t="str">
        <f t="shared" si="1"/>
        <v/>
      </c>
      <c r="Z25" s="33" t="str">
        <f>IF($Y25="","",$Y25&amp;"/"&amp;COUNTIF($Y$7:$Y25,$Y25))</f>
        <v/>
      </c>
      <c r="AA25" s="33" t="str">
        <f>IF($Z25="","",VLOOKUP($D25,TaskTimings[[Task]:[TSKLST]],11,0))</f>
        <v/>
      </c>
      <c r="AB25" s="33">
        <f t="shared" si="2"/>
        <v>0</v>
      </c>
    </row>
    <row r="26" spans="1:28" x14ac:dyDescent="0.25">
      <c r="A26" s="14">
        <v>1</v>
      </c>
      <c r="B26" s="81"/>
      <c r="C26" s="70"/>
      <c r="D26" s="99" t="str">
        <f>IFERROR(VLOOKUP($A$1&amp;"/"&amp;$B$23&amp;"/"&amp;$A25,TaskTimings[[EmployeeDateSeqCode]:[Task]],2,0),"")</f>
        <v/>
      </c>
      <c r="E26" s="99"/>
      <c r="F26" s="99"/>
      <c r="G26" s="99"/>
      <c r="H26" s="22">
        <f>IFERROR(VLOOKUP($A$1&amp;"/"&amp;$B$23&amp;"/"&amp;$A25,TaskTimings[[EmployeeDateSeqCode]:[Total Minutes]],7,0),0)</f>
        <v>0</v>
      </c>
      <c r="I26" s="106"/>
      <c r="J26" s="28">
        <v>3</v>
      </c>
      <c r="K26" s="114"/>
      <c r="L26" s="82"/>
      <c r="M26" s="108" t="str">
        <f>IF($K$24="","",IFERROR(VLOOKUP($K$24&amp;"/"&amp;$J26,$Z$7:$AA$30,2,0),""))</f>
        <v/>
      </c>
      <c r="N26" s="108"/>
      <c r="O26" s="108"/>
      <c r="P26" s="108"/>
      <c r="Q26" s="22" t="str">
        <f>IF($M26="","",SUMIFS($H$7:$H$30,$D$7:$D$30,$K$24&amp;"/"&amp;$M26))</f>
        <v/>
      </c>
      <c r="R26" s="106"/>
      <c r="S26" s="25"/>
      <c r="T26" s="25"/>
      <c r="U26" s="14">
        <f>IF(COUNTIFS($D$6:$D26,D26)=1,1,0)</f>
        <v>0</v>
      </c>
      <c r="V26" s="33" t="str">
        <f>IF($U26=0,"",VLOOKUP($D26,TaskTimings[[Task]:[PRJLST]],10,0))</f>
        <v/>
      </c>
      <c r="W26" s="14" t="str">
        <f>IF($V26="","",COUNTIF($V$7:$V26,$V26))</f>
        <v/>
      </c>
      <c r="X26" s="14" t="str">
        <f>IF($W26=1,SUM($X$6:$X25)+1,"")</f>
        <v/>
      </c>
      <c r="Y26" s="37" t="str">
        <f t="shared" si="1"/>
        <v/>
      </c>
      <c r="Z26" s="33" t="str">
        <f>IF($Y26="","",$Y26&amp;"/"&amp;COUNTIF($Y$7:$Y26,$Y26))</f>
        <v/>
      </c>
      <c r="AA26" s="33" t="str">
        <f>IF($Z26="","",VLOOKUP($D26,TaskTimings[[Task]:[TSKLST]],11,0))</f>
        <v/>
      </c>
      <c r="AB26" s="33">
        <f t="shared" si="2"/>
        <v>0</v>
      </c>
    </row>
    <row r="27" spans="1:28" x14ac:dyDescent="0.25">
      <c r="A27" s="14">
        <v>2</v>
      </c>
      <c r="B27" s="100">
        <f>B23+1</f>
        <v>43435</v>
      </c>
      <c r="C27" s="70"/>
      <c r="D27" s="99" t="str">
        <f>IFERROR(VLOOKUP($A$1&amp;"/"&amp;$B$27&amp;"/"&amp;$A26,TaskTimings[[EmployeeDateSeqCode]:[Task]],2,0),"")</f>
        <v/>
      </c>
      <c r="E27" s="99"/>
      <c r="F27" s="99"/>
      <c r="G27" s="99"/>
      <c r="H27" s="22">
        <f>IFERROR(VLOOKUP($A$1&amp;"/"&amp;$B$27&amp;"/"&amp;$A26,TaskTimings[[EmployeeDateSeqCode]:[Total Minutes]],7,0),0)</f>
        <v>0</v>
      </c>
      <c r="I27" s="106">
        <f t="shared" ref="I27" si="9">SUM(H27:H30)</f>
        <v>0</v>
      </c>
      <c r="J27" s="28">
        <v>4</v>
      </c>
      <c r="K27" s="114"/>
      <c r="L27" s="82"/>
      <c r="M27" s="108" t="str">
        <f>IF($K$24="","",IFERROR(VLOOKUP($K$24&amp;"/"&amp;$J27,$Z$7:$AA$30,2,0),""))</f>
        <v/>
      </c>
      <c r="N27" s="108"/>
      <c r="O27" s="108"/>
      <c r="P27" s="108"/>
      <c r="Q27" s="22" t="str">
        <f>IF($M27="","",SUMIFS($H$7:$H$30,$D$7:$D$30,$K$24&amp;"/"&amp;$M27))</f>
        <v/>
      </c>
      <c r="R27" s="106"/>
      <c r="S27" s="25"/>
      <c r="T27" s="25"/>
      <c r="U27" s="14">
        <f>IF(COUNTIFS($D$6:$D27,D27)=1,1,0)</f>
        <v>0</v>
      </c>
      <c r="V27" s="33" t="str">
        <f>IF($U27=0,"",VLOOKUP($D27,TaskTimings[[Task]:[PRJLST]],10,0))</f>
        <v/>
      </c>
      <c r="W27" s="14" t="str">
        <f>IF($V27="","",COUNTIF($V$7:$V27,$V27))</f>
        <v/>
      </c>
      <c r="X27" s="14" t="str">
        <f>IF($W27=1,SUM($X$6:$X26)+1,"")</f>
        <v/>
      </c>
      <c r="Y27" s="37" t="str">
        <f t="shared" si="1"/>
        <v/>
      </c>
      <c r="Z27" s="33" t="str">
        <f>IF($Y27="","",$Y27&amp;"/"&amp;COUNTIF($Y$7:$Y27,$Y27))</f>
        <v/>
      </c>
      <c r="AA27" s="33" t="str">
        <f>IF($Z27="","",VLOOKUP($D27,TaskTimings[[Task]:[TSKLST]],11,0))</f>
        <v/>
      </c>
      <c r="AB27" s="33">
        <f t="shared" si="2"/>
        <v>0</v>
      </c>
    </row>
    <row r="28" spans="1:28" x14ac:dyDescent="0.25">
      <c r="A28" s="14">
        <v>3</v>
      </c>
      <c r="B28" s="81"/>
      <c r="C28" s="70"/>
      <c r="D28" s="99" t="str">
        <f>IFERROR(VLOOKUP($A$1&amp;"/"&amp;$B$27&amp;"/"&amp;$A27,TaskTimings[[EmployeeDateSeqCode]:[Task]],2,0),"")</f>
        <v/>
      </c>
      <c r="E28" s="99"/>
      <c r="F28" s="99"/>
      <c r="G28" s="99"/>
      <c r="H28" s="22">
        <f>IFERROR(VLOOKUP($A$1&amp;"/"&amp;$B$27&amp;"/"&amp;$A27,TaskTimings[[EmployeeDateSeqCode]:[Total Minutes]],7,0),0)</f>
        <v>0</v>
      </c>
      <c r="I28" s="106"/>
      <c r="J28" s="28">
        <v>1</v>
      </c>
      <c r="K28" s="114" t="str">
        <f>VLOOKUP(4,$K$7:$M$11,2,0)</f>
        <v>RTM</v>
      </c>
      <c r="L28" s="82"/>
      <c r="M28" s="108" t="str">
        <f>IF($K$28="","",IFERROR(VLOOKUP($K$28&amp;"/"&amp;$J28,$Z$7:$AA$30,2,0),""))</f>
        <v>Solving the issue of repeating icon in tray</v>
      </c>
      <c r="N28" s="108"/>
      <c r="O28" s="108"/>
      <c r="P28" s="108"/>
      <c r="Q28" s="22">
        <f>IF($M28="","",SUMIFS($H$7:$H$30,$D$7:$D$30,$K$28&amp;"/"&amp;$M28))</f>
        <v>354.99999999999989</v>
      </c>
      <c r="R28" s="106">
        <f t="shared" ref="R28" si="10">SUM(Q28:Q31)</f>
        <v>384.99999999999994</v>
      </c>
      <c r="S28" s="25"/>
      <c r="T28" s="25"/>
      <c r="U28" s="14">
        <f>IF(COUNTIFS($D$6:$D28,D28)=1,1,0)</f>
        <v>0</v>
      </c>
      <c r="V28" s="33" t="str">
        <f>IF($U28=0,"",VLOOKUP($D28,TaskTimings[[Task]:[PRJLST]],10,0))</f>
        <v/>
      </c>
      <c r="W28" s="14" t="str">
        <f>IF($V28="","",COUNTIF($V$7:$V28,$V28))</f>
        <v/>
      </c>
      <c r="X28" s="14" t="str">
        <f>IF($W28=1,SUM($X$6:$X27)+1,"")</f>
        <v/>
      </c>
      <c r="Y28" s="37" t="str">
        <f t="shared" si="1"/>
        <v/>
      </c>
      <c r="Z28" s="33" t="str">
        <f>IF($Y28="","",$Y28&amp;"/"&amp;COUNTIF($Y$7:$Y28,$Y28))</f>
        <v/>
      </c>
      <c r="AA28" s="33" t="str">
        <f>IF($Z28="","",VLOOKUP($D28,TaskTimings[[Task]:[TSKLST]],11,0))</f>
        <v/>
      </c>
      <c r="AB28" s="33">
        <f t="shared" si="2"/>
        <v>0</v>
      </c>
    </row>
    <row r="29" spans="1:28" x14ac:dyDescent="0.25">
      <c r="A29" s="14">
        <v>4</v>
      </c>
      <c r="B29" s="81"/>
      <c r="C29" s="70"/>
      <c r="D29" s="99" t="str">
        <f>IFERROR(VLOOKUP($A$1&amp;"/"&amp;$B$27&amp;"/"&amp;$A28,TaskTimings[[EmployeeDateSeqCode]:[Task]],2,0),"")</f>
        <v/>
      </c>
      <c r="E29" s="99"/>
      <c r="F29" s="99"/>
      <c r="G29" s="99"/>
      <c r="H29" s="22">
        <f>IFERROR(VLOOKUP($A$1&amp;"/"&amp;$B$27&amp;"/"&amp;$A28,TaskTimings[[EmployeeDateSeqCode]:[Total Minutes]],7,0),0)</f>
        <v>0</v>
      </c>
      <c r="I29" s="106"/>
      <c r="J29" s="28">
        <v>2</v>
      </c>
      <c r="K29" s="114"/>
      <c r="L29" s="82"/>
      <c r="M29" s="108" t="str">
        <f>IF($K$28="","",IFERROR(VLOOKUP($K$28&amp;"/"&amp;$J29,$Z$7:$AA$30,2,0),""))</f>
        <v>Getting branchname into tool</v>
      </c>
      <c r="N29" s="108"/>
      <c r="O29" s="108"/>
      <c r="P29" s="108"/>
      <c r="Q29" s="22">
        <f>IF($M29="","",SUMIFS($H$7:$H$30,$D$7:$D$30,$K$28&amp;"/"&amp;$M29))</f>
        <v>30.000000000000053</v>
      </c>
      <c r="R29" s="106"/>
      <c r="S29" s="25"/>
      <c r="T29" s="25"/>
      <c r="U29" s="14">
        <f>IF(COUNTIFS($D$6:$D29,D29)=1,1,0)</f>
        <v>0</v>
      </c>
      <c r="V29" s="33" t="str">
        <f>IF($U29=0,"",VLOOKUP($D29,TaskTimings[[Task]:[PRJLST]],10,0))</f>
        <v/>
      </c>
      <c r="W29" s="14" t="str">
        <f>IF($V29="","",COUNTIF($V$7:$V29,$V29))</f>
        <v/>
      </c>
      <c r="X29" s="14" t="str">
        <f>IF($W29=1,SUM($X$6:$X28)+1,"")</f>
        <v/>
      </c>
      <c r="Y29" s="37" t="str">
        <f t="shared" si="1"/>
        <v/>
      </c>
      <c r="Z29" s="33" t="str">
        <f>IF($Y29="","",$Y29&amp;"/"&amp;COUNTIF($Y$7:$Y29,$Y29))</f>
        <v/>
      </c>
      <c r="AA29" s="33" t="str">
        <f>IF($Z29="","",VLOOKUP($D29,TaskTimings[[Task]:[TSKLST]],11,0))</f>
        <v/>
      </c>
      <c r="AB29" s="33">
        <f t="shared" si="2"/>
        <v>0</v>
      </c>
    </row>
    <row r="30" spans="1:28" ht="15.75" thickBot="1" x14ac:dyDescent="0.3">
      <c r="B30" s="101"/>
      <c r="C30" s="102"/>
      <c r="D30" s="104" t="str">
        <f>IFERROR(VLOOKUP($A$1&amp;"/"&amp;$B$27&amp;"/"&amp;$A29,TaskTimings[[EmployeeDateSeqCode]:[Task]],2,0),"")</f>
        <v/>
      </c>
      <c r="E30" s="104"/>
      <c r="F30" s="104"/>
      <c r="G30" s="104"/>
      <c r="H30" s="24">
        <f>IFERROR(VLOOKUP($A$1&amp;"/"&amp;$B$27&amp;"/"&amp;$A29,TaskTimings[[EmployeeDateSeqCode]:[Total Minutes]],7,0),0)</f>
        <v>0</v>
      </c>
      <c r="I30" s="107"/>
      <c r="J30" s="28">
        <v>3</v>
      </c>
      <c r="K30" s="114"/>
      <c r="L30" s="82"/>
      <c r="M30" s="108" t="str">
        <f>IF($K$28="","",IFERROR(VLOOKUP($K$28&amp;"/"&amp;$J30,$Z$7:$AA$30,2,0),""))</f>
        <v/>
      </c>
      <c r="N30" s="108"/>
      <c r="O30" s="108"/>
      <c r="P30" s="108"/>
      <c r="Q30" s="22" t="str">
        <f>IF($M30="","",SUMIFS($H$7:$H$30,$D$7:$D$30,$K$28&amp;"/"&amp;$M30))</f>
        <v/>
      </c>
      <c r="R30" s="106"/>
      <c r="U30" s="14">
        <f>IF(COUNTIFS($D$6:$D30,D30)=1,1,0)</f>
        <v>0</v>
      </c>
      <c r="V30" s="33" t="str">
        <f>IF($U30=0,"",VLOOKUP($D30,TaskTimings[[Task]:[PRJLST]],10,0))</f>
        <v/>
      </c>
      <c r="W30" s="14" t="str">
        <f>IF($V30="","",COUNTIF($V$7:$V30,$V30))</f>
        <v/>
      </c>
      <c r="X30" s="14" t="str">
        <f>IF($W30=1,SUM($X$6:$X29)+1,"")</f>
        <v/>
      </c>
      <c r="Y30" s="37" t="str">
        <f t="shared" si="1"/>
        <v/>
      </c>
      <c r="Z30" s="33" t="str">
        <f>IF($Y30="","",$Y30&amp;"/"&amp;COUNTIF($Y$7:$Y30,$Y30))</f>
        <v/>
      </c>
      <c r="AA30" s="33" t="str">
        <f>IF($Z30="","",VLOOKUP($D30,TaskTimings[[Task]:[TSKLST]],11,0))</f>
        <v/>
      </c>
      <c r="AB30" s="33">
        <f t="shared" si="2"/>
        <v>0</v>
      </c>
    </row>
    <row r="31" spans="1:28" x14ac:dyDescent="0.25">
      <c r="J31" s="28">
        <v>4</v>
      </c>
      <c r="K31" s="114"/>
      <c r="L31" s="82"/>
      <c r="M31" s="108" t="str">
        <f>IF($K$28="","",IFERROR(VLOOKUP($K$28&amp;"/"&amp;$J31,$Z$7:$AA$30,2,0),""))</f>
        <v/>
      </c>
      <c r="N31" s="108"/>
      <c r="O31" s="108"/>
      <c r="P31" s="108"/>
      <c r="Q31" s="22" t="str">
        <f>IF($M31="","",SUMIFS($H$7:$H$30,$D$7:$D$30,$K$28&amp;"/"&amp;$M31))</f>
        <v/>
      </c>
      <c r="R31" s="106"/>
    </row>
    <row r="32" spans="1:28" x14ac:dyDescent="0.25">
      <c r="J32" s="28">
        <v>1</v>
      </c>
      <c r="K32" s="114" t="str">
        <f>VLOOKUP(5,$K$7:$M$11,2,0)</f>
        <v/>
      </c>
      <c r="L32" s="82"/>
      <c r="M32" s="108" t="str">
        <f>IF($K$32="","",IFERROR(VLOOKUP($K$32&amp;"/"&amp;$J32,$Z$7:$AA$30,2,0),""))</f>
        <v/>
      </c>
      <c r="N32" s="108"/>
      <c r="O32" s="108"/>
      <c r="P32" s="108"/>
      <c r="Q32" s="22" t="str">
        <f>IF($M32="","",SUMIFS($H$7:$H$30,$D$7:$D$30,$K$32&amp;"/"&amp;$M32))</f>
        <v/>
      </c>
      <c r="R32" s="106">
        <f t="shared" ref="R32" si="11">SUM(Q32:Q35)</f>
        <v>0</v>
      </c>
    </row>
    <row r="33" spans="10:18" x14ac:dyDescent="0.25">
      <c r="J33" s="28">
        <v>2</v>
      </c>
      <c r="K33" s="114"/>
      <c r="L33" s="82"/>
      <c r="M33" s="108" t="str">
        <f>IF($K$32="","",IFERROR(VLOOKUP($K$32&amp;"/"&amp;$J33,$Z$7:$AA$30,2,0),""))</f>
        <v/>
      </c>
      <c r="N33" s="108"/>
      <c r="O33" s="108"/>
      <c r="P33" s="108"/>
      <c r="Q33" s="22" t="str">
        <f>IF($M33="","",SUMIFS($H$7:$H$30,$D$7:$D$30,$K$32&amp;"/"&amp;$M33))</f>
        <v/>
      </c>
      <c r="R33" s="106"/>
    </row>
    <row r="34" spans="10:18" x14ac:dyDescent="0.25">
      <c r="J34" s="28">
        <v>3</v>
      </c>
      <c r="K34" s="114"/>
      <c r="L34" s="82"/>
      <c r="M34" s="108" t="str">
        <f>IF($K$32="","",IFERROR(VLOOKUP($K$32&amp;"/"&amp;$J34,$Z$7:$AA$30,2,0),""))</f>
        <v/>
      </c>
      <c r="N34" s="108"/>
      <c r="O34" s="108"/>
      <c r="P34" s="108"/>
      <c r="Q34" s="22" t="str">
        <f>IF($M34="","",SUMIFS($H$7:$H$30,$D$7:$D$30,$K$32&amp;"/"&amp;$M34))</f>
        <v/>
      </c>
      <c r="R34" s="106"/>
    </row>
    <row r="35" spans="10:18" ht="15.75" thickBot="1" x14ac:dyDescent="0.3">
      <c r="J35" s="28">
        <v>4</v>
      </c>
      <c r="K35" s="115"/>
      <c r="L35" s="85"/>
      <c r="M35" s="111" t="str">
        <f>IF($K$32="","",IFERROR(VLOOKUP($K$32&amp;"/"&amp;$J35,$Z$7:$AA$30,2,0),""))</f>
        <v/>
      </c>
      <c r="N35" s="111"/>
      <c r="O35" s="111"/>
      <c r="P35" s="111"/>
      <c r="Q35" s="24" t="str">
        <f>IF($M35="","",SUMIFS($H$7:$H$30,$D$7:$D$30,$K$32&amp;"/"&amp;$M35))</f>
        <v/>
      </c>
      <c r="R35" s="107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2018-11-30T08:16:08Z</dcterms:modified>
</cp:coreProperties>
</file>