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3" i="4" l="1"/>
  <c r="B23" i="4"/>
  <c r="P23" i="4" s="1"/>
  <c r="C23" i="4"/>
  <c r="Q23" i="4" s="1"/>
  <c r="D23" i="4"/>
  <c r="L23" i="4"/>
  <c r="M23" i="4"/>
  <c r="N23" i="4"/>
  <c r="O23" i="4" s="1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N19" i="4"/>
  <c r="O19" i="4" s="1"/>
  <c r="A18" i="4"/>
  <c r="D18" i="4"/>
  <c r="L18" i="4"/>
  <c r="N18" i="4" s="1"/>
  <c r="O18" i="4" s="1"/>
  <c r="M18" i="4"/>
  <c r="D14" i="4"/>
  <c r="L14" i="4"/>
  <c r="M14" i="4"/>
  <c r="D13" i="4"/>
  <c r="L13" i="4"/>
  <c r="M13" i="4"/>
  <c r="N13" i="4"/>
  <c r="O13" i="4" s="1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0" i="4" l="1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2" i="4" l="1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W10" i="6" s="1"/>
  <c r="Y10" i="6" s="1"/>
  <c r="Z10" i="6" s="1"/>
  <c r="AA10" i="6" s="1"/>
  <c r="AB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W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5" i="6" l="1"/>
  <c r="Y15" i="6" s="1"/>
  <c r="W12" i="6"/>
  <c r="Y12" i="6" s="1"/>
  <c r="W9" i="6"/>
  <c r="X9" i="6" s="1"/>
  <c r="X10" i="6"/>
  <c r="Y11" i="6"/>
  <c r="Z11" i="6" s="1"/>
  <c r="AA11" i="6" s="1"/>
  <c r="AB11" i="6" s="1"/>
  <c r="X11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2" i="6" l="1"/>
  <c r="X16" i="6" s="1"/>
  <c r="Y9" i="6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Z20" i="6" l="1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<sst xmlns="http://schemas.openxmlformats.org/spreadsheetml/2006/main" count="161" uniqueCount="83">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</sst>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120.00000000000006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166145536"/>
        <c:axId val="-1166155328"/>
      </c:barChart>
      <c:catAx>
        <c:axId val="-116614553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55328"/>
        <c:crosses val="autoZero"/>
        <c:auto val="1"/>
        <c:lblAlgn val="ctr"/>
        <c:lblOffset val="100"/>
        <c:noMultiLvlLbl val="0"/>
      </c:catAx>
      <c:valAx>
        <c:axId val="-1166155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4553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120.00000000000006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166146080"/>
        <c:axId val="-1166152064"/>
      </c:barChart>
      <c:catAx>
        <c:axId val="-11661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52064"/>
        <c:crosses val="autoZero"/>
        <c:auto val="1"/>
        <c:lblAlgn val="ctr"/>
        <c:lblOffset val="100"/>
        <c:noMultiLvlLbl val="0"/>
      </c:catAx>
      <c:valAx>
        <c:axId val="-1166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460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120.00000000000006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120.00000000000006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6144992"/>
        <c:axId val="-1166144448"/>
      </c:areaChart>
      <c:catAx>
        <c:axId val="-116614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44448"/>
        <c:crosses val="autoZero"/>
        <c:auto val="1"/>
        <c:lblAlgn val="ctr"/>
        <c:lblOffset val="100"/>
        <c:noMultiLvlLbl val="0"/>
      </c:catAx>
      <c:valAx>
        <c:axId val="-116614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449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1096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120.00000000000006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166158048"/>
        <c:axId val="-1166151520"/>
      </c:barChart>
      <c:catAx>
        <c:axId val="-116615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51520"/>
        <c:crosses val="autoZero"/>
        <c:auto val="1"/>
        <c:lblAlgn val="ctr"/>
        <c:lblOffset val="100"/>
        <c:noMultiLvlLbl val="0"/>
      </c:catAx>
      <c:valAx>
        <c:axId val="-116615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166154784"/>
        <c:axId val="-1332630880"/>
      </c:barChart>
      <c:dateAx>
        <c:axId val="-116615478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32630880"/>
        <c:crosses val="autoZero"/>
        <c:auto val="1"/>
        <c:lblOffset val="100"/>
        <c:baseTimeUnit val="days"/>
      </c:dateAx>
      <c:valAx>
        <c:axId val="-13326308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615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0" totalsRowShown="0" headerRowDxfId="31" dataDxfId="30">
  <autoFilter ref="A1:G2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3" totalsRowShown="0" headerRowDxfId="18" dataDxfId="17">
  <autoFilter ref="A1:Q2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6" sqref="D16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63</v>
      </c>
      <c r="F6" s="41" t="s">
        <v>64</v>
      </c>
      <c r="G6" s="41" t="s">
        <v>2</v>
      </c>
    </row>
    <row r="7" spans="1:7" x14ac:dyDescent="0.25">
      <c r="D7" s="51">
        <f t="shared" si="0"/>
        <v>6</v>
      </c>
      <c r="E7" s="41" t="s">
        <v>67</v>
      </c>
      <c r="F7" s="41" t="s">
        <v>68</v>
      </c>
      <c r="G7" s="41" t="s">
        <v>2</v>
      </c>
    </row>
    <row r="8" spans="1:7" x14ac:dyDescent="0.25">
      <c r="D8" s="51">
        <f t="shared" si="0"/>
        <v>7</v>
      </c>
      <c r="E8" s="41" t="s">
        <v>73</v>
      </c>
      <c r="F8" s="41" t="s">
        <v>74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7" workbookViewId="0">
      <selection activeCell="D19" sqref="D1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CONCATENATE(ProjectTasks[Project],"/",ProjectTasks[Task])</f>
        <v>SDS/Solving the issue of repeating icon in tray</v>
      </c>
      <c r="F13" s="45" t="str">
        <f>ProjectTasks[Project]</f>
        <v>SDS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64</v>
      </c>
      <c r="C14" s="52" t="str">
        <f>ProjectTasks[[#This Row],[Project]]&amp;"-"&amp;COUNTIF($B$1:ProjectTasks[[#This Row],[Project]],ProjectTasks[[#This Row],[Project]])</f>
        <v>PPOIO-1</v>
      </c>
      <c r="D14" s="41" t="s">
        <v>65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64</v>
      </c>
      <c r="C15" s="52" t="str">
        <f>ProjectTasks[[#This Row],[Project]]&amp;"-"&amp;COUNTIF($B$1:ProjectTasks[[#This Row],[Project]],ProjectTasks[[#This Row],[Project]])</f>
        <v>PPOIO-2</v>
      </c>
      <c r="D15" s="41" t="s">
        <v>66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68</v>
      </c>
      <c r="C16" s="52" t="str">
        <f>ProjectTasks[[#This Row],[Project]]&amp;"-"&amp;COUNTIF($B$1:ProjectTasks[[#This Row],[Project]],ProjectTasks[[#This Row],[Project]])</f>
        <v>APPFRAME-1</v>
      </c>
      <c r="D16" s="41" t="s">
        <v>69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74</v>
      </c>
      <c r="C17" s="52" t="str">
        <f>ProjectTasks[[#This Row],[Project]]&amp;"-"&amp;COUNTIF($B$1:ProjectTasks[[#This Row],[Project]],ProjectTasks[[#This Row],[Project]])</f>
        <v>MITWEB-1</v>
      </c>
      <c r="D17" s="41" t="s">
        <v>75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RTM-1</v>
      </c>
      <c r="D18" s="41" t="s">
        <v>77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81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79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</sheetData>
  <dataValidations count="1">
    <dataValidation type="list" allowBlank="1" showInputMessage="1" showErrorMessage="1" sqref="B2:B2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4" workbookViewId="0">
      <selection activeCell="S19" sqref="S1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SDS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SDS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SDS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SDS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70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71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72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SDS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62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SDS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TEEBPD</v>
      </c>
      <c r="C15" s="52" t="str">
        <f>VLOOKUP(TaskTimings[Task],ProjectTasks[[TaskProjectCode]:[TSK]],3,0)</f>
        <v>Client Suggestion Implementation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72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TEEBPD</v>
      </c>
      <c r="Q15" s="52" t="str">
        <f>TaskTimings[TSK]</f>
        <v>Client Suggestion Implementation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76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3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82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78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82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80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</sheetData>
  <dataValidations count="2">
    <dataValidation type="list" allowBlank="1" showInputMessage="1" showErrorMessage="1" sqref="H2:H23">
      <formula1>EmployeeNames</formula1>
    </dataValidation>
    <dataValidation type="list" allowBlank="1" showInputMessage="1" showErrorMessage="1" sqref="G2:G2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59" t="s">
        <v>47</v>
      </c>
      <c r="B1" s="59"/>
      <c r="C1" s="59"/>
      <c r="D1" s="59"/>
      <c r="E1" s="59"/>
    </row>
    <row r="2" spans="1:16" x14ac:dyDescent="0.25">
      <c r="A2" s="59"/>
      <c r="B2" s="59"/>
      <c r="C2" s="59"/>
      <c r="D2" s="59"/>
      <c r="E2" s="59"/>
      <c r="J2" s="77" t="s">
        <v>33</v>
      </c>
      <c r="K2" s="77"/>
      <c r="L2" s="77"/>
    </row>
    <row r="3" spans="1:16" x14ac:dyDescent="0.25">
      <c r="A3" s="59"/>
      <c r="B3" s="59"/>
      <c r="C3" s="59"/>
      <c r="D3" s="59"/>
      <c r="E3" s="59"/>
      <c r="J3" s="77"/>
      <c r="K3" s="77"/>
      <c r="L3" s="77"/>
    </row>
    <row r="4" spans="1:16" ht="15.75" thickBot="1" x14ac:dyDescent="0.3">
      <c r="A4" s="61" t="str">
        <f>VLOOKUP($A$1,Project[[Project]:[Project Code]],2,0)</f>
        <v>TKT</v>
      </c>
      <c r="B4" s="6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64" t="s">
        <v>31</v>
      </c>
      <c r="B5" s="62" t="s">
        <v>29</v>
      </c>
      <c r="C5" s="62"/>
      <c r="D5" s="62"/>
      <c r="E5" s="62"/>
      <c r="F5" s="62"/>
      <c r="G5" s="67" t="s">
        <v>32</v>
      </c>
      <c r="H5" s="71"/>
      <c r="J5" s="64" t="str">
        <f>IFERROR(VLOOKUP(J$4,Employees[],2,0),"")</f>
        <v>Aswathy</v>
      </c>
      <c r="K5" s="67" t="str">
        <f>IFERROR(VLOOKUP(K$4,Employees[],2,0),"")</f>
        <v>Vishnu</v>
      </c>
      <c r="L5" s="67" t="str">
        <f>IFERROR(VLOOKUP(L$4,Employees[],2,0),"")</f>
        <v>Shareena</v>
      </c>
      <c r="M5" s="67" t="str">
        <f>IFERROR(VLOOKUP(M$4,Employees[],2,0),"")</f>
        <v>Firose</v>
      </c>
      <c r="N5" s="67" t="str">
        <f>IFERROR(VLOOKUP(N$4,Employees[],2,0),"")</f>
        <v/>
      </c>
      <c r="O5" s="67" t="str">
        <f>IFERROR(VLOOKUP(O$4,Employees[],2,0),"")</f>
        <v/>
      </c>
      <c r="P5" s="71" t="str">
        <f>IFERROR(VLOOKUP(P$4,Employees[],2,0),"")</f>
        <v/>
      </c>
    </row>
    <row r="6" spans="1:16" x14ac:dyDescent="0.25">
      <c r="A6" s="65"/>
      <c r="B6" s="63"/>
      <c r="C6" s="63"/>
      <c r="D6" s="63"/>
      <c r="E6" s="63"/>
      <c r="F6" s="63"/>
      <c r="G6" s="68"/>
      <c r="H6" s="72"/>
      <c r="J6" s="65"/>
      <c r="K6" s="68"/>
      <c r="L6" s="68"/>
      <c r="M6" s="68"/>
      <c r="N6" s="68"/>
      <c r="O6" s="68"/>
      <c r="P6" s="72"/>
    </row>
    <row r="7" spans="1:16" x14ac:dyDescent="0.25">
      <c r="A7" s="12">
        <v>1</v>
      </c>
      <c r="B7" s="60" t="str">
        <f>IFERROR(VLOOKUP($A$4&amp;"-"&amp;$A7,ProjectTasks[[PRJTSKSEQ]:[Task]],2,0),"")</f>
        <v>Database Analysis from Old Project</v>
      </c>
      <c r="C7" s="60"/>
      <c r="D7" s="60"/>
      <c r="E7" s="60"/>
      <c r="F7" s="60"/>
      <c r="G7" s="69">
        <f>SUMIFS(TaskTimings[Total Minutes],TaskTimings[PRJ],$A$4,TaskTimings[TSK],$B7)</f>
        <v>375.99999999999994</v>
      </c>
      <c r="H7" s="7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60" t="str">
        <f>IFERROR(VLOOKUP($A$4&amp;"-"&amp;$A8,ProjectTasks[[PRJTSKSEQ]:[Task]],2,0),"")</f>
        <v>DB Designing</v>
      </c>
      <c r="C8" s="60"/>
      <c r="D8" s="60"/>
      <c r="E8" s="60"/>
      <c r="F8" s="60"/>
      <c r="G8" s="69">
        <f>SUMIFS(TaskTimings[Total Minutes],TaskTimings[PRJ],$A$4,TaskTimings[TSK],$B8)</f>
        <v>0</v>
      </c>
      <c r="H8" s="7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60" t="str">
        <f>IFERROR(VLOOKUP($A$4&amp;"-"&amp;$A9,ProjectTasks[[PRJTSKSEQ]:[Task]],2,0),"")</f>
        <v>Appframe configuration</v>
      </c>
      <c r="C9" s="60"/>
      <c r="D9" s="60"/>
      <c r="E9" s="60"/>
      <c r="F9" s="60"/>
      <c r="G9" s="69">
        <f>SUMIFS(TaskTimings[Total Minutes],TaskTimings[PRJ],$A$4,TaskTimings[TSK],$B9)</f>
        <v>0</v>
      </c>
      <c r="H9" s="7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60" t="str">
        <f>IFERROR(VLOOKUP($A$4&amp;"-"&amp;$A10,ProjectTasks[[PRJTSKSEQ]:[Task]],2,0),"")</f>
        <v>Discussion for ticketing modification</v>
      </c>
      <c r="C10" s="60"/>
      <c r="D10" s="60"/>
      <c r="E10" s="60"/>
      <c r="F10" s="60"/>
      <c r="G10" s="69">
        <f>SUMIFS(TaskTimings[Total Minutes],TaskTimings[PRJ],$A$4,TaskTimings[TSK],$B10)</f>
        <v>269.99999999999989</v>
      </c>
      <c r="H10" s="70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60" t="str">
        <f>IFERROR(VLOOKUP($A$4&amp;"-"&amp;$A11,ProjectTasks[[PRJTSKSEQ]:[Task]],2,0),"")</f>
        <v>Note down table relations</v>
      </c>
      <c r="C11" s="60"/>
      <c r="D11" s="60"/>
      <c r="E11" s="60"/>
      <c r="F11" s="60"/>
      <c r="G11" s="69">
        <f>SUMIFS(TaskTimings[Total Minutes],TaskTimings[PRJ],$A$4,TaskTimings[TSK],$B11)</f>
        <v>510.00000000000011</v>
      </c>
      <c r="H11" s="7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60" t="str">
        <f>IFERROR(VLOOKUP($A$4&amp;"-"&amp;$A12,ProjectTasks[[PRJTSKSEQ]:[Task]],2,0),"")</f>
        <v>Entering table details into excel sheet</v>
      </c>
      <c r="C12" s="60"/>
      <c r="D12" s="60"/>
      <c r="E12" s="60"/>
      <c r="F12" s="60"/>
      <c r="G12" s="69">
        <f>SUMIFS(TaskTimings[Total Minutes],TaskTimings[PRJ],$A$4,TaskTimings[TSK],$B12)</f>
        <v>120.00000000000006</v>
      </c>
      <c r="H12" s="7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120.00000000000006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60" t="str">
        <f>IFERROR(VLOOKUP($A$4&amp;"-"&amp;$A13,ProjectTasks[[PRJTSKSEQ]:[Task]],2,0),"")</f>
        <v/>
      </c>
      <c r="C13" s="60"/>
      <c r="D13" s="60"/>
      <c r="E13" s="60"/>
      <c r="F13" s="60"/>
      <c r="G13" s="69">
        <f>SUMIFS(TaskTimings[Total Minutes],TaskTimings[PRJ],$A$4,TaskTimings[TSK],$B13)</f>
        <v>0</v>
      </c>
      <c r="H13" s="7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60" t="str">
        <f>IFERROR(VLOOKUP($A$4&amp;"-"&amp;$A14,ProjectTasks[[PRJTSKSEQ]:[Task]],2,0),"")</f>
        <v/>
      </c>
      <c r="C14" s="60"/>
      <c r="D14" s="60"/>
      <c r="E14" s="60"/>
      <c r="F14" s="60"/>
      <c r="G14" s="69">
        <f>SUMIFS(TaskTimings[Total Minutes],TaskTimings[PRJ],$A$4,TaskTimings[TSK],$B14)</f>
        <v>0</v>
      </c>
      <c r="H14" s="7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60" t="str">
        <f>IFERROR(VLOOKUP($A$4&amp;"-"&amp;$A15,ProjectTasks[[PRJTSKSEQ]:[Task]],2,0),"")</f>
        <v/>
      </c>
      <c r="C15" s="60"/>
      <c r="D15" s="60"/>
      <c r="E15" s="60"/>
      <c r="F15" s="60"/>
      <c r="G15" s="69">
        <f>SUMIFS(TaskTimings[Total Minutes],TaskTimings[PRJ],$A$4,TaskTimings[TSK],$B15)</f>
        <v>0</v>
      </c>
      <c r="H15" s="7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60" t="str">
        <f>IFERROR(VLOOKUP($A$4&amp;"-"&amp;$A16,ProjectTasks[[PRJTSKSEQ]:[Task]],2,0),"")</f>
        <v/>
      </c>
      <c r="C16" s="60"/>
      <c r="D16" s="60"/>
      <c r="E16" s="60"/>
      <c r="F16" s="60"/>
      <c r="G16" s="69">
        <f>SUMIFS(TaskTimings[Total Minutes],TaskTimings[PRJ],$A$4,TaskTimings[TSK],$B16)</f>
        <v>0</v>
      </c>
      <c r="H16" s="7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60" t="str">
        <f>IFERROR(VLOOKUP($A$4&amp;"-"&amp;$A17,ProjectTasks[[PRJTSKSEQ]:[Task]],2,0),"")</f>
        <v/>
      </c>
      <c r="C17" s="60"/>
      <c r="D17" s="60"/>
      <c r="E17" s="60"/>
      <c r="F17" s="60"/>
      <c r="G17" s="69">
        <f>SUMIFS(TaskTimings[Total Minutes],TaskTimings[PRJ],$A$4,TaskTimings[TSK],$B17)</f>
        <v>0</v>
      </c>
      <c r="H17" s="7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60" t="str">
        <f>IFERROR(VLOOKUP($A$4&amp;"-"&amp;$A18,ProjectTasks[[PRJTSKSEQ]:[Task]],2,0),"")</f>
        <v/>
      </c>
      <c r="C18" s="60"/>
      <c r="D18" s="60"/>
      <c r="E18" s="60"/>
      <c r="F18" s="60"/>
      <c r="G18" s="69">
        <f>SUMIFS(TaskTimings[Total Minutes],TaskTimings[PRJ],$A$4,TaskTimings[TSK],$B18)</f>
        <v>0</v>
      </c>
      <c r="H18" s="7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60" t="str">
        <f>IFERROR(VLOOKUP($A$4&amp;"-"&amp;$A19,ProjectTasks[[PRJTSKSEQ]:[Task]],2,0),"")</f>
        <v/>
      </c>
      <c r="C19" s="60"/>
      <c r="D19" s="60"/>
      <c r="E19" s="60"/>
      <c r="F19" s="60"/>
      <c r="G19" s="69">
        <f>SUMIFS(TaskTimings[Total Minutes],TaskTimings[PRJ],$A$4,TaskTimings[TSK],$B19)</f>
        <v>0</v>
      </c>
      <c r="H19" s="7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60" t="str">
        <f>IFERROR(VLOOKUP($A$4&amp;"-"&amp;$A20,ProjectTasks[[PRJTSKSEQ]:[Task]],2,0),"")</f>
        <v/>
      </c>
      <c r="C20" s="60"/>
      <c r="D20" s="60"/>
      <c r="E20" s="60"/>
      <c r="F20" s="60"/>
      <c r="G20" s="69">
        <f>SUMIFS(TaskTimings[Total Minutes],TaskTimings[PRJ],$A$4,TaskTimings[TSK],$B20)</f>
        <v>0</v>
      </c>
      <c r="H20" s="7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66" t="str">
        <f>IFERROR(VLOOKUP($A$4&amp;"-"&amp;$A21,ProjectTasks[[PRJTSKSEQ]:[Task]],2,0),"")</f>
        <v/>
      </c>
      <c r="C21" s="66"/>
      <c r="D21" s="66"/>
      <c r="E21" s="66"/>
      <c r="F21" s="66"/>
      <c r="G21" s="75">
        <f>SUMIFS(TaskTimings[Total Minutes],TaskTimings[PRJ],$A$4,TaskTimings[TSK],$B21)</f>
        <v>0</v>
      </c>
      <c r="H21" s="7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78" t="s">
        <v>24</v>
      </c>
      <c r="E23" s="79"/>
      <c r="F23" s="80"/>
      <c r="G23" s="78">
        <f>SUM(G7:H21)</f>
        <v>1276</v>
      </c>
      <c r="H23" s="80"/>
      <c r="J23" s="73">
        <f>SUM(J7:J21)</f>
        <v>90</v>
      </c>
      <c r="K23" s="73">
        <f t="shared" ref="K23:P23" si="0">SUM(K7:K21)</f>
        <v>0</v>
      </c>
      <c r="L23" s="73">
        <f t="shared" si="0"/>
        <v>1096</v>
      </c>
      <c r="M23" s="73">
        <f t="shared" si="0"/>
        <v>89.999999999999915</v>
      </c>
      <c r="N23" s="73">
        <f t="shared" si="0"/>
        <v>0</v>
      </c>
      <c r="O23" s="73">
        <f t="shared" si="0"/>
        <v>0</v>
      </c>
      <c r="P23" s="73">
        <f t="shared" si="0"/>
        <v>0</v>
      </c>
    </row>
    <row r="24" spans="1:16" ht="15.75" thickBot="1" x14ac:dyDescent="0.3">
      <c r="D24" s="81"/>
      <c r="E24" s="82"/>
      <c r="F24" s="83"/>
      <c r="G24" s="81"/>
      <c r="H24" s="83"/>
      <c r="J24" s="74"/>
      <c r="K24" s="74"/>
      <c r="L24" s="74"/>
      <c r="M24" s="74"/>
      <c r="N24" s="74"/>
      <c r="O24" s="74"/>
      <c r="P24" s="7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14" sqref="S14"/>
    </sheetView>
  </sheetViews>
  <sheetFormatPr defaultRowHeight="15" x14ac:dyDescent="0.25"/>
  <sheetData>
    <row r="1" spans="1:28" x14ac:dyDescent="0.25">
      <c r="A1" s="103" t="s">
        <v>16</v>
      </c>
      <c r="B1" s="103"/>
      <c r="C1" s="103"/>
      <c r="D1" s="103"/>
      <c r="F1" s="105" t="s">
        <v>35</v>
      </c>
      <c r="G1" s="105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3"/>
      <c r="B2" s="103"/>
      <c r="C2" s="103"/>
      <c r="D2" s="103"/>
      <c r="F2" s="104">
        <v>43430</v>
      </c>
      <c r="G2" s="104"/>
      <c r="I2" s="84">
        <f>SUM(I7:I30)</f>
        <v>1096</v>
      </c>
      <c r="J2" s="86" t="str">
        <f>TEXT($I$2/1440,"H:mm")</f>
        <v>18:16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3"/>
      <c r="B3" s="103"/>
      <c r="C3" s="103"/>
      <c r="D3" s="103"/>
      <c r="F3" s="104"/>
      <c r="G3" s="104"/>
      <c r="I3" s="85"/>
      <c r="J3" s="8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77" t="s">
        <v>44</v>
      </c>
      <c r="L4" s="77"/>
      <c r="M4" s="77"/>
    </row>
    <row r="5" spans="1:28" ht="15.75" thickBot="1" x14ac:dyDescent="0.3">
      <c r="B5" s="77" t="s">
        <v>45</v>
      </c>
      <c r="C5" s="77"/>
      <c r="D5" s="77"/>
      <c r="E5" s="77"/>
      <c r="F5" s="77"/>
      <c r="K5" s="101"/>
      <c r="L5" s="101"/>
      <c r="M5" s="101"/>
    </row>
    <row r="6" spans="1:28" ht="15.75" thickBot="1" x14ac:dyDescent="0.3">
      <c r="A6" s="14">
        <v>1</v>
      </c>
      <c r="B6" s="102"/>
      <c r="C6" s="102"/>
      <c r="D6" s="102"/>
      <c r="E6" s="102"/>
      <c r="F6" s="102"/>
      <c r="J6" s="25"/>
      <c r="K6" s="38" t="s">
        <v>0</v>
      </c>
      <c r="L6" s="94" t="s">
        <v>4</v>
      </c>
      <c r="M6" s="94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6">
        <f>$F$2</f>
        <v>43430</v>
      </c>
      <c r="C7" s="67"/>
      <c r="D7" s="107" t="str">
        <f>IFERROR(VLOOKUP($A$1&amp;"/"&amp;$B$7&amp;"/"&amp;$A6,TaskTimings[[EmployeeDateSeqCode]:[Task]],2,0),"")</f>
        <v>TKT/Discussion for ticketing modification</v>
      </c>
      <c r="E7" s="107"/>
      <c r="F7" s="107"/>
      <c r="G7" s="107"/>
      <c r="H7" s="23">
        <f>IFERROR(VLOOKUP($A$1&amp;"/"&amp;$B$7&amp;"/"&amp;$A6,TaskTimings[[EmployeeDateSeqCode]:[Total Minutes]],7,0),0)</f>
        <v>90</v>
      </c>
      <c r="I7" s="96">
        <f>SUM(H7:H10)</f>
        <v>330.99999999999994</v>
      </c>
      <c r="J7" s="25"/>
      <c r="K7" s="30">
        <v>1</v>
      </c>
      <c r="L7" s="88" t="str">
        <f>IFERROR(VLOOKUP($K7,$X$7:$Y$30,2,0),"")</f>
        <v>TKT</v>
      </c>
      <c r="M7" s="88"/>
      <c r="N7" s="26">
        <f>SUMIFS($AB$8:$AB$30,$Y$8:$Y$30,$L7)</f>
        <v>1006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65"/>
      <c r="C8" s="68"/>
      <c r="D8" s="97" t="str">
        <f>IFERROR(VLOOKUP($A$1&amp;"/"&amp;$B$7&amp;"/"&amp;$A7,TaskTimings[[EmployeeDateSeqCode]:[Task]],2,0),"")</f>
        <v>TKT/Database Analysis from Old Project</v>
      </c>
      <c r="E8" s="97"/>
      <c r="F8" s="97"/>
      <c r="G8" s="97"/>
      <c r="H8" s="22">
        <f>IFERROR(VLOOKUP($A$1&amp;"/"&amp;$B$7&amp;"/"&amp;$A7,TaskTimings[[EmployeeDateSeqCode]:[Total Minutes]],7,0),0)</f>
        <v>121.00000000000006</v>
      </c>
      <c r="I8" s="86"/>
      <c r="J8" s="25"/>
      <c r="K8" s="30">
        <v>2</v>
      </c>
      <c r="L8" s="88" t="str">
        <f>IFERROR(VLOOKUP($K8,$X$7:$Y$30,2,0),"")</f>
        <v/>
      </c>
      <c r="M8" s="88"/>
      <c r="N8" s="26">
        <f t="shared" ref="N8:N11" si="0">SUMIFS($AB$8:$AB$30,$Y$8:$Y$30,$L8)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TKT</v>
      </c>
      <c r="W8" s="14">
        <f>IF($V8="","",COUNTIF($V$7:$V8,$V8))</f>
        <v>2</v>
      </c>
      <c r="X8" s="14" t="str">
        <f>IF($W8=1,SUM($X$6:$X7)+1,"")</f>
        <v/>
      </c>
      <c r="Y8" s="37" t="str">
        <f t="shared" ref="Y8:Y30" si="1">IF($W8="","",$V8)</f>
        <v>TKT</v>
      </c>
      <c r="Z8" s="33" t="str">
        <f>IF($Y8="","",$Y8&amp;"/"&amp;COUNTIF($Y$7:$Y8,$Y8))</f>
        <v>TKT/2</v>
      </c>
      <c r="AA8" s="33" t="str">
        <f>IF($Z8="","",VLOOKUP($D8,TaskTimings[[Task]:[TSKLST]],11,0))</f>
        <v>Database Analysis from Old Project</v>
      </c>
      <c r="AB8" s="33">
        <f t="shared" ref="AB8:AB30" si="2">IF($AA8="",0,SUMIFS($H$7:$H$30,$D$7:$D$30,$Y8&amp;"/"&amp;$AA8))</f>
        <v>375.99999999999994</v>
      </c>
    </row>
    <row r="9" spans="1:28" x14ac:dyDescent="0.25">
      <c r="A9" s="14">
        <v>4</v>
      </c>
      <c r="B9" s="65"/>
      <c r="C9" s="68"/>
      <c r="D9" s="97" t="str">
        <f>IFERROR(VLOOKUP($A$1&amp;"/"&amp;$B$7&amp;"/"&amp;$A8,TaskTimings[[EmployeeDateSeqCode]:[Task]],2,0),"")</f>
        <v>TKT/Database Analysis from Old Project</v>
      </c>
      <c r="E9" s="97"/>
      <c r="F9" s="97"/>
      <c r="G9" s="97"/>
      <c r="H9" s="22">
        <f>IFERROR(VLOOKUP($A$1&amp;"/"&amp;$B$7&amp;"/"&amp;$A8,TaskTimings[[EmployeeDateSeqCode]:[Total Minutes]],7,0),0)</f>
        <v>119.99999999999989</v>
      </c>
      <c r="I9" s="86"/>
      <c r="J9" s="25"/>
      <c r="K9" s="30">
        <v>3</v>
      </c>
      <c r="L9" s="88" t="str">
        <f>IFERROR(VLOOKUP($K9,$X$7:$Y$30,2,0),"")</f>
        <v/>
      </c>
      <c r="M9" s="88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33" t="str">
        <f>IF($U9=0,"",VLOOKUP($D9,TaskTimings[[Task]:[PRJLST]],10,0))</f>
        <v/>
      </c>
      <c r="W9" s="14" t="str">
        <f>IF($V9="","",COUNTIF($V$7:$V9,$V9))</f>
        <v/>
      </c>
      <c r="X9" s="14" t="str">
        <f>IF($W9=1,SUM($X$6:$X8)+1,"")</f>
        <v/>
      </c>
      <c r="Y9" s="37" t="str">
        <f t="shared" si="1"/>
        <v/>
      </c>
      <c r="Z9" s="33" t="str">
        <f>IF($Y9="","",$Y9&amp;"/"&amp;COUNTIF($Y$7:$Y9,$Y9))</f>
        <v/>
      </c>
      <c r="AA9" s="33" t="str">
        <f>IF($Z9="","",VLOOKUP($D9,TaskTimings[[Task]:[TSKLST]],11,0))</f>
        <v/>
      </c>
      <c r="AB9" s="33">
        <f t="shared" si="2"/>
        <v>0</v>
      </c>
    </row>
    <row r="10" spans="1:28" x14ac:dyDescent="0.25">
      <c r="A10" s="14">
        <v>1</v>
      </c>
      <c r="B10" s="65"/>
      <c r="C10" s="68"/>
      <c r="D10" s="97" t="str">
        <f>IFERROR(VLOOKUP($A$1&amp;"/"&amp;$B$7&amp;"/"&amp;$A9,TaskTimings[[EmployeeDateSeqCode]:[Task]],2,0),"")</f>
        <v/>
      </c>
      <c r="E10" s="97"/>
      <c r="F10" s="97"/>
      <c r="G10" s="97"/>
      <c r="H10" s="22">
        <f>IFERROR(VLOOKUP($A$1&amp;"/"&amp;$B$7&amp;"/"&amp;$A9,TaskTimings[[EmployeeDateSeqCode]:[Total Minutes]],7,0),0)</f>
        <v>0</v>
      </c>
      <c r="I10" s="86"/>
      <c r="J10" s="25"/>
      <c r="K10" s="30">
        <v>4</v>
      </c>
      <c r="L10" s="88" t="str">
        <f>IFERROR(VLOOKUP($K10,$X$7:$Y$30,2,0),"")</f>
        <v/>
      </c>
      <c r="M10" s="88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98">
        <f>B7+1</f>
        <v>43431</v>
      </c>
      <c r="C11" s="68"/>
      <c r="D11" s="97" t="str">
        <f>IFERROR(VLOOKUP($A$1&amp;"/"&amp;$B$11&amp;"/"&amp;$A10,TaskTimings[[EmployeeDateSeqCode]:[Task]],2,0),"")</f>
        <v>TKT/Database Analysis from Old Project</v>
      </c>
      <c r="E11" s="97"/>
      <c r="F11" s="97"/>
      <c r="G11" s="97"/>
      <c r="H11" s="22">
        <f>IFERROR(VLOOKUP($A$1&amp;"/"&amp;$B$11&amp;"/"&amp;$A10,TaskTimings[[EmployeeDateSeqCode]:[Total Minutes]],7,0),0)</f>
        <v>135</v>
      </c>
      <c r="I11" s="86">
        <f t="shared" ref="I11" si="3">SUM(H11:H14)</f>
        <v>135</v>
      </c>
      <c r="J11" s="25"/>
      <c r="K11" s="31">
        <v>5</v>
      </c>
      <c r="L11" s="91" t="str">
        <f>IFERROR(VLOOKUP($K11,$X$7:$Y$30,2,0),"")</f>
        <v/>
      </c>
      <c r="M11" s="91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65"/>
      <c r="C12" s="68"/>
      <c r="D12" s="97" t="str">
        <f>IFERROR(VLOOKUP($A$1&amp;"/"&amp;$B$11&amp;"/"&amp;$A11,TaskTimings[[EmployeeDateSeqCode]:[Task]],2,0),"")</f>
        <v/>
      </c>
      <c r="E12" s="97"/>
      <c r="F12" s="97"/>
      <c r="G12" s="97"/>
      <c r="H12" s="22">
        <f>IFERROR(VLOOKUP($A$1&amp;"/"&amp;$B$11&amp;"/"&amp;$A11,TaskTimings[[EmployeeDateSeqCode]:[Total Minutes]],7,0),0)</f>
        <v>0</v>
      </c>
      <c r="I12" s="8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65"/>
      <c r="C13" s="68"/>
      <c r="D13" s="97" t="str">
        <f>IFERROR(VLOOKUP($A$1&amp;"/"&amp;$B$11&amp;"/"&amp;$A12,TaskTimings[[EmployeeDateSeqCode]:[Task]],2,0),"")</f>
        <v/>
      </c>
      <c r="E13" s="97"/>
      <c r="F13" s="97"/>
      <c r="G13" s="97"/>
      <c r="H13" s="22">
        <f>IFERROR(VLOOKUP($A$1&amp;"/"&amp;$B$11&amp;"/"&amp;$A12,TaskTimings[[EmployeeDateSeqCode]:[Total Minutes]],7,0),0)</f>
        <v>0</v>
      </c>
      <c r="I13" s="86"/>
      <c r="J13" s="25"/>
      <c r="K13" s="101" t="s">
        <v>46</v>
      </c>
      <c r="L13" s="101"/>
      <c r="M13" s="101"/>
      <c r="N13" s="10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65"/>
      <c r="C14" s="68"/>
      <c r="D14" s="97" t="str">
        <f>IFERROR(VLOOKUP($A$1&amp;"/"&amp;$B$11&amp;"/"&amp;$A13,TaskTimings[[EmployeeDateSeqCode]:[Task]],2,0),"")</f>
        <v/>
      </c>
      <c r="E14" s="97"/>
      <c r="F14" s="97"/>
      <c r="G14" s="97"/>
      <c r="H14" s="22">
        <f>IFERROR(VLOOKUP($A$1&amp;"/"&amp;$B$11&amp;"/"&amp;$A13,TaskTimings[[EmployeeDateSeqCode]:[Total Minutes]],7,0),0)</f>
        <v>0</v>
      </c>
      <c r="I14" s="86"/>
      <c r="J14" s="25"/>
      <c r="K14" s="102"/>
      <c r="L14" s="102"/>
      <c r="M14" s="102"/>
      <c r="N14" s="10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98">
        <f>B11+1</f>
        <v>43432</v>
      </c>
      <c r="C15" s="68"/>
      <c r="D15" s="97" t="str">
        <f>IFERROR(VLOOKUP($A$1&amp;"/"&amp;$B$15&amp;"/"&amp;$A14,TaskTimings[[EmployeeDateSeqCode]:[Task]],2,0),"")</f>
        <v>TKT/Note down table relations</v>
      </c>
      <c r="E15" s="97"/>
      <c r="F15" s="97"/>
      <c r="G15" s="97"/>
      <c r="H15" s="22">
        <f>IFERROR(VLOOKUP($A$1&amp;"/"&amp;$B$15&amp;"/"&amp;$A14,TaskTimings[[EmployeeDateSeqCode]:[Total Minutes]],7,0),0)</f>
        <v>380.00000000000011</v>
      </c>
      <c r="I15" s="86">
        <f t="shared" ref="I15" si="4">SUM(H15:H18)</f>
        <v>380.00000000000011</v>
      </c>
      <c r="J15" s="25"/>
      <c r="K15" s="93" t="s">
        <v>4</v>
      </c>
      <c r="L15" s="92"/>
      <c r="M15" s="92" t="s">
        <v>29</v>
      </c>
      <c r="N15" s="92"/>
      <c r="O15" s="92"/>
      <c r="P15" s="92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TKT</v>
      </c>
      <c r="W15" s="14">
        <f>IF($V15="","",COUNTIF($V$7:$V15,$V15))</f>
        <v>3</v>
      </c>
      <c r="X15" s="14" t="str">
        <f>IF($W15=1,SUM($X$6:$X14)+1,"")</f>
        <v/>
      </c>
      <c r="Y15" s="37" t="str">
        <f t="shared" si="1"/>
        <v>TKT</v>
      </c>
      <c r="Z15" s="33" t="str">
        <f>IF($Y15="","",$Y15&amp;"/"&amp;COUNTIF($Y$7:$Y15,$Y15))</f>
        <v>TKT/3</v>
      </c>
      <c r="AA15" s="33" t="str">
        <f>IF($Z15="","",VLOOKUP($D15,TaskTimings[[Task]:[TSKLST]],11,0))</f>
        <v>Note down table relations</v>
      </c>
      <c r="AB15" s="33">
        <f t="shared" si="2"/>
        <v>510.00000000000011</v>
      </c>
    </row>
    <row r="16" spans="1:28" x14ac:dyDescent="0.25">
      <c r="A16" s="14">
        <v>3</v>
      </c>
      <c r="B16" s="65"/>
      <c r="C16" s="68"/>
      <c r="D16" s="97" t="str">
        <f>IFERROR(VLOOKUP($A$1&amp;"/"&amp;$B$15&amp;"/"&amp;$A15,TaskTimings[[EmployeeDateSeqCode]:[Task]],2,0),"")</f>
        <v/>
      </c>
      <c r="E16" s="97"/>
      <c r="F16" s="97"/>
      <c r="G16" s="97"/>
      <c r="H16" s="22">
        <f>IFERROR(VLOOKUP($A$1&amp;"/"&amp;$B$15&amp;"/"&amp;$A15,TaskTimings[[EmployeeDateSeqCode]:[Total Minutes]],7,0),0)</f>
        <v>0</v>
      </c>
      <c r="I16" s="86"/>
      <c r="J16" s="28">
        <v>1</v>
      </c>
      <c r="K16" s="89" t="str">
        <f>VLOOKUP(1,$K$7:$M$11,2,0)</f>
        <v>TKT</v>
      </c>
      <c r="L16" s="69"/>
      <c r="M16" s="88" t="str">
        <f>IF($K$16="","",IFERROR(VLOOKUP($K$16&amp;"/"&amp;$J16,$Z$7:$AA$30,2,0),""))</f>
        <v>Discussion for ticketing modification</v>
      </c>
      <c r="N16" s="88"/>
      <c r="O16" s="88"/>
      <c r="P16" s="88"/>
      <c r="Q16" s="22">
        <f>IF($M16="","",SUMIFS($H$7:$H$30,$D$7:$D$30,$K$16&amp;"/"&amp;$M16))</f>
        <v>90</v>
      </c>
      <c r="R16" s="86">
        <f>SUM(Q16:Q19)</f>
        <v>1096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65"/>
      <c r="C17" s="68"/>
      <c r="D17" s="97" t="str">
        <f>IFERROR(VLOOKUP($A$1&amp;"/"&amp;$B$15&amp;"/"&amp;$A16,TaskTimings[[EmployeeDateSeqCode]:[Task]],2,0),"")</f>
        <v/>
      </c>
      <c r="E17" s="97"/>
      <c r="F17" s="97"/>
      <c r="G17" s="97"/>
      <c r="H17" s="22">
        <f>IFERROR(VLOOKUP($A$1&amp;"/"&amp;$B$15&amp;"/"&amp;$A16,TaskTimings[[EmployeeDateSeqCode]:[Total Minutes]],7,0),0)</f>
        <v>0</v>
      </c>
      <c r="I17" s="86"/>
      <c r="J17" s="28">
        <v>2</v>
      </c>
      <c r="K17" s="89"/>
      <c r="L17" s="69"/>
      <c r="M17" s="88" t="str">
        <f>IF($K$16="","",IFERROR(VLOOKUP($K$16&amp;"/"&amp;$J17,$Z$7:$AA$30,2,0),""))</f>
        <v>Database Analysis from Old Project</v>
      </c>
      <c r="N17" s="88"/>
      <c r="O17" s="88"/>
      <c r="P17" s="88"/>
      <c r="Q17" s="22">
        <f>IF($M17="","",SUMIFS($H$7:$H$30,$D$7:$D$30,$K$16&amp;"/"&amp;$M17))</f>
        <v>375.99999999999994</v>
      </c>
      <c r="R17" s="86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65"/>
      <c r="C18" s="68"/>
      <c r="D18" s="97" t="str">
        <f>IFERROR(VLOOKUP($A$1&amp;"/"&amp;$B$15&amp;"/"&amp;$A17,TaskTimings[[EmployeeDateSeqCode]:[Task]],2,0),"")</f>
        <v/>
      </c>
      <c r="E18" s="97"/>
      <c r="F18" s="97"/>
      <c r="G18" s="97"/>
      <c r="H18" s="22">
        <f>IFERROR(VLOOKUP($A$1&amp;"/"&amp;$B$15&amp;"/"&amp;$A17,TaskTimings[[EmployeeDateSeqCode]:[Total Minutes]],7,0),0)</f>
        <v>0</v>
      </c>
      <c r="I18" s="86"/>
      <c r="J18" s="28">
        <v>3</v>
      </c>
      <c r="K18" s="89"/>
      <c r="L18" s="69"/>
      <c r="M18" s="88" t="str">
        <f>IF($K$16="","",IFERROR(VLOOKUP($K$16&amp;"/"&amp;$J18,$Z$7:$AA$30,2,0),""))</f>
        <v>Note down table relations</v>
      </c>
      <c r="N18" s="88"/>
      <c r="O18" s="88"/>
      <c r="P18" s="88"/>
      <c r="Q18" s="22">
        <f>IF($M18="","",SUMIFS($H$7:$H$30,$D$7:$D$30,$K$16&amp;"/"&amp;$M18))</f>
        <v>510.00000000000011</v>
      </c>
      <c r="R18" s="86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98">
        <f>B15+1</f>
        <v>43433</v>
      </c>
      <c r="C19" s="68"/>
      <c r="D19" s="97" t="str">
        <f>IFERROR(VLOOKUP($A$1&amp;"/"&amp;$B$19&amp;"/"&amp;$A18,TaskTimings[[EmployeeDateSeqCode]:[Task]],2,0),"")</f>
        <v>TKT/Note down table relations</v>
      </c>
      <c r="E19" s="97"/>
      <c r="F19" s="97"/>
      <c r="G19" s="97"/>
      <c r="H19" s="22">
        <f>IFERROR(VLOOKUP($A$1&amp;"/"&amp;$B$19&amp;"/"&amp;$A18,TaskTimings[[EmployeeDateSeqCode]:[Total Minutes]],7,0),0)</f>
        <v>130.00000000000003</v>
      </c>
      <c r="I19" s="86">
        <f t="shared" ref="I19" si="5">SUM(H19:H22)</f>
        <v>250.00000000000009</v>
      </c>
      <c r="J19" s="28">
        <v>4</v>
      </c>
      <c r="K19" s="89"/>
      <c r="L19" s="69"/>
      <c r="M19" s="88" t="str">
        <f>IF($K$16="","",IFERROR(VLOOKUP($K$16&amp;"/"&amp;$J19,$Z$7:$AA$30,2,0),""))</f>
        <v>Entering table details into excel sheet</v>
      </c>
      <c r="N19" s="88"/>
      <c r="O19" s="88"/>
      <c r="P19" s="88"/>
      <c r="Q19" s="22">
        <f>IF($M19="","",SUMIFS($H$7:$H$30,$D$7:$D$30,$K$16&amp;"/"&amp;$M19))</f>
        <v>120.00000000000006</v>
      </c>
      <c r="R19" s="86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65"/>
      <c r="C20" s="68"/>
      <c r="D20" s="97" t="str">
        <f>IFERROR(VLOOKUP($A$1&amp;"/"&amp;$B$19&amp;"/"&amp;$A19,TaskTimings[[EmployeeDateSeqCode]:[Task]],2,0),"")</f>
        <v>TKT/Entering table details into excel sheet</v>
      </c>
      <c r="E20" s="97"/>
      <c r="F20" s="97"/>
      <c r="G20" s="97"/>
      <c r="H20" s="22">
        <f>IFERROR(VLOOKUP($A$1&amp;"/"&amp;$B$19&amp;"/"&amp;$A19,TaskTimings[[EmployeeDateSeqCode]:[Total Minutes]],7,0),0)</f>
        <v>120.00000000000006</v>
      </c>
      <c r="I20" s="86"/>
      <c r="J20" s="28">
        <v>1</v>
      </c>
      <c r="K20" s="89" t="str">
        <f>VLOOKUP(2,$K$7:$M$11,2,0)</f>
        <v/>
      </c>
      <c r="L20" s="69"/>
      <c r="M20" s="88" t="str">
        <f>IF($K$20="","",IFERROR(VLOOKUP($K$20&amp;"/"&amp;$J20,$Z$7:$AA$30,2,0),""))</f>
        <v/>
      </c>
      <c r="N20" s="88"/>
      <c r="O20" s="88"/>
      <c r="P20" s="88"/>
      <c r="Q20" s="22" t="str">
        <f>IF($M20="","",SUMIFS($H$7:$H$30,$D$7:$D$30,$K$20&amp;"/"&amp;$M20))</f>
        <v/>
      </c>
      <c r="R20" s="86">
        <f t="shared" ref="R20" si="6">SUM(Q20:Q23)</f>
        <v>0</v>
      </c>
      <c r="S20" s="25"/>
      <c r="T20" s="25"/>
      <c r="U20" s="14">
        <f>IF(COUNTIFS($D$6:$D20,D20)=1,1,0)</f>
        <v>1</v>
      </c>
      <c r="V20" s="33" t="str">
        <f>IF($U20=0,"",VLOOKUP($D20,TaskTimings[[Task]:[PRJLST]],10,0))</f>
        <v>TKT</v>
      </c>
      <c r="W20" s="14">
        <f>IF($V20="","",COUNTIF($V$7:$V20,$V20))</f>
        <v>4</v>
      </c>
      <c r="X20" s="14" t="str">
        <f>IF($W20=1,SUM($X$6:$X19)+1,"")</f>
        <v/>
      </c>
      <c r="Y20" s="37" t="str">
        <f t="shared" si="1"/>
        <v>TKT</v>
      </c>
      <c r="Z20" s="33" t="str">
        <f>IF($Y20="","",$Y20&amp;"/"&amp;COUNTIF($Y$7:$Y20,$Y20))</f>
        <v>TKT/4</v>
      </c>
      <c r="AA20" s="33" t="str">
        <f>IF($Z20="","",VLOOKUP($D20,TaskTimings[[Task]:[TSKLST]],11,0))</f>
        <v>Entering table details into excel sheet</v>
      </c>
      <c r="AB20" s="33">
        <f t="shared" si="2"/>
        <v>120.00000000000006</v>
      </c>
    </row>
    <row r="21" spans="1:28" x14ac:dyDescent="0.25">
      <c r="A21" s="14">
        <v>4</v>
      </c>
      <c r="B21" s="65"/>
      <c r="C21" s="68"/>
      <c r="D21" s="97" t="str">
        <f>IFERROR(VLOOKUP($A$1&amp;"/"&amp;$B$19&amp;"/"&amp;$A20,TaskTimings[[EmployeeDateSeqCode]:[Task]],2,0),"")</f>
        <v/>
      </c>
      <c r="E21" s="97"/>
      <c r="F21" s="97"/>
      <c r="G21" s="97"/>
      <c r="H21" s="22">
        <f>IFERROR(VLOOKUP($A$1&amp;"/"&amp;$B$19&amp;"/"&amp;$A20,TaskTimings[[EmployeeDateSeqCode]:[Total Minutes]],7,0),0)</f>
        <v>0</v>
      </c>
      <c r="I21" s="86"/>
      <c r="J21" s="28">
        <v>2</v>
      </c>
      <c r="K21" s="89"/>
      <c r="L21" s="69"/>
      <c r="M21" s="88" t="str">
        <f>IF($K$20="","",IFERROR(VLOOKUP($K$20&amp;"/"&amp;$J21,$Z$7:$AA$30,2,0),""))</f>
        <v/>
      </c>
      <c r="N21" s="88"/>
      <c r="O21" s="88"/>
      <c r="P21" s="88"/>
      <c r="Q21" s="22" t="str">
        <f>IF($M21="","",SUMIFS($H$7:$H$30,$D$7:$D$30,$K$20&amp;"/"&amp;$M21))</f>
        <v/>
      </c>
      <c r="R21" s="86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65"/>
      <c r="C22" s="68"/>
      <c r="D22" s="97" t="str">
        <f>IFERROR(VLOOKUP($A$1&amp;"/"&amp;$B$19&amp;"/"&amp;$A21,TaskTimings[[EmployeeDateSeqCode]:[Task]],2,0),"")</f>
        <v/>
      </c>
      <c r="E22" s="97"/>
      <c r="F22" s="97"/>
      <c r="G22" s="97"/>
      <c r="H22" s="22">
        <f>IFERROR(VLOOKUP($A$1&amp;"/"&amp;$B$19&amp;"/"&amp;$A21,TaskTimings[[EmployeeDateSeqCode]:[Total Minutes]],7,0),0)</f>
        <v>0</v>
      </c>
      <c r="I22" s="86"/>
      <c r="J22" s="28">
        <v>3</v>
      </c>
      <c r="K22" s="89"/>
      <c r="L22" s="69"/>
      <c r="M22" s="88" t="str">
        <f>IF($K$20="","",IFERROR(VLOOKUP($K$20&amp;"/"&amp;$J22,$Z$7:$AA$30,2,0),""))</f>
        <v/>
      </c>
      <c r="N22" s="88"/>
      <c r="O22" s="88"/>
      <c r="P22" s="88"/>
      <c r="Q22" s="22" t="str">
        <f>IF($M22="","",SUMIFS($H$7:$H$30,$D$7:$D$30,$K$20&amp;"/"&amp;$M22))</f>
        <v/>
      </c>
      <c r="R22" s="86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98">
        <f>B19+1</f>
        <v>43434</v>
      </c>
      <c r="C23" s="68"/>
      <c r="D23" s="97" t="str">
        <f>IFERROR(VLOOKUP($A$1&amp;"/"&amp;$B$23&amp;"/"&amp;$A22,TaskTimings[[EmployeeDateSeqCode]:[Task]],2,0),"")</f>
        <v/>
      </c>
      <c r="E23" s="97"/>
      <c r="F23" s="97"/>
      <c r="G23" s="97"/>
      <c r="H23" s="22">
        <f>IFERROR(VLOOKUP($A$1&amp;"/"&amp;$B$23&amp;"/"&amp;$A22,TaskTimings[[EmployeeDateSeqCode]:[Total Minutes]],7,0),0)</f>
        <v>0</v>
      </c>
      <c r="I23" s="86">
        <f t="shared" ref="I23" si="7">SUM(H23:H26)</f>
        <v>0</v>
      </c>
      <c r="J23" s="28">
        <v>4</v>
      </c>
      <c r="K23" s="89"/>
      <c r="L23" s="69"/>
      <c r="M23" s="88" t="str">
        <f>IF($K$20="","",IFERROR(VLOOKUP($K$20&amp;"/"&amp;$J23,$Z$7:$AA$30,2,0),""))</f>
        <v/>
      </c>
      <c r="N23" s="88"/>
      <c r="O23" s="88"/>
      <c r="P23" s="88"/>
      <c r="Q23" s="22" t="str">
        <f>IF($M23="","",SUMIFS($H$7:$H$30,$D$7:$D$30,$K$20&amp;"/"&amp;$M23))</f>
        <v/>
      </c>
      <c r="R23" s="86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65"/>
      <c r="C24" s="68"/>
      <c r="D24" s="97" t="str">
        <f>IFERROR(VLOOKUP($A$1&amp;"/"&amp;$B$23&amp;"/"&amp;$A23,TaskTimings[[EmployeeDateSeqCode]:[Task]],2,0),"")</f>
        <v/>
      </c>
      <c r="E24" s="97"/>
      <c r="F24" s="97"/>
      <c r="G24" s="97"/>
      <c r="H24" s="22">
        <f>IFERROR(VLOOKUP($A$1&amp;"/"&amp;$B$23&amp;"/"&amp;$A23,TaskTimings[[EmployeeDateSeqCode]:[Total Minutes]],7,0),0)</f>
        <v>0</v>
      </c>
      <c r="I24" s="86"/>
      <c r="J24" s="28">
        <v>1</v>
      </c>
      <c r="K24" s="89" t="str">
        <f>VLOOKUP(3,$K$7:$M$11,2,0)</f>
        <v/>
      </c>
      <c r="L24" s="69"/>
      <c r="M24" s="88" t="str">
        <f>IF($K$24="","",IFERROR(VLOOKUP($K$24&amp;"/"&amp;$J24,$Z$7:$AA$30,2,0),""))</f>
        <v/>
      </c>
      <c r="N24" s="88"/>
      <c r="O24" s="88"/>
      <c r="P24" s="88"/>
      <c r="Q24" s="22" t="str">
        <f>IF($M24="","",SUMIFS($H$7:$H$30,$D$7:$D$30,$K$24&amp;"/"&amp;$M24))</f>
        <v/>
      </c>
      <c r="R24" s="86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65"/>
      <c r="C25" s="68"/>
      <c r="D25" s="97" t="str">
        <f>IFERROR(VLOOKUP($A$1&amp;"/"&amp;$B$23&amp;"/"&amp;$A24,TaskTimings[[EmployeeDateSeqCode]:[Task]],2,0),"")</f>
        <v/>
      </c>
      <c r="E25" s="97"/>
      <c r="F25" s="97"/>
      <c r="G25" s="97"/>
      <c r="H25" s="22">
        <f>IFERROR(VLOOKUP($A$1&amp;"/"&amp;$B$23&amp;"/"&amp;$A24,TaskTimings[[EmployeeDateSeqCode]:[Total Minutes]],7,0),0)</f>
        <v>0</v>
      </c>
      <c r="I25" s="86"/>
      <c r="J25" s="28">
        <v>2</v>
      </c>
      <c r="K25" s="89"/>
      <c r="L25" s="69"/>
      <c r="M25" s="88" t="str">
        <f>IF($K$24="","",IFERROR(VLOOKUP($K$24&amp;"/"&amp;$J25,$Z$7:$AA$30,2,0),""))</f>
        <v/>
      </c>
      <c r="N25" s="88"/>
      <c r="O25" s="88"/>
      <c r="P25" s="88"/>
      <c r="Q25" s="22" t="str">
        <f>IF($M25="","",SUMIFS($H$7:$H$30,$D$7:$D$30,$K$24&amp;"/"&amp;$M25))</f>
        <v/>
      </c>
      <c r="R25" s="86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65"/>
      <c r="C26" s="68"/>
      <c r="D26" s="97" t="str">
        <f>IFERROR(VLOOKUP($A$1&amp;"/"&amp;$B$23&amp;"/"&amp;$A25,TaskTimings[[EmployeeDateSeqCode]:[Task]],2,0),"")</f>
        <v/>
      </c>
      <c r="E26" s="97"/>
      <c r="F26" s="97"/>
      <c r="G26" s="97"/>
      <c r="H26" s="22">
        <f>IFERROR(VLOOKUP($A$1&amp;"/"&amp;$B$23&amp;"/"&amp;$A25,TaskTimings[[EmployeeDateSeqCode]:[Total Minutes]],7,0),0)</f>
        <v>0</v>
      </c>
      <c r="I26" s="86"/>
      <c r="J26" s="28">
        <v>3</v>
      </c>
      <c r="K26" s="89"/>
      <c r="L26" s="69"/>
      <c r="M26" s="88" t="str">
        <f>IF($K$24="","",IFERROR(VLOOKUP($K$24&amp;"/"&amp;$J26,$Z$7:$AA$30,2,0),""))</f>
        <v/>
      </c>
      <c r="N26" s="88"/>
      <c r="O26" s="88"/>
      <c r="P26" s="88"/>
      <c r="Q26" s="22" t="str">
        <f>IF($M26="","",SUMIFS($H$7:$H$30,$D$7:$D$30,$K$24&amp;"/"&amp;$M26))</f>
        <v/>
      </c>
      <c r="R26" s="86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98">
        <f>B23+1</f>
        <v>43435</v>
      </c>
      <c r="C27" s="68"/>
      <c r="D27" s="97" t="str">
        <f>IFERROR(VLOOKUP($A$1&amp;"/"&amp;$B$27&amp;"/"&amp;$A26,TaskTimings[[EmployeeDateSeqCode]:[Task]],2,0),"")</f>
        <v/>
      </c>
      <c r="E27" s="97"/>
      <c r="F27" s="97"/>
      <c r="G27" s="97"/>
      <c r="H27" s="22">
        <f>IFERROR(VLOOKUP($A$1&amp;"/"&amp;$B$27&amp;"/"&amp;$A26,TaskTimings[[EmployeeDateSeqCode]:[Total Minutes]],7,0),0)</f>
        <v>0</v>
      </c>
      <c r="I27" s="86">
        <f t="shared" ref="I27" si="9">SUM(H27:H30)</f>
        <v>0</v>
      </c>
      <c r="J27" s="28">
        <v>4</v>
      </c>
      <c r="K27" s="89"/>
      <c r="L27" s="69"/>
      <c r="M27" s="88" t="str">
        <f>IF($K$24="","",IFERROR(VLOOKUP($K$24&amp;"/"&amp;$J27,$Z$7:$AA$30,2,0),""))</f>
        <v/>
      </c>
      <c r="N27" s="88"/>
      <c r="O27" s="88"/>
      <c r="P27" s="88"/>
      <c r="Q27" s="22" t="str">
        <f>IF($M27="","",SUMIFS($H$7:$H$30,$D$7:$D$30,$K$24&amp;"/"&amp;$M27))</f>
        <v/>
      </c>
      <c r="R27" s="86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65"/>
      <c r="C28" s="68"/>
      <c r="D28" s="97" t="str">
        <f>IFERROR(VLOOKUP($A$1&amp;"/"&amp;$B$27&amp;"/"&amp;$A27,TaskTimings[[EmployeeDateSeqCode]:[Task]],2,0),"")</f>
        <v/>
      </c>
      <c r="E28" s="97"/>
      <c r="F28" s="97"/>
      <c r="G28" s="97"/>
      <c r="H28" s="22">
        <f>IFERROR(VLOOKUP($A$1&amp;"/"&amp;$B$27&amp;"/"&amp;$A27,TaskTimings[[EmployeeDateSeqCode]:[Total Minutes]],7,0),0)</f>
        <v>0</v>
      </c>
      <c r="I28" s="86"/>
      <c r="J28" s="28">
        <v>1</v>
      </c>
      <c r="K28" s="89" t="str">
        <f>VLOOKUP(4,$K$7:$M$11,2,0)</f>
        <v/>
      </c>
      <c r="L28" s="69"/>
      <c r="M28" s="88" t="str">
        <f>IF($K$28="","",IFERROR(VLOOKUP($K$28&amp;"/"&amp;$J28,$Z$7:$AA$30,2,0),""))</f>
        <v/>
      </c>
      <c r="N28" s="88"/>
      <c r="O28" s="88"/>
      <c r="P28" s="88"/>
      <c r="Q28" s="22" t="str">
        <f>IF($M28="","",SUMIFS($H$7:$H$30,$D$7:$D$30,$K$28&amp;"/"&amp;$M28))</f>
        <v/>
      </c>
      <c r="R28" s="86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65"/>
      <c r="C29" s="68"/>
      <c r="D29" s="97" t="str">
        <f>IFERROR(VLOOKUP($A$1&amp;"/"&amp;$B$27&amp;"/"&amp;$A28,TaskTimings[[EmployeeDateSeqCode]:[Task]],2,0),"")</f>
        <v/>
      </c>
      <c r="E29" s="97"/>
      <c r="F29" s="97"/>
      <c r="G29" s="97"/>
      <c r="H29" s="22">
        <f>IFERROR(VLOOKUP($A$1&amp;"/"&amp;$B$27&amp;"/"&amp;$A28,TaskTimings[[EmployeeDateSeqCode]:[Total Minutes]],7,0),0)</f>
        <v>0</v>
      </c>
      <c r="I29" s="86"/>
      <c r="J29" s="28">
        <v>2</v>
      </c>
      <c r="K29" s="89"/>
      <c r="L29" s="69"/>
      <c r="M29" s="88" t="str">
        <f>IF($K$28="","",IFERROR(VLOOKUP($K$28&amp;"/"&amp;$J29,$Z$7:$AA$30,2,0),""))</f>
        <v/>
      </c>
      <c r="N29" s="88"/>
      <c r="O29" s="88"/>
      <c r="P29" s="88"/>
      <c r="Q29" s="22" t="str">
        <f>IF($M29="","",SUMIFS($H$7:$H$30,$D$7:$D$30,$K$28&amp;"/"&amp;$M29))</f>
        <v/>
      </c>
      <c r="R29" s="86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99"/>
      <c r="C30" s="100"/>
      <c r="D30" s="95" t="str">
        <f>IFERROR(VLOOKUP($A$1&amp;"/"&amp;$B$27&amp;"/"&amp;$A29,TaskTimings[[EmployeeDateSeqCode]:[Task]],2,0),"")</f>
        <v/>
      </c>
      <c r="E30" s="95"/>
      <c r="F30" s="95"/>
      <c r="G30" s="95"/>
      <c r="H30" s="24">
        <f>IFERROR(VLOOKUP($A$1&amp;"/"&amp;$B$27&amp;"/"&amp;$A29,TaskTimings[[EmployeeDateSeqCode]:[Total Minutes]],7,0),0)</f>
        <v>0</v>
      </c>
      <c r="I30" s="87"/>
      <c r="J30" s="28">
        <v>3</v>
      </c>
      <c r="K30" s="89"/>
      <c r="L30" s="69"/>
      <c r="M30" s="88" t="str">
        <f>IF($K$28="","",IFERROR(VLOOKUP($K$28&amp;"/"&amp;$J30,$Z$7:$AA$30,2,0),""))</f>
        <v/>
      </c>
      <c r="N30" s="88"/>
      <c r="O30" s="88"/>
      <c r="P30" s="88"/>
      <c r="Q30" s="22" t="str">
        <f>IF($M30="","",SUMIFS($H$7:$H$30,$D$7:$D$30,$K$28&amp;"/"&amp;$M30))</f>
        <v/>
      </c>
      <c r="R30" s="86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89"/>
      <c r="L31" s="69"/>
      <c r="M31" s="88" t="str">
        <f>IF($K$28="","",IFERROR(VLOOKUP($K$28&amp;"/"&amp;$J31,$Z$7:$AA$30,2,0),""))</f>
        <v/>
      </c>
      <c r="N31" s="88"/>
      <c r="O31" s="88"/>
      <c r="P31" s="88"/>
      <c r="Q31" s="22" t="str">
        <f>IF($M31="","",SUMIFS($H$7:$H$30,$D$7:$D$30,$K$28&amp;"/"&amp;$M31))</f>
        <v/>
      </c>
      <c r="R31" s="86"/>
    </row>
    <row r="32" spans="1:28" x14ac:dyDescent="0.25">
      <c r="J32" s="28">
        <v>1</v>
      </c>
      <c r="K32" s="89" t="str">
        <f>VLOOKUP(5,$K$7:$M$11,2,0)</f>
        <v/>
      </c>
      <c r="L32" s="69"/>
      <c r="M32" s="88" t="str">
        <f>IF($K$32="","",IFERROR(VLOOKUP($K$32&amp;"/"&amp;$J32,$Z$7:$AA$30,2,0),""))</f>
        <v/>
      </c>
      <c r="N32" s="88"/>
      <c r="O32" s="88"/>
      <c r="P32" s="88"/>
      <c r="Q32" s="22" t="str">
        <f>IF($M32="","",SUMIFS($H$7:$H$30,$D$7:$D$30,$K$32&amp;"/"&amp;$M32))</f>
        <v/>
      </c>
      <c r="R32" s="86">
        <f t="shared" ref="R32" si="11">SUM(Q32:Q35)</f>
        <v>0</v>
      </c>
    </row>
    <row r="33" spans="10:18" x14ac:dyDescent="0.25">
      <c r="J33" s="28">
        <v>2</v>
      </c>
      <c r="K33" s="89"/>
      <c r="L33" s="69"/>
      <c r="M33" s="88" t="str">
        <f>IF($K$32="","",IFERROR(VLOOKUP($K$32&amp;"/"&amp;$J33,$Z$7:$AA$30,2,0),""))</f>
        <v/>
      </c>
      <c r="N33" s="88"/>
      <c r="O33" s="88"/>
      <c r="P33" s="88"/>
      <c r="Q33" s="22" t="str">
        <f>IF($M33="","",SUMIFS($H$7:$H$30,$D$7:$D$30,$K$32&amp;"/"&amp;$M33))</f>
        <v/>
      </c>
      <c r="R33" s="86"/>
    </row>
    <row r="34" spans="10:18" x14ac:dyDescent="0.25">
      <c r="J34" s="28">
        <v>3</v>
      </c>
      <c r="K34" s="89"/>
      <c r="L34" s="69"/>
      <c r="M34" s="88" t="str">
        <f>IF($K$32="","",IFERROR(VLOOKUP($K$32&amp;"/"&amp;$J34,$Z$7:$AA$30,2,0),""))</f>
        <v/>
      </c>
      <c r="N34" s="88"/>
      <c r="O34" s="88"/>
      <c r="P34" s="88"/>
      <c r="Q34" s="22" t="str">
        <f>IF($M34="","",SUMIFS($H$7:$H$30,$D$7:$D$30,$K$32&amp;"/"&amp;$M34))</f>
        <v/>
      </c>
      <c r="R34" s="86"/>
    </row>
    <row r="35" spans="10:18" ht="15.75" thickBot="1" x14ac:dyDescent="0.3">
      <c r="J35" s="28">
        <v>4</v>
      </c>
      <c r="K35" s="90"/>
      <c r="L35" s="75"/>
      <c r="M35" s="91" t="str">
        <f>IF($K$32="","",IFERROR(VLOOKUP($K$32&amp;"/"&amp;$J35,$Z$7:$AA$30,2,0),""))</f>
        <v/>
      </c>
      <c r="N35" s="91"/>
      <c r="O35" s="91"/>
      <c r="P35" s="91"/>
      <c r="Q35" s="24" t="str">
        <f>IF($M35="","",SUMIFS($H$7:$H$30,$D$7:$D$30,$K$32&amp;"/"&amp;$M35))</f>
        <v/>
      </c>
      <c r="R35" s="8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2018-11-29T10:17:00Z</dcterms:modified>
</cp:coreProperties>
</file>