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50" i="4" l="1"/>
  <c r="B50" i="4"/>
  <c r="P50" i="4" s="1"/>
  <c r="C50" i="4"/>
  <c r="Q50" i="4" s="1"/>
  <c r="D50" i="4"/>
  <c r="L50" i="4"/>
  <c r="M50" i="4"/>
  <c r="N50" i="4"/>
  <c r="O50" i="4" s="1"/>
  <c r="A49" i="4"/>
  <c r="B49" i="4"/>
  <c r="P49" i="4" s="1"/>
  <c r="C49" i="4"/>
  <c r="Q49" i="4" s="1"/>
  <c r="D49" i="4"/>
  <c r="L49" i="4"/>
  <c r="M49" i="4"/>
  <c r="N49" i="4"/>
  <c r="O49" i="4" s="1"/>
  <c r="A26" i="2" l="1"/>
  <c r="C26" i="2"/>
  <c r="E26" i="2"/>
  <c r="F26" i="2"/>
  <c r="G26" i="2"/>
  <c r="A48" i="4"/>
  <c r="D48" i="4"/>
  <c r="L48" i="4"/>
  <c r="M48" i="4"/>
  <c r="N48" i="4"/>
  <c r="O48" i="4" s="1"/>
  <c r="A47" i="4" l="1"/>
  <c r="D47" i="4"/>
  <c r="L47" i="4"/>
  <c r="M47" i="4"/>
  <c r="N47" i="4"/>
  <c r="O47" i="4" s="1"/>
  <c r="A46" i="4" l="1"/>
  <c r="D46" i="4"/>
  <c r="L46" i="4"/>
  <c r="M46" i="4"/>
  <c r="N46" i="4"/>
  <c r="O46" i="4" s="1"/>
  <c r="D45" i="4"/>
  <c r="L45" i="4"/>
  <c r="M45" i="4"/>
  <c r="N45" i="4"/>
  <c r="O45" i="4" s="1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N40" i="4"/>
  <c r="O40" i="4" s="1"/>
  <c r="D39" i="4"/>
  <c r="L39" i="4"/>
  <c r="M39" i="4"/>
  <c r="N39" i="4"/>
  <c r="O39" i="4" s="1"/>
  <c r="N43" i="4" l="1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D2" i="4"/>
  <c r="E50" i="4" s="1"/>
  <c r="F50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E48" i="4" l="1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Y12" i="6"/>
  <c r="X12" i="6"/>
  <c r="Y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1" i="6" l="1"/>
  <c r="X15" i="6" s="1"/>
  <c r="Z11" i="6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X25" i="6" l="1"/>
  <c r="W28" i="6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Z30" i="6" s="1"/>
  <c r="AA30" i="6" s="1"/>
  <c r="AB30" i="6" s="1"/>
  <c r="L7" i="6"/>
  <c r="L9" i="6"/>
  <c r="L11" i="6"/>
  <c r="L10" i="6"/>
  <c r="L8" i="6"/>
  <c r="N7" i="6" l="1"/>
  <c r="N9" i="6"/>
  <c r="N10" i="6"/>
  <c r="N11" i="6"/>
  <c r="N8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<sst xmlns="http://schemas.openxmlformats.org/spreadsheetml/2006/main" count="227" uniqueCount="96">
  <si>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</si>
  <si>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</si>
  <si>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</si>
  <si>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</si>
  <si>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</si>
  <si>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</si>
  <si>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</si>
  <si>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</si>
  <si>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</si>
  <si>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</si>
  <si>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</si>
  <si>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</si>
  <si>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</si>
  <si>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</si>
  <si>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</si>
  <si>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</si>
  <si>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</si>
  <si>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</si>
  <si>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</si>
  <si>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</si>
  <si>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</si>
  <si>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</si>
  <si>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</si>
  <si>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</si>
  <si>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</si>
  <si>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</si>
  <si>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</si>
  <si>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</si>
  <si>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</si>
  <si>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</si>
  <si>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</si>
  <si>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</si>
  <si>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</si>
  <si>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</si>
  <si>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</si>
  <si>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</si>
  <si>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</si>
  <si>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</si>
  <si>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</si>
  <si>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</si>
  <si>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</si>
  <si>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</si>
  <si>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</si>
  <si>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</si>
  <si>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</si>
  <si>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</si>
  <si>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</si>
  <si>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</si>
  <si>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</si>
  <si>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</si>
  <si>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</si>
  <si>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</si>
  <si>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</si>
  <si>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</si>
  <si>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</si>
  <si>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</si>
  <si>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</si>
  <si>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</si>
  <si>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</si>
  <si>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</si>
  <si>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</si>
  <si>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</si>
  <si>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</si>
  <si>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</si>
  <si>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</si>
  <si>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</si>
  <si>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</si>
  <si>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</si>
  <si>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</si>
  <si>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</si>
  <si>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</si>
  <si>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</si>
  <si>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</si>
  <si>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</si>
  <si>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</si>
  <si>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</si>
  <si>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</si>
  <si>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</si>
  <si>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</si>
  <si>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</si>
  <si>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</si>
  <si>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</si>
  <si>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</si>
  <si>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</si>
  <si>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</si>
  <si>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</si>
  <si>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</si>
  <si>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</si>
  <si>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</si>
  <si>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</si>
  <si>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</si>
  <si>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</si>
  <si>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</si>
  <si>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</si>
  <si>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Package Creation</t>
  </si>
  <si>
    <t>TKT/Package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</si>
</sst>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180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4299312"/>
        <c:axId val="154295504"/>
      </c:barChart>
      <c:catAx>
        <c:axId val="15429931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295504"/>
        <c:crosses val="autoZero"/>
        <c:auto val="1"/>
        <c:lblAlgn val="ctr"/>
        <c:lblOffset val="100"/>
        <c:noMultiLvlLbl val="0"/>
      </c:catAx>
      <c:valAx>
        <c:axId val="1542955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29931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180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54291152"/>
        <c:axId val="154292240"/>
      </c:barChart>
      <c:catAx>
        <c:axId val="15429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292240"/>
        <c:crosses val="autoZero"/>
        <c:auto val="1"/>
        <c:lblAlgn val="ctr"/>
        <c:lblOffset val="100"/>
        <c:noMultiLvlLbl val="0"/>
      </c:catAx>
      <c:valAx>
        <c:axId val="15429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2911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180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810.00000000000023</c:v>
                </c:pt>
                <c:pt idx="7">
                  <c:v>180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048"/>
        <c:axId val="154292784"/>
      </c:areaChart>
      <c:catAx>
        <c:axId val="154296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292784"/>
        <c:crosses val="autoZero"/>
        <c:auto val="1"/>
        <c:lblAlgn val="ctr"/>
        <c:lblOffset val="100"/>
        <c:noMultiLvlLbl val="0"/>
      </c:catAx>
      <c:valAx>
        <c:axId val="154292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29604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2E-2"/>
          <c:y val="0"/>
          <c:w val="0.70026343258816925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1966.0000000000002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1636.0000000000002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510.00000000000011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660.00000000000023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54288976"/>
        <c:axId val="154284080"/>
      </c:barChart>
      <c:catAx>
        <c:axId val="154288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284080"/>
        <c:crosses val="autoZero"/>
        <c:auto val="1"/>
        <c:lblAlgn val="ctr"/>
        <c:lblOffset val="100"/>
        <c:noMultiLvlLbl val="0"/>
      </c:catAx>
      <c:valAx>
        <c:axId val="15428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288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330.99999999999994</c:v>
                </c:pt>
                <c:pt idx="1">
                  <c:v>135</c:v>
                </c:pt>
                <c:pt idx="2">
                  <c:v>380.00000000000011</c:v>
                </c:pt>
                <c:pt idx="3">
                  <c:v>250.00000000000009</c:v>
                </c:pt>
                <c:pt idx="4">
                  <c:v>389.99999999999989</c:v>
                </c:pt>
                <c:pt idx="5">
                  <c:v>210.00000000000014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54289520"/>
        <c:axId val="154284624"/>
      </c:barChart>
      <c:dateAx>
        <c:axId val="154289520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284624"/>
        <c:crosses val="autoZero"/>
        <c:auto val="1"/>
        <c:lblOffset val="100"/>
        <c:baseTimeUnit val="days"/>
      </c:dateAx>
      <c:valAx>
        <c:axId val="154284624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4289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6" totalsRowShown="0" headerRowDxfId="31" dataDxfId="30">
  <autoFilter ref="A1:G26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50" totalsRowShown="0" headerRowDxfId="18" dataDxfId="17">
  <autoFilter ref="A1:Q50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0" workbookViewId="0">
      <selection activeCell="D23" sqref="D23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 t="shared" ref="A21:A26" si="3"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 t="shared" si="3"/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 t="shared" si="3"/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 t="shared" si="3"/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  <row r="25" spans="1:7" x14ac:dyDescent="0.25">
      <c r="A25" s="63">
        <f t="shared" si="3"/>
        <v>24</v>
      </c>
      <c r="B25" s="65" t="s">
        <v>10</v>
      </c>
      <c r="C25" s="64" t="str">
        <f>ProjectTasks[[#This Row],[Project]]&amp;"-"&amp;COUNTIF($B$1:ProjectTasks[[#This Row],[Project]],ProjectTasks[[#This Row],[Project]])</f>
        <v>TEEBPD-8</v>
      </c>
      <c r="D25" s="65" t="s">
        <v>92</v>
      </c>
      <c r="E25" s="69" t="str">
        <f>CONCATENATE(ProjectTasks[Project],"/",ProjectTasks[Task])</f>
        <v>TEEBPD/Synchronization Implementing</v>
      </c>
      <c r="F25" s="69" t="str">
        <f>ProjectTasks[Project]</f>
        <v>TEEBPD</v>
      </c>
      <c r="G25" s="69" t="str">
        <f>ProjectTasks[Task]</f>
        <v>Synchronization Implementing</v>
      </c>
    </row>
    <row r="26" spans="1:7" x14ac:dyDescent="0.25">
      <c r="A26" s="55">
        <f t="shared" si="3"/>
        <v>25</v>
      </c>
      <c r="B26" s="65" t="s">
        <v>48</v>
      </c>
      <c r="C26" s="56" t="str">
        <f>ProjectTasks[[#This Row],[Project]]&amp;"-"&amp;COUNTIF($B$1:ProjectTasks[[#This Row],[Project]],ProjectTasks[[#This Row],[Project]])</f>
        <v>TKT-7</v>
      </c>
      <c r="D26" s="57" t="s">
        <v>94</v>
      </c>
      <c r="E26" s="61" t="str">
        <f>CONCATENATE(ProjectTasks[Project],"/",ProjectTasks[Task])</f>
        <v>TKT/Package Creation</v>
      </c>
      <c r="F26" s="61" t="str">
        <f>ProjectTasks[Project]</f>
        <v>TKT</v>
      </c>
      <c r="G26" s="61" t="str">
        <f>ProjectTasks[Task]</f>
        <v>Package Creation</v>
      </c>
    </row>
  </sheetData>
  <dataValidations count="1">
    <dataValidation type="list" allowBlank="1" showInputMessage="1" showErrorMessage="1" sqref="B2:B26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A37" workbookViewId="0">
      <selection activeCell="K51" sqref="K51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375.00000000000011</v>
      </c>
      <c r="O34" s="60" t="str">
        <f>TEXT(TaskTimings[Day Total Minutes]/1440,"HH:mm")</f>
        <v>06:15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375.00000000000011</v>
      </c>
      <c r="O35" s="60" t="str">
        <f>TEXT(TaskTimings[Day Total Minutes]/1440,"HH:mm")</f>
        <v>06:15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375.00000000000011</v>
      </c>
      <c r="O36" s="60" t="str">
        <f>TEXT(TaskTimings[Day Total Minutes]/1440,"HH:mm")</f>
        <v>06:15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(TaskTimings[End Time]-TaskTimings[Start Time])*1440</f>
        <v>80.000000000000028</v>
      </c>
      <c r="M37" s="60" t="str">
        <f>TEXT(TaskTimings[End Time]-TaskTimings[Start Time],"HH:mm")</f>
        <v>01:20</v>
      </c>
      <c r="N37" s="60">
        <f>SUMIFS(TaskTimings[Total Minutes],TaskTimings[Date],TaskTimings[Date],TaskTimings[Employee],TaskTimings[Employee])</f>
        <v>375.00000000000011</v>
      </c>
      <c r="O37" s="60" t="str">
        <f>TEXT(TaskTimings[Day Total Minutes]/1440,"HH:mm")</f>
        <v>06:15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 t="shared" ref="A38:A44" si="2"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3">
        <f t="shared" si="2"/>
        <v>40</v>
      </c>
      <c r="B41" s="56" t="str">
        <f>VLOOKUP(TaskTimings[Task],ProjectTasks[[TaskProjectCode]:[TSK]],2,0)</f>
        <v>SDS</v>
      </c>
      <c r="C41" s="56" t="str">
        <f>VLOOKUP(TaskTimings[Task],ProjectTasks[[TaskProjectCode]:[TSK]],3,0)</f>
        <v>Stage 2</v>
      </c>
      <c r="D41" s="56" t="str">
        <f>TaskTimings[Employee]&amp;"/"&amp;TaskTimings[Date]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77">
        <v>0.40625</v>
      </c>
      <c r="K41" s="71">
        <v>0.48958333333333331</v>
      </c>
      <c r="L41" s="60">
        <f>(TaskTimings[End Time]-TaskTimings[Start Time])*1440</f>
        <v>119.99999999999997</v>
      </c>
      <c r="M41" s="60" t="str">
        <f>TEXT(TaskTimings[End Time]-TaskTimings[Start Time],"HH:mm")</f>
        <v>02:00</v>
      </c>
      <c r="N41" s="60">
        <f>SUMIFS(TaskTimings[Total Minutes],TaskTimings[Date],TaskTimings[Date],TaskTimings[Employee],TaskTimings[Employee])</f>
        <v>352.99999999999994</v>
      </c>
      <c r="O41" s="60" t="str">
        <f>TEXT(TaskTimings[Day Total Minutes]/1440,"HH:mm")</f>
        <v>05:53</v>
      </c>
      <c r="P41" s="56" t="str">
        <f>TaskTimings[PRJ]</f>
        <v>SDS</v>
      </c>
      <c r="Q41" s="56" t="str">
        <f>TaskTimings[TSK]</f>
        <v>Stage 2</v>
      </c>
    </row>
    <row r="42" spans="1:17" x14ac:dyDescent="0.25">
      <c r="A42" s="63">
        <f t="shared" si="2"/>
        <v>41</v>
      </c>
      <c r="B42" s="56" t="str">
        <f>VLOOKUP(TaskTimings[Task],ProjectTasks[[TaskProjectCode]:[TSK]],2,0)</f>
        <v>SDS</v>
      </c>
      <c r="C42" s="56" t="str">
        <f>VLOOKUP(TaskTimings[Task],ProjectTasks[[TaskProjectCode]:[TSK]],3,0)</f>
        <v>Stage 2</v>
      </c>
      <c r="D42" s="56" t="str">
        <f>TaskTimings[Employee]&amp;"/"&amp;TaskTimings[Date]</f>
        <v>Aswathy/43437</v>
      </c>
      <c r="E42" s="56">
        <f>COUNTIF($D$1:TaskTimings[[#This Row],[EmployeeDate]],TaskTimings[[#This Row],[EmployeeDate]])</f>
        <v>2</v>
      </c>
      <c r="F42" s="56" t="str">
        <f>TaskTimings[[#This Row],[EmployeeDate]]&amp;"/"&amp;TaskTimings[[#This Row],[EmployeeDateSeq]]</f>
        <v>Aswathy/43437/2</v>
      </c>
      <c r="G42" s="57" t="s">
        <v>91</v>
      </c>
      <c r="H42" s="57" t="s">
        <v>54</v>
      </c>
      <c r="I42" s="58">
        <v>43437</v>
      </c>
      <c r="J42" s="77">
        <v>0.50694444444444442</v>
      </c>
      <c r="K42" s="71">
        <v>0.54861111111111105</v>
      </c>
      <c r="L42" s="60">
        <f>(TaskTimings[End Time]-TaskTimings[Start Time])*1440</f>
        <v>59.999999999999943</v>
      </c>
      <c r="M42" s="60" t="str">
        <f>TEXT(TaskTimings[End Time]-TaskTimings[Start Time],"HH:mm")</f>
        <v>01:00</v>
      </c>
      <c r="N42" s="60">
        <f>SUMIFS(TaskTimings[Total Minutes],TaskTimings[Date],TaskTimings[Date],TaskTimings[Employee],TaskTimings[Employee])</f>
        <v>352.99999999999994</v>
      </c>
      <c r="O42" s="60" t="str">
        <f>TEXT(TaskTimings[Day Total Minutes]/1440,"HH:mm")</f>
        <v>05:53</v>
      </c>
      <c r="P42" s="56" t="str">
        <f>TaskTimings[PRJ]</f>
        <v>SDS</v>
      </c>
      <c r="Q42" s="56" t="str">
        <f>TaskTimings[TSK]</f>
        <v>Stage 2</v>
      </c>
    </row>
    <row r="43" spans="1:17" x14ac:dyDescent="0.25">
      <c r="A43" s="55">
        <f t="shared" si="2"/>
        <v>42</v>
      </c>
      <c r="B43" s="56" t="str">
        <f>VLOOKUP(TaskTimings[Task],ProjectTasks[[TaskProjectCode]:[TSK]],2,0)</f>
        <v>SDS</v>
      </c>
      <c r="C43" s="56" t="str">
        <f>VLOOKUP(TaskTimings[Task],ProjectTasks[[TaskProjectCode]:[TSK]],3,0)</f>
        <v>Stage 2</v>
      </c>
      <c r="D43" s="56" t="str">
        <f>TaskTimings[Employee]&amp;"/"&amp;TaskTimings[Date]</f>
        <v>Aswathy/43437</v>
      </c>
      <c r="E43" s="56">
        <f>COUNTIF($D$1:TaskTimings[[#This Row],[EmployeeDate]],TaskTimings[[#This Row],[EmployeeDate]])</f>
        <v>3</v>
      </c>
      <c r="F43" s="56" t="str">
        <f>TaskTimings[[#This Row],[EmployeeDate]]&amp;"/"&amp;TaskTimings[[#This Row],[EmployeeDateSeq]]</f>
        <v>Aswathy/43437/3</v>
      </c>
      <c r="G43" s="57" t="s">
        <v>91</v>
      </c>
      <c r="H43" s="57" t="s">
        <v>54</v>
      </c>
      <c r="I43" s="58">
        <v>43437</v>
      </c>
      <c r="J43" s="77">
        <v>0.56597222222222221</v>
      </c>
      <c r="K43" s="71">
        <v>0.62361111111111112</v>
      </c>
      <c r="L43" s="60">
        <f>(TaskTimings[End Time]-TaskTimings[Start Time])*1440</f>
        <v>83.000000000000028</v>
      </c>
      <c r="M43" s="60" t="str">
        <f>TEXT(TaskTimings[End Time]-TaskTimings[Start Time],"HH:mm")</f>
        <v>01:23</v>
      </c>
      <c r="N43" s="60">
        <f>SUMIFS(TaskTimings[Total Minutes],TaskTimings[Date],TaskTimings[Date],TaskTimings[Employee],TaskTimings[Employee])</f>
        <v>352.99999999999994</v>
      </c>
      <c r="O43" s="60" t="str">
        <f>TEXT(TaskTimings[Day Total Minutes]/1440,"HH:mm")</f>
        <v>05:53</v>
      </c>
      <c r="P43" s="56" t="str">
        <f>TaskTimings[PRJ]</f>
        <v>SDS</v>
      </c>
      <c r="Q43" s="56" t="str">
        <f>TaskTimings[TSK]</f>
        <v>Stage 2</v>
      </c>
    </row>
    <row r="44" spans="1:17" x14ac:dyDescent="0.25">
      <c r="A44" s="55">
        <f t="shared" si="2"/>
        <v>43</v>
      </c>
      <c r="B44" s="56" t="str">
        <f>VLOOKUP(TaskTimings[Task],ProjectTasks[[TaskProjectCode]:[TSK]],2,0)</f>
        <v>SDS</v>
      </c>
      <c r="C44" s="56" t="str">
        <f>VLOOKUP(TaskTimings[Task],ProjectTasks[[TaskProjectCode]:[TSK]],3,0)</f>
        <v>Stage 2</v>
      </c>
      <c r="D44" s="56" t="str">
        <f>TaskTimings[Employee]&amp;"/"&amp;TaskTimings[Date]</f>
        <v>Aswathy/43437</v>
      </c>
      <c r="E44" s="56">
        <f>COUNTIF($D$1:TaskTimings[[#This Row],[EmployeeDate]],TaskTimings[[#This Row],[EmployeeDate]])</f>
        <v>4</v>
      </c>
      <c r="F44" s="56" t="str">
        <f>TaskTimings[[#This Row],[EmployeeDate]]&amp;"/"&amp;TaskTimings[[#This Row],[EmployeeDateSeq]]</f>
        <v>Aswathy/43437/4</v>
      </c>
      <c r="G44" s="57" t="s">
        <v>91</v>
      </c>
      <c r="H44" s="57" t="s">
        <v>54</v>
      </c>
      <c r="I44" s="58">
        <v>43437</v>
      </c>
      <c r="J44" s="77">
        <v>0.64583333333333337</v>
      </c>
      <c r="K44" s="77">
        <v>0.70833333333333337</v>
      </c>
      <c r="L44" s="60">
        <f>(TaskTimings[End Time]-TaskTimings[Start Time])*1440</f>
        <v>90</v>
      </c>
      <c r="M44" s="60" t="str">
        <f>TEXT(TaskTimings[End Time]-TaskTimings[Start Time],"HH:mm")</f>
        <v>01:30</v>
      </c>
      <c r="N44" s="60">
        <f>SUMIFS(TaskTimings[Total Minutes],TaskTimings[Date],TaskTimings[Date],TaskTimings[Employee],TaskTimings[Employee])</f>
        <v>352.99999999999994</v>
      </c>
      <c r="O44" s="60" t="str">
        <f>TEXT(TaskTimings[Day Total Minutes]/1440,"HH:mm")</f>
        <v>05:53</v>
      </c>
      <c r="P44" s="56" t="str">
        <f>TaskTimings[PRJ]</f>
        <v>SDS</v>
      </c>
      <c r="Q44" s="56" t="str">
        <f>TaskTimings[TSK]</f>
        <v>Stage 2</v>
      </c>
    </row>
    <row r="45" spans="1:17" x14ac:dyDescent="0.25">
      <c r="A45" s="63">
        <f>IFERROR($A44+1,1)</f>
        <v>44</v>
      </c>
      <c r="B45" s="64" t="str">
        <f>VLOOKUP(TaskTimings[Task],ProjectTasks[[TaskProjectCode]:[TSK]],2,0)</f>
        <v>TEEBPD</v>
      </c>
      <c r="C45" s="64" t="str">
        <f>VLOOKUP(TaskTimings[Task],ProjectTasks[[TaskProjectCode]:[TSK]],3,0)</f>
        <v>Synchronization Implementing</v>
      </c>
      <c r="D45" s="64" t="str">
        <f>TaskTimings[Employee]&amp;"/"&amp;TaskTimings[Date]</f>
        <v>Firose/43437</v>
      </c>
      <c r="E45" s="64">
        <f>COUNTIF($D$1:TaskTimings[[#This Row],[EmployeeDate]],TaskTimings[[#This Row],[EmployeeDate]])</f>
        <v>1</v>
      </c>
      <c r="F45" s="64" t="str">
        <f>TaskTimings[[#This Row],[EmployeeDate]]&amp;"/"&amp;TaskTimings[[#This Row],[EmployeeDateSeq]]</f>
        <v>Firose/43437/1</v>
      </c>
      <c r="G45" s="65" t="s">
        <v>93</v>
      </c>
      <c r="H45" s="65" t="s">
        <v>34</v>
      </c>
      <c r="I45" s="66">
        <v>43437</v>
      </c>
      <c r="J45" s="67">
        <v>0.375</v>
      </c>
      <c r="K45" s="67">
        <v>0.70833333333333337</v>
      </c>
      <c r="L45" s="68">
        <f>(TaskTimings[End Time]-TaskTimings[Start Time])*1440</f>
        <v>480.00000000000006</v>
      </c>
      <c r="M45" s="68" t="str">
        <f>TEXT(TaskTimings[End Time]-TaskTimings[Start Time],"HH:mm")</f>
        <v>08:00</v>
      </c>
      <c r="N45" s="68">
        <f>SUMIFS(TaskTimings[Total Minutes],TaskTimings[Date],TaskTimings[Date],TaskTimings[Employee],TaskTimings[Employee])</f>
        <v>480.00000000000006</v>
      </c>
      <c r="O45" s="68" t="str">
        <f>TEXT(TaskTimings[Day Total Minutes]/1440,"HH:mm")</f>
        <v>08:00</v>
      </c>
      <c r="P45" s="64" t="str">
        <f>TaskTimings[PRJ]</f>
        <v>TEEBPD</v>
      </c>
      <c r="Q45" s="64" t="str">
        <f>TaskTimings[TSK]</f>
        <v>Synchronization Implementing</v>
      </c>
    </row>
    <row r="46" spans="1:17" x14ac:dyDescent="0.25">
      <c r="A46" s="55">
        <f>IFERROR($A45+1,1)</f>
        <v>45</v>
      </c>
      <c r="B46" s="56" t="str">
        <f>VLOOKUP(TaskTimings[Task],ProjectTasks[[TaskProjectCode]:[TSK]],2,0)</f>
        <v>TKT</v>
      </c>
      <c r="C46" s="56" t="str">
        <f>VLOOKUP(TaskTimings[Task],ProjectTasks[[TaskProjectCode]:[TSK]],3,0)</f>
        <v>Entering table details into excel sheet</v>
      </c>
      <c r="D46" s="56" t="str">
        <f>TaskTimings[Employee]&amp;"/"&amp;TaskTimings[Date]</f>
        <v>Shareena/43438</v>
      </c>
      <c r="E46" s="56">
        <f>COUNTIF($D$1:TaskTimings[[#This Row],[EmployeeDate]],TaskTimings[[#This Row],[EmployeeDate]])</f>
        <v>1</v>
      </c>
      <c r="F46" s="56" t="str">
        <f>TaskTimings[[#This Row],[EmployeeDate]]&amp;"/"&amp;TaskTimings[[#This Row],[EmployeeDateSeq]]</f>
        <v>Shareena/43438/1</v>
      </c>
      <c r="G46" s="65" t="s">
        <v>79</v>
      </c>
      <c r="H46" s="57" t="s">
        <v>16</v>
      </c>
      <c r="I46" s="58">
        <v>43438</v>
      </c>
      <c r="J46" s="78">
        <v>0.39583333333333331</v>
      </c>
      <c r="K46" s="77">
        <v>0.5</v>
      </c>
      <c r="L46" s="60">
        <f>(TaskTimings[End Time]-TaskTimings[Start Time])*1440</f>
        <v>150.00000000000003</v>
      </c>
      <c r="M46" s="60" t="str">
        <f>TEXT(TaskTimings[End Time]-TaskTimings[Start Time],"HH:mm")</f>
        <v>02:30</v>
      </c>
      <c r="N46" s="60">
        <f>SUMIFS(TaskTimings[Total Minutes],TaskTimings[Date],TaskTimings[Date],TaskTimings[Employee],TaskTimings[Employee])</f>
        <v>150.00000000000003</v>
      </c>
      <c r="O46" s="60" t="str">
        <f>TEXT(TaskTimings[Day Total Minutes]/1440,"HH:mm")</f>
        <v>02:30</v>
      </c>
      <c r="P46" s="56" t="str">
        <f>TaskTimings[PRJ]</f>
        <v>TKT</v>
      </c>
      <c r="Q46" s="56" t="str">
        <f>TaskTimings[TSK]</f>
        <v>Entering table details into excel sheet</v>
      </c>
    </row>
    <row r="47" spans="1:17" x14ac:dyDescent="0.25">
      <c r="A47" s="55">
        <f>IFERROR($A46+1,1)</f>
        <v>46</v>
      </c>
      <c r="B47" s="56" t="str">
        <f>VLOOKUP(TaskTimings[Task],ProjectTasks[[TaskProjectCode]:[TSK]],2,0)</f>
        <v>SDS</v>
      </c>
      <c r="C47" s="56" t="str">
        <f>VLOOKUP(TaskTimings[Task],ProjectTasks[[TaskProjectCode]:[TSK]],3,0)</f>
        <v>Request and get Response from  web</v>
      </c>
      <c r="D47" s="56" t="str">
        <f>TaskTimings[Employee]&amp;"/"&amp;TaskTimings[Date]</f>
        <v>Aswathy/43438</v>
      </c>
      <c r="E47" s="56">
        <f>COUNTIF($D$1:TaskTimings[[#This Row],[EmployeeDate]],TaskTimings[[#This Row],[EmployeeDate]])</f>
        <v>1</v>
      </c>
      <c r="F47" s="56" t="str">
        <f>TaskTimings[[#This Row],[EmployeeDate]]&amp;"/"&amp;TaskTimings[[#This Row],[EmployeeDateSeq]]</f>
        <v>Aswathy/43438/1</v>
      </c>
      <c r="G47" s="57" t="s">
        <v>83</v>
      </c>
      <c r="H47" s="57" t="s">
        <v>54</v>
      </c>
      <c r="I47" s="58">
        <v>43438</v>
      </c>
      <c r="J47" s="78">
        <v>0.39583333333333331</v>
      </c>
      <c r="K47" s="77">
        <v>0.5</v>
      </c>
      <c r="L47" s="60">
        <f>(TaskTimings[End Time]-TaskTimings[Start Time])*1440</f>
        <v>150.00000000000003</v>
      </c>
      <c r="M47" s="60" t="str">
        <f>TEXT(TaskTimings[End Time]-TaskTimings[Start Time],"HH:mm")</f>
        <v>02:30</v>
      </c>
      <c r="N47" s="60">
        <f>SUMIFS(TaskTimings[Total Minutes],TaskTimings[Date],TaskTimings[Date],TaskTimings[Employee],TaskTimings[Employee])</f>
        <v>150.00000000000003</v>
      </c>
      <c r="O47" s="60" t="str">
        <f>TEXT(TaskTimings[Day Total Minutes]/1440,"HH:mm")</f>
        <v>02:30</v>
      </c>
      <c r="P47" s="56" t="str">
        <f>TaskTimings[PRJ]</f>
        <v>SDS</v>
      </c>
      <c r="Q47" s="56" t="str">
        <f>TaskTimings[TSK]</f>
        <v>Request and get Response from  web</v>
      </c>
    </row>
    <row r="48" spans="1:17" x14ac:dyDescent="0.25">
      <c r="A48" s="55">
        <f>IFERROR($A47+1,1)</f>
        <v>47</v>
      </c>
      <c r="B48" s="56" t="str">
        <f>VLOOKUP(TaskTimings[Task],ProjectTasks[[TaskProjectCode]:[TSK]],2,0)</f>
        <v>TKT</v>
      </c>
      <c r="C48" s="56" t="str">
        <f>VLOOKUP(TaskTimings[Task],ProjectTasks[[TaskProjectCode]:[TSK]],3,0)</f>
        <v>Package Creation</v>
      </c>
      <c r="D48" s="56" t="str">
        <f>TaskTimings[Employee]&amp;"/"&amp;TaskTimings[Date]</f>
        <v>Shareena/43439</v>
      </c>
      <c r="E48" s="56">
        <f>COUNTIF($D$1:TaskTimings[[#This Row],[EmployeeDate]],TaskTimings[[#This Row],[EmployeeDate]])</f>
        <v>1</v>
      </c>
      <c r="F48" s="56" t="str">
        <f>TaskTimings[[#This Row],[EmployeeDate]]&amp;"/"&amp;TaskTimings[[#This Row],[EmployeeDateSeq]]</f>
        <v>Shareena/43439/1</v>
      </c>
      <c r="G48" s="57" t="s">
        <v>95</v>
      </c>
      <c r="H48" s="57" t="s">
        <v>16</v>
      </c>
      <c r="I48" s="58">
        <v>43439</v>
      </c>
      <c r="J48" s="78">
        <v>0.5625</v>
      </c>
      <c r="K48" s="77">
        <v>0.6875</v>
      </c>
      <c r="L48" s="60">
        <f>(TaskTimings[End Time]-TaskTimings[Start Time])*1440</f>
        <v>180</v>
      </c>
      <c r="M48" s="60" t="str">
        <f>TEXT(TaskTimings[End Time]-TaskTimings[Start Time],"HH:mm")</f>
        <v>03:00</v>
      </c>
      <c r="N48" s="60">
        <f>SUMIFS(TaskTimings[Total Minutes],TaskTimings[Date],TaskTimings[Date],TaskTimings[Employee],TaskTimings[Employee])</f>
        <v>180</v>
      </c>
      <c r="O48" s="60" t="str">
        <f>TEXT(TaskTimings[Day Total Minutes]/1440,"HH:mm")</f>
        <v>03:00</v>
      </c>
      <c r="P48" s="56" t="str">
        <f>TaskTimings[PRJ]</f>
        <v>TKT</v>
      </c>
      <c r="Q48" s="56" t="str">
        <f>TaskTimings[TSK]</f>
        <v>Package Creation</v>
      </c>
    </row>
    <row r="49" spans="1:17" x14ac:dyDescent="0.25">
      <c r="A49" s="55">
        <f>IFERROR($A48+1,1)</f>
        <v>48</v>
      </c>
      <c r="B49" s="56" t="str">
        <f>VLOOKUP(TaskTimings[Task],ProjectTasks[[TaskProjectCode]:[TSK]],2,0)</f>
        <v>SDS</v>
      </c>
      <c r="C49" s="56" t="str">
        <f>VLOOKUP(TaskTimings[Task],ProjectTasks[[TaskProjectCode]:[TSK]],3,0)</f>
        <v>Request and get Response from  web</v>
      </c>
      <c r="D49" s="56" t="str">
        <f>TaskTimings[Employee]&amp;"/"&amp;TaskTimings[Date]</f>
        <v>Aswathy/43439</v>
      </c>
      <c r="E49" s="56">
        <f>COUNTIF($D$1:TaskTimings[[#This Row],[EmployeeDate]],TaskTimings[[#This Row],[EmployeeDate]])</f>
        <v>1</v>
      </c>
      <c r="F49" s="56" t="str">
        <f>TaskTimings[[#This Row],[EmployeeDate]]&amp;"/"&amp;TaskTimings[[#This Row],[EmployeeDateSeq]]</f>
        <v>Aswathy/43439/1</v>
      </c>
      <c r="G49" s="57" t="s">
        <v>83</v>
      </c>
      <c r="H49" s="57" t="s">
        <v>54</v>
      </c>
      <c r="I49" s="58">
        <v>43439</v>
      </c>
      <c r="J49" s="78">
        <v>0.45833333333333331</v>
      </c>
      <c r="K49" s="77">
        <v>0.54861111111111105</v>
      </c>
      <c r="L49" s="60">
        <f>(TaskTimings[End Time]-TaskTimings[Start Time])*1440</f>
        <v>129.99999999999994</v>
      </c>
      <c r="M49" s="60" t="str">
        <f>TEXT(TaskTimings[End Time]-TaskTimings[Start Time],"HH:mm")</f>
        <v>02:10</v>
      </c>
      <c r="N49" s="60">
        <f>SUMIFS(TaskTimings[Total Minutes],TaskTimings[Date],TaskTimings[Date],TaskTimings[Employee],TaskTimings[Employee])</f>
        <v>254</v>
      </c>
      <c r="O49" s="60" t="str">
        <f>TEXT(TaskTimings[Day Total Minutes]/1440,"HH:mm")</f>
        <v>04:14</v>
      </c>
      <c r="P49" s="56" t="str">
        <f>TaskTimings[PRJ]</f>
        <v>SDS</v>
      </c>
      <c r="Q49" s="56" t="str">
        <f>TaskTimings[TSK]</f>
        <v>Request and get Response from  web</v>
      </c>
    </row>
    <row r="50" spans="1:17" x14ac:dyDescent="0.25">
      <c r="A50" s="55">
        <f>IFERROR($A49+1,1)</f>
        <v>49</v>
      </c>
      <c r="B50" s="56" t="str">
        <f>VLOOKUP(TaskTimings[Task],ProjectTasks[[TaskProjectCode]:[TSK]],2,0)</f>
        <v>SDS</v>
      </c>
      <c r="C50" s="56" t="str">
        <f>VLOOKUP(TaskTimings[Task],ProjectTasks[[TaskProjectCode]:[TSK]],3,0)</f>
        <v>Request and get Response from  web</v>
      </c>
      <c r="D50" s="56" t="str">
        <f>TaskTimings[Employee]&amp;"/"&amp;TaskTimings[Date]</f>
        <v>Aswathy/43439</v>
      </c>
      <c r="E50" s="56">
        <f>COUNTIF($D$1:TaskTimings[[#This Row],[EmployeeDate]],TaskTimings[[#This Row],[EmployeeDate]])</f>
        <v>2</v>
      </c>
      <c r="F50" s="56" t="str">
        <f>TaskTimings[[#This Row],[EmployeeDate]]&amp;"/"&amp;TaskTimings[[#This Row],[EmployeeDateSeq]]</f>
        <v>Aswathy/43439/2</v>
      </c>
      <c r="G50" s="57" t="s">
        <v>83</v>
      </c>
      <c r="H50" s="57" t="s">
        <v>54</v>
      </c>
      <c r="I50" s="58">
        <v>43439</v>
      </c>
      <c r="J50" s="78">
        <v>0.625</v>
      </c>
      <c r="K50" s="77">
        <v>0.71111111111111114</v>
      </c>
      <c r="L50" s="60">
        <f>(TaskTimings[End Time]-TaskTimings[Start Time])*1440</f>
        <v>124.00000000000004</v>
      </c>
      <c r="M50" s="60" t="str">
        <f>TEXT(TaskTimings[End Time]-TaskTimings[Start Time],"HH:mm")</f>
        <v>02:04</v>
      </c>
      <c r="N50" s="60">
        <f>SUMIFS(TaskTimings[Total Minutes],TaskTimings[Date],TaskTimings[Date],TaskTimings[Employee],TaskTimings[Employee])</f>
        <v>254</v>
      </c>
      <c r="O50" s="60" t="str">
        <f>TEXT(TaskTimings[Day Total Minutes]/1440,"HH:mm")</f>
        <v>04:14</v>
      </c>
      <c r="P50" s="56" t="str">
        <f>TaskTimings[PRJ]</f>
        <v>SDS</v>
      </c>
      <c r="Q50" s="56" t="str">
        <f>TaskTimings[TSK]</f>
        <v>Request and get Response from  web</v>
      </c>
    </row>
  </sheetData>
  <dataValidations count="2">
    <dataValidation type="list" allowBlank="1" showInputMessage="1" showErrorMessage="1" sqref="H2:H50">
      <formula1>EmployeeNames</formula1>
    </dataValidation>
    <dataValidation type="list" allowBlank="1" showInputMessage="1" showErrorMessage="1" sqref="G2:G50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16" workbookViewId="0">
      <selection activeCell="K63" sqref="K63"/>
    </sheetView>
  </sheetViews>
  <sheetFormatPr defaultRowHeight="15" x14ac:dyDescent="0.25"/>
  <cols>
    <col min="10" max="16" width="13.28515625" customWidth="1"/>
  </cols>
  <sheetData>
    <row r="1" spans="1:16" x14ac:dyDescent="0.25">
      <c r="A1" s="79" t="s">
        <v>47</v>
      </c>
      <c r="B1" s="79"/>
      <c r="C1" s="79"/>
      <c r="D1" s="79"/>
      <c r="E1" s="79"/>
    </row>
    <row r="2" spans="1:16" x14ac:dyDescent="0.25">
      <c r="A2" s="79"/>
      <c r="B2" s="79"/>
      <c r="C2" s="79"/>
      <c r="D2" s="79"/>
      <c r="E2" s="79"/>
      <c r="J2" s="97" t="s">
        <v>33</v>
      </c>
      <c r="K2" s="97"/>
      <c r="L2" s="97"/>
    </row>
    <row r="3" spans="1:16" x14ac:dyDescent="0.25">
      <c r="A3" s="79"/>
      <c r="B3" s="79"/>
      <c r="C3" s="79"/>
      <c r="D3" s="79"/>
      <c r="E3" s="79"/>
      <c r="J3" s="97"/>
      <c r="K3" s="97"/>
      <c r="L3" s="97"/>
    </row>
    <row r="4" spans="1:16" ht="15.75" thickBot="1" x14ac:dyDescent="0.3">
      <c r="A4" s="81" t="str">
        <f>VLOOKUP($A$1,Project[[Project]:[Project Code]],2,0)</f>
        <v>TKT</v>
      </c>
      <c r="B4" s="81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84" t="s">
        <v>31</v>
      </c>
      <c r="B5" s="82" t="s">
        <v>29</v>
      </c>
      <c r="C5" s="82"/>
      <c r="D5" s="82"/>
      <c r="E5" s="82"/>
      <c r="F5" s="82"/>
      <c r="G5" s="87" t="s">
        <v>32</v>
      </c>
      <c r="H5" s="91"/>
      <c r="J5" s="84" t="str">
        <f>IFERROR(VLOOKUP(J$4,Employees[],2,0),"")</f>
        <v>Aswathy</v>
      </c>
      <c r="K5" s="87" t="str">
        <f>IFERROR(VLOOKUP(K$4,Employees[],2,0),"")</f>
        <v>Vishnu</v>
      </c>
      <c r="L5" s="87" t="str">
        <f>IFERROR(VLOOKUP(L$4,Employees[],2,0),"")</f>
        <v>Shareena</v>
      </c>
      <c r="M5" s="87" t="str">
        <f>IFERROR(VLOOKUP(M$4,Employees[],2,0),"")</f>
        <v>Firose</v>
      </c>
      <c r="N5" s="87" t="str">
        <f>IFERROR(VLOOKUP(N$4,Employees[],2,0),"")</f>
        <v/>
      </c>
      <c r="O5" s="87" t="str">
        <f>IFERROR(VLOOKUP(O$4,Employees[],2,0),"")</f>
        <v/>
      </c>
      <c r="P5" s="91" t="str">
        <f>IFERROR(VLOOKUP(P$4,Employees[],2,0),"")</f>
        <v/>
      </c>
    </row>
    <row r="6" spans="1:16" x14ac:dyDescent="0.25">
      <c r="A6" s="85"/>
      <c r="B6" s="83"/>
      <c r="C6" s="83"/>
      <c r="D6" s="83"/>
      <c r="E6" s="83"/>
      <c r="F6" s="83"/>
      <c r="G6" s="88"/>
      <c r="H6" s="92"/>
      <c r="J6" s="85"/>
      <c r="K6" s="88"/>
      <c r="L6" s="88"/>
      <c r="M6" s="88"/>
      <c r="N6" s="88"/>
      <c r="O6" s="88"/>
      <c r="P6" s="92"/>
    </row>
    <row r="7" spans="1:16" x14ac:dyDescent="0.25">
      <c r="A7" s="12">
        <v>1</v>
      </c>
      <c r="B7" s="80" t="str">
        <f>IFERROR(VLOOKUP($A$4&amp;"-"&amp;$A7,ProjectTasks[[PRJTSKSEQ]:[Task]],2,0),"")</f>
        <v>Database Analysis from Old Project</v>
      </c>
      <c r="C7" s="80"/>
      <c r="D7" s="80"/>
      <c r="E7" s="80"/>
      <c r="F7" s="80"/>
      <c r="G7" s="89">
        <f>SUMIFS(TaskTimings[Total Minutes],TaskTimings[PRJ],$A$4,TaskTimings[TSK],$B7)</f>
        <v>375.99999999999994</v>
      </c>
      <c r="H7" s="90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80" t="str">
        <f>IFERROR(VLOOKUP($A$4&amp;"-"&amp;$A8,ProjectTasks[[PRJTSKSEQ]:[Task]],2,0),"")</f>
        <v>DB Designing</v>
      </c>
      <c r="C8" s="80"/>
      <c r="D8" s="80"/>
      <c r="E8" s="80"/>
      <c r="F8" s="80"/>
      <c r="G8" s="89">
        <f>SUMIFS(TaskTimings[Total Minutes],TaskTimings[PRJ],$A$4,TaskTimings[TSK],$B8)</f>
        <v>0</v>
      </c>
      <c r="H8" s="90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80" t="str">
        <f>IFERROR(VLOOKUP($A$4&amp;"-"&amp;$A9,ProjectTasks[[PRJTSKSEQ]:[Task]],2,0),"")</f>
        <v>Appframe configuration</v>
      </c>
      <c r="C9" s="80"/>
      <c r="D9" s="80"/>
      <c r="E9" s="80"/>
      <c r="F9" s="80"/>
      <c r="G9" s="89">
        <f>SUMIFS(TaskTimings[Total Minutes],TaskTimings[PRJ],$A$4,TaskTimings[TSK],$B9)</f>
        <v>0</v>
      </c>
      <c r="H9" s="90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80" t="str">
        <f>IFERROR(VLOOKUP($A$4&amp;"-"&amp;$A10,ProjectTasks[[PRJTSKSEQ]:[Task]],2,0),"")</f>
        <v>Discussion for ticketing modification</v>
      </c>
      <c r="C10" s="80"/>
      <c r="D10" s="80"/>
      <c r="E10" s="80"/>
      <c r="F10" s="80"/>
      <c r="G10" s="89">
        <f>SUMIFS(TaskTimings[Total Minutes],TaskTimings[PRJ],$A$4,TaskTimings[TSK],$B10)</f>
        <v>269.99999999999989</v>
      </c>
      <c r="H10" s="90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80" t="str">
        <f>IFERROR(VLOOKUP($A$4&amp;"-"&amp;$A11,ProjectTasks[[PRJTSKSEQ]:[Task]],2,0),"")</f>
        <v>Note down table relations</v>
      </c>
      <c r="C11" s="80"/>
      <c r="D11" s="80"/>
      <c r="E11" s="80"/>
      <c r="F11" s="80"/>
      <c r="G11" s="89">
        <f>SUMIFS(TaskTimings[Total Minutes],TaskTimings[PRJ],$A$4,TaskTimings[TSK],$B11)</f>
        <v>510.00000000000011</v>
      </c>
      <c r="H11" s="90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80" t="str">
        <f>IFERROR(VLOOKUP($A$4&amp;"-"&amp;$A12,ProjectTasks[[PRJTSKSEQ]:[Task]],2,0),"")</f>
        <v>Entering table details into excel sheet</v>
      </c>
      <c r="C12" s="80"/>
      <c r="D12" s="80"/>
      <c r="E12" s="80"/>
      <c r="F12" s="80"/>
      <c r="G12" s="89">
        <f>SUMIFS(TaskTimings[Total Minutes],TaskTimings[PRJ],$A$4,TaskTimings[TSK],$B12)</f>
        <v>810.00000000000023</v>
      </c>
      <c r="H12" s="90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810.00000000000023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80" t="str">
        <f>IFERROR(VLOOKUP($A$4&amp;"-"&amp;$A13,ProjectTasks[[PRJTSKSEQ]:[Task]],2,0),"")</f>
        <v>Package Creation</v>
      </c>
      <c r="C13" s="80"/>
      <c r="D13" s="80"/>
      <c r="E13" s="80"/>
      <c r="F13" s="80"/>
      <c r="G13" s="89">
        <f>SUMIFS(TaskTimings[Total Minutes],TaskTimings[PRJ],$A$4,TaskTimings[TSK],$B13)</f>
        <v>180</v>
      </c>
      <c r="H13" s="90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180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80" t="str">
        <f>IFERROR(VLOOKUP($A$4&amp;"-"&amp;$A14,ProjectTasks[[PRJTSKSEQ]:[Task]],2,0),"")</f>
        <v/>
      </c>
      <c r="C14" s="80"/>
      <c r="D14" s="80"/>
      <c r="E14" s="80"/>
      <c r="F14" s="80"/>
      <c r="G14" s="89">
        <f>SUMIFS(TaskTimings[Total Minutes],TaskTimings[PRJ],$A$4,TaskTimings[TSK],$B14)</f>
        <v>0</v>
      </c>
      <c r="H14" s="90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80" t="str">
        <f>IFERROR(VLOOKUP($A$4&amp;"-"&amp;$A15,ProjectTasks[[PRJTSKSEQ]:[Task]],2,0),"")</f>
        <v/>
      </c>
      <c r="C15" s="80"/>
      <c r="D15" s="80"/>
      <c r="E15" s="80"/>
      <c r="F15" s="80"/>
      <c r="G15" s="89">
        <f>SUMIFS(TaskTimings[Total Minutes],TaskTimings[PRJ],$A$4,TaskTimings[TSK],$B15)</f>
        <v>0</v>
      </c>
      <c r="H15" s="90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80" t="str">
        <f>IFERROR(VLOOKUP($A$4&amp;"-"&amp;$A16,ProjectTasks[[PRJTSKSEQ]:[Task]],2,0),"")</f>
        <v/>
      </c>
      <c r="C16" s="80"/>
      <c r="D16" s="80"/>
      <c r="E16" s="80"/>
      <c r="F16" s="80"/>
      <c r="G16" s="89">
        <f>SUMIFS(TaskTimings[Total Minutes],TaskTimings[PRJ],$A$4,TaskTimings[TSK],$B16)</f>
        <v>0</v>
      </c>
      <c r="H16" s="90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80" t="str">
        <f>IFERROR(VLOOKUP($A$4&amp;"-"&amp;$A17,ProjectTasks[[PRJTSKSEQ]:[Task]],2,0),"")</f>
        <v/>
      </c>
      <c r="C17" s="80"/>
      <c r="D17" s="80"/>
      <c r="E17" s="80"/>
      <c r="F17" s="80"/>
      <c r="G17" s="89">
        <f>SUMIFS(TaskTimings[Total Minutes],TaskTimings[PRJ],$A$4,TaskTimings[TSK],$B17)</f>
        <v>0</v>
      </c>
      <c r="H17" s="90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80" t="str">
        <f>IFERROR(VLOOKUP($A$4&amp;"-"&amp;$A18,ProjectTasks[[PRJTSKSEQ]:[Task]],2,0),"")</f>
        <v/>
      </c>
      <c r="C18" s="80"/>
      <c r="D18" s="80"/>
      <c r="E18" s="80"/>
      <c r="F18" s="80"/>
      <c r="G18" s="89">
        <f>SUMIFS(TaskTimings[Total Minutes],TaskTimings[PRJ],$A$4,TaskTimings[TSK],$B18)</f>
        <v>0</v>
      </c>
      <c r="H18" s="90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80" t="str">
        <f>IFERROR(VLOOKUP($A$4&amp;"-"&amp;$A19,ProjectTasks[[PRJTSKSEQ]:[Task]],2,0),"")</f>
        <v/>
      </c>
      <c r="C19" s="80"/>
      <c r="D19" s="80"/>
      <c r="E19" s="80"/>
      <c r="F19" s="80"/>
      <c r="G19" s="89">
        <f>SUMIFS(TaskTimings[Total Minutes],TaskTimings[PRJ],$A$4,TaskTimings[TSK],$B19)</f>
        <v>0</v>
      </c>
      <c r="H19" s="90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80" t="str">
        <f>IFERROR(VLOOKUP($A$4&amp;"-"&amp;$A20,ProjectTasks[[PRJTSKSEQ]:[Task]],2,0),"")</f>
        <v/>
      </c>
      <c r="C20" s="80"/>
      <c r="D20" s="80"/>
      <c r="E20" s="80"/>
      <c r="F20" s="80"/>
      <c r="G20" s="89">
        <f>SUMIFS(TaskTimings[Total Minutes],TaskTimings[PRJ],$A$4,TaskTimings[TSK],$B20)</f>
        <v>0</v>
      </c>
      <c r="H20" s="90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86" t="str">
        <f>IFERROR(VLOOKUP($A$4&amp;"-"&amp;$A21,ProjectTasks[[PRJTSKSEQ]:[Task]],2,0),"")</f>
        <v/>
      </c>
      <c r="C21" s="86"/>
      <c r="D21" s="86"/>
      <c r="E21" s="86"/>
      <c r="F21" s="86"/>
      <c r="G21" s="95">
        <f>SUMIFS(TaskTimings[Total Minutes],TaskTimings[PRJ],$A$4,TaskTimings[TSK],$B21)</f>
        <v>0</v>
      </c>
      <c r="H21" s="96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98" t="s">
        <v>24</v>
      </c>
      <c r="E23" s="99"/>
      <c r="F23" s="100"/>
      <c r="G23" s="98">
        <f>SUM(G7:H21)</f>
        <v>2146</v>
      </c>
      <c r="H23" s="100"/>
      <c r="J23" s="93">
        <f>SUM(J7:J21)</f>
        <v>90</v>
      </c>
      <c r="K23" s="93">
        <f t="shared" ref="K23:P23" si="0">SUM(K7:K21)</f>
        <v>0</v>
      </c>
      <c r="L23" s="93">
        <f t="shared" si="0"/>
        <v>1966.0000000000002</v>
      </c>
      <c r="M23" s="93">
        <f t="shared" si="0"/>
        <v>89.999999999999915</v>
      </c>
      <c r="N23" s="93">
        <f t="shared" si="0"/>
        <v>0</v>
      </c>
      <c r="O23" s="93">
        <f t="shared" si="0"/>
        <v>0</v>
      </c>
      <c r="P23" s="93">
        <f t="shared" si="0"/>
        <v>0</v>
      </c>
    </row>
    <row r="24" spans="1:16" ht="15.75" thickBot="1" x14ac:dyDescent="0.3">
      <c r="D24" s="101"/>
      <c r="E24" s="102"/>
      <c r="F24" s="103"/>
      <c r="G24" s="101"/>
      <c r="H24" s="103"/>
      <c r="J24" s="94"/>
      <c r="K24" s="94"/>
      <c r="L24" s="94"/>
      <c r="M24" s="94"/>
      <c r="N24" s="94"/>
      <c r="O24" s="94"/>
      <c r="P24" s="94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Q11" sqref="Q11"/>
    </sheetView>
  </sheetViews>
  <sheetFormatPr defaultRowHeight="15" x14ac:dyDescent="0.25"/>
  <sheetData>
    <row r="1" spans="1:28" x14ac:dyDescent="0.25">
      <c r="A1" s="123" t="s">
        <v>16</v>
      </c>
      <c r="B1" s="123"/>
      <c r="C1" s="123"/>
      <c r="D1" s="123"/>
      <c r="F1" s="125" t="s">
        <v>35</v>
      </c>
      <c r="G1" s="125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23"/>
      <c r="B2" s="123"/>
      <c r="C2" s="123"/>
      <c r="D2" s="123"/>
      <c r="F2" s="124">
        <v>43430</v>
      </c>
      <c r="G2" s="124"/>
      <c r="I2" s="104">
        <f>SUM(I7:I30)</f>
        <v>1696.0000000000002</v>
      </c>
      <c r="J2" s="106" t="str">
        <f>TEXT($I$2/1440,"H:mm")</f>
        <v>4:16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23"/>
      <c r="B3" s="123"/>
      <c r="C3" s="123"/>
      <c r="D3" s="123"/>
      <c r="F3" s="124"/>
      <c r="G3" s="124"/>
      <c r="I3" s="105"/>
      <c r="J3" s="107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97" t="s">
        <v>44</v>
      </c>
      <c r="L4" s="97"/>
      <c r="M4" s="97"/>
    </row>
    <row r="5" spans="1:28" ht="15.75" thickBot="1" x14ac:dyDescent="0.3">
      <c r="B5" s="97" t="s">
        <v>45</v>
      </c>
      <c r="C5" s="97"/>
      <c r="D5" s="97"/>
      <c r="E5" s="97"/>
      <c r="F5" s="97"/>
      <c r="K5" s="121"/>
      <c r="L5" s="121"/>
      <c r="M5" s="121"/>
    </row>
    <row r="6" spans="1:28" ht="15.75" thickBot="1" x14ac:dyDescent="0.3">
      <c r="A6" s="14">
        <v>1</v>
      </c>
      <c r="B6" s="122"/>
      <c r="C6" s="122"/>
      <c r="D6" s="122"/>
      <c r="E6" s="122"/>
      <c r="F6" s="122"/>
      <c r="J6" s="25"/>
      <c r="K6" s="34" t="s">
        <v>0</v>
      </c>
      <c r="L6" s="114" t="s">
        <v>4</v>
      </c>
      <c r="M6" s="114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26">
        <f>$F$2</f>
        <v>43430</v>
      </c>
      <c r="C7" s="87"/>
      <c r="D7" s="127" t="str">
        <f>IFERROR(VLOOKUP($A$1&amp;"/"&amp;$B$7&amp;"/"&amp;$A6,TaskTimings[[EmployeeDateSeqCode]:[Task]],2,0),"")</f>
        <v>TKT/Discussion for ticketing modification</v>
      </c>
      <c r="E7" s="127"/>
      <c r="F7" s="127"/>
      <c r="G7" s="127"/>
      <c r="H7" s="23">
        <f>IFERROR(VLOOKUP($A$1&amp;"/"&amp;$B$7&amp;"/"&amp;$A6,TaskTimings[[EmployeeDateSeqCode]:[Total Minutes]],7,0),0)</f>
        <v>90</v>
      </c>
      <c r="I7" s="116">
        <f>SUM(H7:H10)</f>
        <v>330.99999999999994</v>
      </c>
      <c r="J7" s="25"/>
      <c r="K7" s="72">
        <v>1</v>
      </c>
      <c r="L7" s="108" t="str">
        <f>IFERROR(VLOOKUP($K7,$X$7:$Y$30,2,0),"")</f>
        <v>TKT</v>
      </c>
      <c r="M7" s="108"/>
      <c r="N7" s="74">
        <f>SUMIFS($AB$7:$AB$30,$Y$7:$Y$30,$L7)</f>
        <v>1636.0000000000002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90</v>
      </c>
    </row>
    <row r="8" spans="1:28" x14ac:dyDescent="0.25">
      <c r="A8" s="14">
        <v>3</v>
      </c>
      <c r="B8" s="85"/>
      <c r="C8" s="88"/>
      <c r="D8" s="117" t="str">
        <f>IFERROR(VLOOKUP($A$1&amp;"/"&amp;$B$7&amp;"/"&amp;$A7,TaskTimings[[EmployeeDateSeqCode]:[Task]],2,0),"")</f>
        <v>TKT/Database Analysis from Old Project</v>
      </c>
      <c r="E8" s="117"/>
      <c r="F8" s="117"/>
      <c r="G8" s="117"/>
      <c r="H8" s="22">
        <f>IFERROR(VLOOKUP($A$1&amp;"/"&amp;$B$7&amp;"/"&amp;$A7,TaskTimings[[EmployeeDateSeqCode]:[Total Minutes]],7,0),0)</f>
        <v>121.00000000000006</v>
      </c>
      <c r="I8" s="106"/>
      <c r="J8" s="25"/>
      <c r="K8" s="72">
        <v>2</v>
      </c>
      <c r="L8" s="108" t="str">
        <f>IFERROR(VLOOKUP($K8,$X$7:$Y$30,2,0),"")</f>
        <v/>
      </c>
      <c r="M8" s="108"/>
      <c r="N8" s="74">
        <f>SUMIFS($AB$7:$AB$30,$Y$7:$Y$30,$L8)</f>
        <v>0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TKT</v>
      </c>
      <c r="W8" s="14">
        <f>IF($V8="","",COUNTIF($V$7:$V8,$V8))</f>
        <v>2</v>
      </c>
      <c r="X8" s="14" t="str">
        <f>IF($W8=1,COUNTA($X$6:$X7)+1,"")</f>
        <v/>
      </c>
      <c r="Y8" s="33" t="str">
        <f t="shared" ref="Y8:Y30" si="0">IF($W8="","",$V8)</f>
        <v>TKT</v>
      </c>
      <c r="Z8" s="29" t="str">
        <f>IF($Y8="","",$Y8&amp;"/"&amp;COUNTIF($Y$7:$Y8,$Y8))</f>
        <v>TKT/2</v>
      </c>
      <c r="AA8" s="29" t="str">
        <f>IF($Z8="","",VLOOKUP($D8,TaskTimings[[Task]:[TSKLST]],11,0))</f>
        <v>Database Analysis from Old Project</v>
      </c>
      <c r="AB8" s="29">
        <f t="shared" ref="AB8:AB30" si="1">IF($AA8="",0,SUMIFS($H$7:$H$30,$D$7:$D$30,$Y8&amp;"/"&amp;$AA8))</f>
        <v>375.99999999999994</v>
      </c>
    </row>
    <row r="9" spans="1:28" x14ac:dyDescent="0.25">
      <c r="A9" s="14">
        <v>4</v>
      </c>
      <c r="B9" s="85"/>
      <c r="C9" s="88"/>
      <c r="D9" s="117" t="str">
        <f>IFERROR(VLOOKUP($A$1&amp;"/"&amp;$B$7&amp;"/"&amp;$A8,TaskTimings[[EmployeeDateSeqCode]:[Task]],2,0),"")</f>
        <v>TKT/Database Analysis from Old Project</v>
      </c>
      <c r="E9" s="117"/>
      <c r="F9" s="117"/>
      <c r="G9" s="117"/>
      <c r="H9" s="22">
        <f>IFERROR(VLOOKUP($A$1&amp;"/"&amp;$B$7&amp;"/"&amp;$A8,TaskTimings[[EmployeeDateSeqCode]:[Total Minutes]],7,0),0)</f>
        <v>119.99999999999989</v>
      </c>
      <c r="I9" s="106"/>
      <c r="J9" s="25"/>
      <c r="K9" s="72">
        <v>3</v>
      </c>
      <c r="L9" s="108" t="str">
        <f>IFERROR(VLOOKUP($K9,$X$7:$Y$30,2,0),"")</f>
        <v/>
      </c>
      <c r="M9" s="108"/>
      <c r="N9" s="74">
        <f>SUMIFS($AB$7:$AB$30,$Y$7:$Y$30,$L9)</f>
        <v>0</v>
      </c>
      <c r="O9" s="25"/>
      <c r="P9" s="25"/>
      <c r="Q9" s="25"/>
      <c r="R9" s="25"/>
      <c r="S9" s="25"/>
      <c r="T9" s="25"/>
      <c r="U9" s="14">
        <f>IF(COUNTIFS($D$6:$D9,D9)=1,1,0)</f>
        <v>0</v>
      </c>
      <c r="V9" s="29" t="str">
        <f>IF($U9=0,"",VLOOKUP($D9,TaskTimings[[Task]:[PRJLST]],10,0))</f>
        <v/>
      </c>
      <c r="W9" s="14" t="str">
        <f>IF($V9="","",COUNTIF($V$7:$V9,$V9))</f>
        <v/>
      </c>
      <c r="X9" s="14" t="str">
        <f>IF($W9=1,COUNTA($X$6:$X8)+1,"")</f>
        <v/>
      </c>
      <c r="Y9" s="33" t="str">
        <f t="shared" si="0"/>
        <v/>
      </c>
      <c r="Z9" s="29" t="str">
        <f>IF($Y9="","",$Y9&amp;"/"&amp;COUNTIF($Y$7:$Y9,$Y9))</f>
        <v/>
      </c>
      <c r="AA9" s="29" t="str">
        <f>IF($Z9="","",VLOOKUP($D9,TaskTimings[[Task]:[TSKLST]],11,0))</f>
        <v/>
      </c>
      <c r="AB9" s="29">
        <f t="shared" si="1"/>
        <v>0</v>
      </c>
    </row>
    <row r="10" spans="1:28" x14ac:dyDescent="0.25">
      <c r="A10" s="14">
        <v>1</v>
      </c>
      <c r="B10" s="85"/>
      <c r="C10" s="88"/>
      <c r="D10" s="117" t="str">
        <f>IFERROR(VLOOKUP($A$1&amp;"/"&amp;$B$7&amp;"/"&amp;$A9,TaskTimings[[EmployeeDateSeqCode]:[Task]],2,0),"")</f>
        <v/>
      </c>
      <c r="E10" s="117"/>
      <c r="F10" s="117"/>
      <c r="G10" s="117"/>
      <c r="H10" s="22">
        <f>IFERROR(VLOOKUP($A$1&amp;"/"&amp;$B$7&amp;"/"&amp;$A9,TaskTimings[[EmployeeDateSeqCode]:[Total Minutes]],7,0),0)</f>
        <v>0</v>
      </c>
      <c r="I10" s="106"/>
      <c r="J10" s="25"/>
      <c r="K10" s="72">
        <v>4</v>
      </c>
      <c r="L10" s="108" t="str">
        <f>IFERROR(VLOOKUP($K10,$X$7:$Y$30,2,0),"")</f>
        <v/>
      </c>
      <c r="M10" s="108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8">
        <f>B7+1</f>
        <v>43431</v>
      </c>
      <c r="C11" s="88"/>
      <c r="D11" s="117" t="str">
        <f>IFERROR(VLOOKUP($A$1&amp;"/"&amp;$B$11&amp;"/"&amp;$A10,TaskTimings[[EmployeeDateSeqCode]:[Task]],2,0),"")</f>
        <v>TKT/Database Analysis from Old Project</v>
      </c>
      <c r="E11" s="117"/>
      <c r="F11" s="117"/>
      <c r="G11" s="117"/>
      <c r="H11" s="22">
        <f>IFERROR(VLOOKUP($A$1&amp;"/"&amp;$B$11&amp;"/"&amp;$A10,TaskTimings[[EmployeeDateSeqCode]:[Total Minutes]],7,0),0)</f>
        <v>135</v>
      </c>
      <c r="I11" s="106">
        <f t="shared" ref="I11" si="2">SUM(H11:H14)</f>
        <v>135</v>
      </c>
      <c r="J11" s="25"/>
      <c r="K11" s="73">
        <v>5</v>
      </c>
      <c r="L11" s="111" t="str">
        <f>IFERROR(VLOOKUP($K11,$X$7:$Y$30,2,0),"")</f>
        <v/>
      </c>
      <c r="M11" s="111"/>
      <c r="N11" s="75">
        <f>SUMIFS($AB$7:$AB$30,$Y$7:$Y$30,$L11)</f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29" t="str">
        <f>IF($U11=0,"",VLOOKUP($D11,TaskTimings[[Task]:[PRJLST]],10,0))</f>
        <v/>
      </c>
      <c r="W11" s="14" t="str">
        <f>IF($V11="","",COUNTIF($V$7:$V11,$V11))</f>
        <v/>
      </c>
      <c r="X11" s="14" t="str">
        <f>IF($W11=1,COUNTA($X$6:$X10)+1,"")</f>
        <v/>
      </c>
      <c r="Y11" s="33" t="str">
        <f t="shared" si="0"/>
        <v/>
      </c>
      <c r="Z11" s="29" t="str">
        <f>IF($Y11="","",$Y11&amp;"/"&amp;COUNTIF($Y$7:$Y11,$Y11))</f>
        <v/>
      </c>
      <c r="AA11" s="29" t="str">
        <f>IF($Z11="","",VLOOKUP($D11,TaskTimings[[Task]:[TSKLST]],11,0))</f>
        <v/>
      </c>
      <c r="AB11" s="29">
        <f t="shared" si="1"/>
        <v>0</v>
      </c>
    </row>
    <row r="12" spans="1:28" x14ac:dyDescent="0.25">
      <c r="A12" s="14">
        <v>3</v>
      </c>
      <c r="B12" s="85"/>
      <c r="C12" s="88"/>
      <c r="D12" s="117" t="str">
        <f>IFERROR(VLOOKUP($A$1&amp;"/"&amp;$B$11&amp;"/"&amp;$A11,TaskTimings[[EmployeeDateSeqCode]:[Task]],2,0),"")</f>
        <v/>
      </c>
      <c r="E12" s="117"/>
      <c r="F12" s="117"/>
      <c r="G12" s="117"/>
      <c r="H12" s="22">
        <f>IFERROR(VLOOKUP($A$1&amp;"/"&amp;$B$11&amp;"/"&amp;$A11,TaskTimings[[EmployeeDateSeqCode]:[Total Minutes]],7,0),0)</f>
        <v>0</v>
      </c>
      <c r="I12" s="106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85"/>
      <c r="C13" s="88"/>
      <c r="D13" s="117" t="str">
        <f>IFERROR(VLOOKUP($A$1&amp;"/"&amp;$B$11&amp;"/"&amp;$A12,TaskTimings[[EmployeeDateSeqCode]:[Task]],2,0),"")</f>
        <v/>
      </c>
      <c r="E13" s="117"/>
      <c r="F13" s="117"/>
      <c r="G13" s="117"/>
      <c r="H13" s="22">
        <f>IFERROR(VLOOKUP($A$1&amp;"/"&amp;$B$11&amp;"/"&amp;$A12,TaskTimings[[EmployeeDateSeqCode]:[Total Minutes]],7,0),0)</f>
        <v>0</v>
      </c>
      <c r="I13" s="106"/>
      <c r="J13" s="25"/>
      <c r="K13" s="121" t="s">
        <v>46</v>
      </c>
      <c r="L13" s="121"/>
      <c r="M13" s="121"/>
      <c r="N13" s="121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85"/>
      <c r="C14" s="88"/>
      <c r="D14" s="117" t="str">
        <f>IFERROR(VLOOKUP($A$1&amp;"/"&amp;$B$11&amp;"/"&amp;$A13,TaskTimings[[EmployeeDateSeqCode]:[Task]],2,0),"")</f>
        <v/>
      </c>
      <c r="E14" s="117"/>
      <c r="F14" s="117"/>
      <c r="G14" s="117"/>
      <c r="H14" s="22">
        <f>IFERROR(VLOOKUP($A$1&amp;"/"&amp;$B$11&amp;"/"&amp;$A13,TaskTimings[[EmployeeDateSeqCode]:[Total Minutes]],7,0),0)</f>
        <v>0</v>
      </c>
      <c r="I14" s="106"/>
      <c r="J14" s="25"/>
      <c r="K14" s="122"/>
      <c r="L14" s="122"/>
      <c r="M14" s="122"/>
      <c r="N14" s="122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8">
        <f>B11+1</f>
        <v>43432</v>
      </c>
      <c r="C15" s="88"/>
      <c r="D15" s="117" t="str">
        <f>IFERROR(VLOOKUP($A$1&amp;"/"&amp;$B$15&amp;"/"&amp;$A14,TaskTimings[[EmployeeDateSeqCode]:[Task]],2,0),"")</f>
        <v>TKT/Note down table relations</v>
      </c>
      <c r="E15" s="117"/>
      <c r="F15" s="117"/>
      <c r="G15" s="117"/>
      <c r="H15" s="22">
        <f>IFERROR(VLOOKUP($A$1&amp;"/"&amp;$B$15&amp;"/"&amp;$A14,TaskTimings[[EmployeeDateSeqCode]:[Total Minutes]],7,0),0)</f>
        <v>380.00000000000011</v>
      </c>
      <c r="I15" s="106">
        <f t="shared" ref="I15" si="3">SUM(H15:H18)</f>
        <v>380.00000000000011</v>
      </c>
      <c r="J15" s="25"/>
      <c r="K15" s="113" t="s">
        <v>4</v>
      </c>
      <c r="L15" s="112"/>
      <c r="M15" s="112" t="s">
        <v>29</v>
      </c>
      <c r="N15" s="112"/>
      <c r="O15" s="112"/>
      <c r="P15" s="112"/>
      <c r="Q15" s="23" t="s">
        <v>42</v>
      </c>
      <c r="R15" s="27" t="s">
        <v>24</v>
      </c>
      <c r="S15" s="25"/>
      <c r="T15" s="25"/>
      <c r="U15" s="14">
        <f>IF(COUNTIFS($D$6:$D15,D15)=1,1,0)</f>
        <v>1</v>
      </c>
      <c r="V15" s="29" t="str">
        <f>IF($U15=0,"",VLOOKUP($D15,TaskTimings[[Task]:[PRJLST]],10,0))</f>
        <v>TKT</v>
      </c>
      <c r="W15" s="14">
        <f>IF($V15="","",COUNTIF($V$7:$V15,$V15))</f>
        <v>3</v>
      </c>
      <c r="X15" s="14" t="str">
        <f>IF($W15=1,COUNTA($X$6:$X14)+1,"")</f>
        <v/>
      </c>
      <c r="Y15" s="33" t="str">
        <f t="shared" si="0"/>
        <v>TKT</v>
      </c>
      <c r="Z15" s="29" t="str">
        <f>IF($Y15="","",$Y15&amp;"/"&amp;COUNTIF($Y$7:$Y15,$Y15))</f>
        <v>TKT/3</v>
      </c>
      <c r="AA15" s="29" t="str">
        <f>IF($Z15="","",VLOOKUP($D15,TaskTimings[[Task]:[TSKLST]],11,0))</f>
        <v>Note down table relations</v>
      </c>
      <c r="AB15" s="29">
        <f t="shared" si="1"/>
        <v>510.00000000000011</v>
      </c>
    </row>
    <row r="16" spans="1:28" x14ac:dyDescent="0.25">
      <c r="A16" s="14">
        <v>3</v>
      </c>
      <c r="B16" s="85"/>
      <c r="C16" s="88"/>
      <c r="D16" s="117" t="str">
        <f>IFERROR(VLOOKUP($A$1&amp;"/"&amp;$B$15&amp;"/"&amp;$A15,TaskTimings[[EmployeeDateSeqCode]:[Task]],2,0),"")</f>
        <v/>
      </c>
      <c r="E16" s="117"/>
      <c r="F16" s="117"/>
      <c r="G16" s="117"/>
      <c r="H16" s="22">
        <f>IFERROR(VLOOKUP($A$1&amp;"/"&amp;$B$15&amp;"/"&amp;$A15,TaskTimings[[EmployeeDateSeqCode]:[Total Minutes]],7,0),0)</f>
        <v>0</v>
      </c>
      <c r="I16" s="106"/>
      <c r="J16" s="26">
        <v>1</v>
      </c>
      <c r="K16" s="109" t="str">
        <f>VLOOKUP(1,$K$7:$M$11,2,0)</f>
        <v>TKT</v>
      </c>
      <c r="L16" s="89"/>
      <c r="M16" s="108" t="str">
        <f>IF($K$16="","",IFERROR(VLOOKUP($K$16&amp;"/"&amp;$J16,$Z$7:$AA$30,2,0),""))</f>
        <v>Discussion for ticketing modification</v>
      </c>
      <c r="N16" s="108"/>
      <c r="O16" s="108"/>
      <c r="P16" s="108"/>
      <c r="Q16" s="22">
        <f>IF($M16="","",SUMIFS($H$7:$H$30,$D$7:$D$30,$K$16&amp;"/"&amp;$M16))</f>
        <v>90</v>
      </c>
      <c r="R16" s="106">
        <f>SUM(Q16:Q19)</f>
        <v>1636.0000000000002</v>
      </c>
      <c r="S16" s="31"/>
      <c r="T16" s="32"/>
      <c r="U16" s="14">
        <f>IF(COUNTIFS($D$6:$D16,D16)=1,1,0)</f>
        <v>0</v>
      </c>
      <c r="V16" s="29" t="str">
        <f>IF($U16=0,"",VLOOKUP($D16,TaskTimings[[Task]:[PRJLST]],10,0))</f>
        <v/>
      </c>
      <c r="W16" s="14" t="str">
        <f>IF($V16="","",COUNTIF($V$7:$V16,$V16))</f>
        <v/>
      </c>
      <c r="X16" s="14" t="str">
        <f>IF($W16=1,COUNTA($X$6:$X15)+1,"")</f>
        <v/>
      </c>
      <c r="Y16" s="33" t="str">
        <f t="shared" si="0"/>
        <v/>
      </c>
      <c r="Z16" s="29" t="str">
        <f>IF($Y16="","",$Y16&amp;"/"&amp;COUNTIF($Y$7:$Y16,$Y16))</f>
        <v/>
      </c>
      <c r="AA16" s="29" t="str">
        <f>IF($Z16="","",VLOOKUP($D16,TaskTimings[[Task]:[TSKLST]],11,0))</f>
        <v/>
      </c>
      <c r="AB16" s="29">
        <f t="shared" si="1"/>
        <v>0</v>
      </c>
    </row>
    <row r="17" spans="1:28" x14ac:dyDescent="0.25">
      <c r="A17" s="14">
        <v>4</v>
      </c>
      <c r="B17" s="85"/>
      <c r="C17" s="88"/>
      <c r="D17" s="117" t="str">
        <f>IFERROR(VLOOKUP($A$1&amp;"/"&amp;$B$15&amp;"/"&amp;$A16,TaskTimings[[EmployeeDateSeqCode]:[Task]],2,0),"")</f>
        <v/>
      </c>
      <c r="E17" s="117"/>
      <c r="F17" s="117"/>
      <c r="G17" s="117"/>
      <c r="H17" s="22">
        <f>IFERROR(VLOOKUP($A$1&amp;"/"&amp;$B$15&amp;"/"&amp;$A16,TaskTimings[[EmployeeDateSeqCode]:[Total Minutes]],7,0),0)</f>
        <v>0</v>
      </c>
      <c r="I17" s="106"/>
      <c r="J17" s="26">
        <v>2</v>
      </c>
      <c r="K17" s="109"/>
      <c r="L17" s="89"/>
      <c r="M17" s="108" t="str">
        <f>IF($K$16="","",IFERROR(VLOOKUP($K$16&amp;"/"&amp;$J17,$Z$7:$AA$30,2,0),""))</f>
        <v>Database Analysis from Old Project</v>
      </c>
      <c r="N17" s="108"/>
      <c r="O17" s="108"/>
      <c r="P17" s="108"/>
      <c r="Q17" s="22">
        <f>IF($M17="","",SUMIFS($H$7:$H$30,$D$7:$D$30,$K$16&amp;"/"&amp;$M17))</f>
        <v>375.99999999999994</v>
      </c>
      <c r="R17" s="106"/>
      <c r="S17" s="31"/>
      <c r="T17" s="32"/>
      <c r="U17" s="14">
        <f>IF(COUNTIFS($D$6:$D17,D17)=1,1,0)</f>
        <v>0</v>
      </c>
      <c r="V17" s="29" t="str">
        <f>IF($U17=0,"",VLOOKUP($D17,TaskTimings[[Task]:[PRJLST]],10,0))</f>
        <v/>
      </c>
      <c r="W17" s="14" t="str">
        <f>IF($V17="","",COUNTIF($V$7:$V17,$V17))</f>
        <v/>
      </c>
      <c r="X17" s="14" t="str">
        <f>IF($W17=1,COUNTA($X$6:$X16)+1,"")</f>
        <v/>
      </c>
      <c r="Y17" s="33" t="str">
        <f t="shared" si="0"/>
        <v/>
      </c>
      <c r="Z17" s="29" t="str">
        <f>IF($Y17="","",$Y17&amp;"/"&amp;COUNTIF($Y$7:$Y17,$Y17))</f>
        <v/>
      </c>
      <c r="AA17" s="29" t="str">
        <f>IF($Z17="","",VLOOKUP($D17,TaskTimings[[Task]:[TSKLST]],11,0))</f>
        <v/>
      </c>
      <c r="AB17" s="29">
        <f t="shared" si="1"/>
        <v>0</v>
      </c>
    </row>
    <row r="18" spans="1:28" x14ac:dyDescent="0.25">
      <c r="A18" s="14">
        <v>1</v>
      </c>
      <c r="B18" s="85"/>
      <c r="C18" s="88"/>
      <c r="D18" s="117" t="str">
        <f>IFERROR(VLOOKUP($A$1&amp;"/"&amp;$B$15&amp;"/"&amp;$A17,TaskTimings[[EmployeeDateSeqCode]:[Task]],2,0),"")</f>
        <v/>
      </c>
      <c r="E18" s="117"/>
      <c r="F18" s="117"/>
      <c r="G18" s="117"/>
      <c r="H18" s="22">
        <f>IFERROR(VLOOKUP($A$1&amp;"/"&amp;$B$15&amp;"/"&amp;$A17,TaskTimings[[EmployeeDateSeqCode]:[Total Minutes]],7,0),0)</f>
        <v>0</v>
      </c>
      <c r="I18" s="106"/>
      <c r="J18" s="26">
        <v>3</v>
      </c>
      <c r="K18" s="109"/>
      <c r="L18" s="89"/>
      <c r="M18" s="108" t="str">
        <f>IF($K$16="","",IFERROR(VLOOKUP($K$16&amp;"/"&amp;$J18,$Z$7:$AA$30,2,0),""))</f>
        <v>Note down table relations</v>
      </c>
      <c r="N18" s="108"/>
      <c r="O18" s="108"/>
      <c r="P18" s="108"/>
      <c r="Q18" s="22">
        <f>IF($M18="","",SUMIFS($H$7:$H$30,$D$7:$D$30,$K$16&amp;"/"&amp;$M18))</f>
        <v>510.00000000000011</v>
      </c>
      <c r="R18" s="106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8">
        <f>B15+1</f>
        <v>43433</v>
      </c>
      <c r="C19" s="88"/>
      <c r="D19" s="117" t="str">
        <f>IFERROR(VLOOKUP($A$1&amp;"/"&amp;$B$19&amp;"/"&amp;$A18,TaskTimings[[EmployeeDateSeqCode]:[Task]],2,0),"")</f>
        <v>TKT/Note down table relations</v>
      </c>
      <c r="E19" s="117"/>
      <c r="F19" s="117"/>
      <c r="G19" s="117"/>
      <c r="H19" s="22">
        <f>IFERROR(VLOOKUP($A$1&amp;"/"&amp;$B$19&amp;"/"&amp;$A18,TaskTimings[[EmployeeDateSeqCode]:[Total Minutes]],7,0),0)</f>
        <v>130.00000000000003</v>
      </c>
      <c r="I19" s="106">
        <f t="shared" ref="I19" si="4">SUM(H19:H22)</f>
        <v>250.00000000000009</v>
      </c>
      <c r="J19" s="26">
        <v>4</v>
      </c>
      <c r="K19" s="109"/>
      <c r="L19" s="89"/>
      <c r="M19" s="108" t="str">
        <f>IF($K$16="","",IFERROR(VLOOKUP($K$16&amp;"/"&amp;$J19,$Z$7:$AA$30,2,0),""))</f>
        <v>Entering table details into excel sheet</v>
      </c>
      <c r="N19" s="108"/>
      <c r="O19" s="108"/>
      <c r="P19" s="108"/>
      <c r="Q19" s="22">
        <f>IF($M19="","",SUMIFS($H$7:$H$30,$D$7:$D$30,$K$16&amp;"/"&amp;$M19))</f>
        <v>660.00000000000023</v>
      </c>
      <c r="R19" s="106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85"/>
      <c r="C20" s="88"/>
      <c r="D20" s="117" t="str">
        <f>IFERROR(VLOOKUP($A$1&amp;"/"&amp;$B$19&amp;"/"&amp;$A19,TaskTimings[[EmployeeDateSeqCode]:[Task]],2,0),"")</f>
        <v>TKT/Entering table details into excel sheet</v>
      </c>
      <c r="E20" s="117"/>
      <c r="F20" s="117"/>
      <c r="G20" s="117"/>
      <c r="H20" s="22">
        <f>IFERROR(VLOOKUP($A$1&amp;"/"&amp;$B$19&amp;"/"&amp;$A19,TaskTimings[[EmployeeDateSeqCode]:[Total Minutes]],7,0),0)</f>
        <v>120.00000000000006</v>
      </c>
      <c r="I20" s="106"/>
      <c r="J20" s="26">
        <v>1</v>
      </c>
      <c r="K20" s="109" t="str">
        <f>VLOOKUP(2,$K$7:$M$11,2,0)</f>
        <v/>
      </c>
      <c r="L20" s="89"/>
      <c r="M20" s="108" t="str">
        <f>IF($K$20="","",IFERROR(VLOOKUP($K$20&amp;"/"&amp;$J20,$Z$7:$AA$30,2,0),""))</f>
        <v/>
      </c>
      <c r="N20" s="108"/>
      <c r="O20" s="108"/>
      <c r="P20" s="108"/>
      <c r="Q20" s="22" t="str">
        <f>IF($M20="","",SUMIFS($H$7:$H$30,$D$7:$D$30,$K$20&amp;"/"&amp;$M20))</f>
        <v/>
      </c>
      <c r="R20" s="106">
        <f t="shared" ref="R20" si="5">SUM(Q20:Q23)</f>
        <v>0</v>
      </c>
      <c r="S20" s="25"/>
      <c r="T20" s="25"/>
      <c r="U20" s="14">
        <f>IF(COUNTIFS($D$6:$D20,D20)=1,1,0)</f>
        <v>1</v>
      </c>
      <c r="V20" s="29" t="str">
        <f>IF($U20=0,"",VLOOKUP($D20,TaskTimings[[Task]:[PRJLST]],10,0))</f>
        <v>TKT</v>
      </c>
      <c r="W20" s="14">
        <f>IF($V20="","",COUNTIF($V$7:$V20,$V20))</f>
        <v>4</v>
      </c>
      <c r="X20" s="14" t="str">
        <f>IF($W20=1,COUNTA($X$6:$X19)+1,"")</f>
        <v/>
      </c>
      <c r="Y20" s="33" t="str">
        <f t="shared" si="0"/>
        <v>TKT</v>
      </c>
      <c r="Z20" s="29" t="str">
        <f>IF($Y20="","",$Y20&amp;"/"&amp;COUNTIF($Y$7:$Y20,$Y20))</f>
        <v>TKT/4</v>
      </c>
      <c r="AA20" s="29" t="str">
        <f>IF($Z20="","",VLOOKUP($D20,TaskTimings[[Task]:[TSKLST]],11,0))</f>
        <v>Entering table details into excel sheet</v>
      </c>
      <c r="AB20" s="29">
        <f t="shared" si="1"/>
        <v>660.00000000000023</v>
      </c>
    </row>
    <row r="21" spans="1:28" x14ac:dyDescent="0.25">
      <c r="A21" s="14">
        <v>4</v>
      </c>
      <c r="B21" s="85"/>
      <c r="C21" s="88"/>
      <c r="D21" s="117" t="str">
        <f>IFERROR(VLOOKUP($A$1&amp;"/"&amp;$B$19&amp;"/"&amp;$A20,TaskTimings[[EmployeeDateSeqCode]:[Task]],2,0),"")</f>
        <v/>
      </c>
      <c r="E21" s="117"/>
      <c r="F21" s="117"/>
      <c r="G21" s="117"/>
      <c r="H21" s="22">
        <f>IFERROR(VLOOKUP($A$1&amp;"/"&amp;$B$19&amp;"/"&amp;$A20,TaskTimings[[EmployeeDateSeqCode]:[Total Minutes]],7,0),0)</f>
        <v>0</v>
      </c>
      <c r="I21" s="106"/>
      <c r="J21" s="26">
        <v>2</v>
      </c>
      <c r="K21" s="109"/>
      <c r="L21" s="89"/>
      <c r="M21" s="108" t="str">
        <f>IF($K$20="","",IFERROR(VLOOKUP($K$20&amp;"/"&amp;$J21,$Z$7:$AA$30,2,0),""))</f>
        <v/>
      </c>
      <c r="N21" s="108"/>
      <c r="O21" s="108"/>
      <c r="P21" s="108"/>
      <c r="Q21" s="22" t="str">
        <f>IF($M21="","",SUMIFS($H$7:$H$30,$D$7:$D$30,$K$20&amp;"/"&amp;$M21))</f>
        <v/>
      </c>
      <c r="R21" s="106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85"/>
      <c r="C22" s="88"/>
      <c r="D22" s="117" t="str">
        <f>IFERROR(VLOOKUP($A$1&amp;"/"&amp;$B$19&amp;"/"&amp;$A21,TaskTimings[[EmployeeDateSeqCode]:[Task]],2,0),"")</f>
        <v/>
      </c>
      <c r="E22" s="117"/>
      <c r="F22" s="117"/>
      <c r="G22" s="117"/>
      <c r="H22" s="22">
        <f>IFERROR(VLOOKUP($A$1&amp;"/"&amp;$B$19&amp;"/"&amp;$A21,TaskTimings[[EmployeeDateSeqCode]:[Total Minutes]],7,0),0)</f>
        <v>0</v>
      </c>
      <c r="I22" s="106"/>
      <c r="J22" s="26">
        <v>3</v>
      </c>
      <c r="K22" s="109"/>
      <c r="L22" s="89"/>
      <c r="M22" s="108" t="str">
        <f>IF($K$20="","",IFERROR(VLOOKUP($K$20&amp;"/"&amp;$J22,$Z$7:$AA$30,2,0),""))</f>
        <v/>
      </c>
      <c r="N22" s="108"/>
      <c r="O22" s="108"/>
      <c r="P22" s="108"/>
      <c r="Q22" s="22" t="str">
        <f>IF($M22="","",SUMIFS($H$7:$H$30,$D$7:$D$30,$K$20&amp;"/"&amp;$M22))</f>
        <v/>
      </c>
      <c r="R22" s="106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8">
        <f>B19+1</f>
        <v>43434</v>
      </c>
      <c r="C23" s="88"/>
      <c r="D23" s="117" t="str">
        <f>IFERROR(VLOOKUP($A$1&amp;"/"&amp;$B$23&amp;"/"&amp;$A22,TaskTimings[[EmployeeDateSeqCode]:[Task]],2,0),"")</f>
        <v>TKT/Entering table details into excel sheet</v>
      </c>
      <c r="E23" s="117"/>
      <c r="F23" s="117"/>
      <c r="G23" s="117"/>
      <c r="H23" s="22">
        <f>IFERROR(VLOOKUP($A$1&amp;"/"&amp;$B$23&amp;"/"&amp;$A22,TaskTimings[[EmployeeDateSeqCode]:[Total Minutes]],7,0),0)</f>
        <v>204.99999999999991</v>
      </c>
      <c r="I23" s="106">
        <f t="shared" ref="I23" si="6">SUM(H23:H26)</f>
        <v>389.99999999999989</v>
      </c>
      <c r="J23" s="26">
        <v>4</v>
      </c>
      <c r="K23" s="109"/>
      <c r="L23" s="89"/>
      <c r="M23" s="108" t="str">
        <f>IF($K$20="","",IFERROR(VLOOKUP($K$20&amp;"/"&amp;$J23,$Z$7:$AA$30,2,0),""))</f>
        <v/>
      </c>
      <c r="N23" s="108"/>
      <c r="O23" s="108"/>
      <c r="P23" s="108"/>
      <c r="Q23" s="22" t="str">
        <f>IF($M23="","",SUMIFS($H$7:$H$30,$D$7:$D$30,$K$20&amp;"/"&amp;$M23))</f>
        <v/>
      </c>
      <c r="R23" s="106"/>
      <c r="S23" s="25"/>
      <c r="T23" s="25"/>
      <c r="U23" s="14">
        <f>IF(COUNTIFS($D$6:$D23,D23)=1,1,0)</f>
        <v>0</v>
      </c>
      <c r="V23" s="29" t="str">
        <f>IF($U23=0,"",VLOOKUP($D23,TaskTimings[[Task]:[PRJLST]],10,0))</f>
        <v/>
      </c>
      <c r="W23" s="14" t="str">
        <f>IF($V23="","",COUNTIF($V$7:$V23,$V23))</f>
        <v/>
      </c>
      <c r="X23" s="14" t="str">
        <f>IF($W23=1,COUNTA($X$6:$X22)+1,"")</f>
        <v/>
      </c>
      <c r="Y23" s="33" t="str">
        <f t="shared" si="0"/>
        <v/>
      </c>
      <c r="Z23" s="29" t="str">
        <f>IF($Y23="","",$Y23&amp;"/"&amp;COUNTIF($Y$7:$Y23,$Y23))</f>
        <v/>
      </c>
      <c r="AA23" s="29" t="str">
        <f>IF($Z23="","",VLOOKUP($D23,TaskTimings[[Task]:[TSKLST]],11,0))</f>
        <v/>
      </c>
      <c r="AB23" s="29">
        <f t="shared" si="1"/>
        <v>0</v>
      </c>
    </row>
    <row r="24" spans="1:28" x14ac:dyDescent="0.25">
      <c r="A24" s="14">
        <v>3</v>
      </c>
      <c r="B24" s="85"/>
      <c r="C24" s="88"/>
      <c r="D24" s="117" t="str">
        <f>IFERROR(VLOOKUP($A$1&amp;"/"&amp;$B$23&amp;"/"&amp;$A23,TaskTimings[[EmployeeDateSeqCode]:[Task]],2,0),"")</f>
        <v>TKT/Entering table details into excel sheet</v>
      </c>
      <c r="E24" s="117"/>
      <c r="F24" s="117"/>
      <c r="G24" s="117"/>
      <c r="H24" s="22">
        <f>IFERROR(VLOOKUP($A$1&amp;"/"&amp;$B$23&amp;"/"&amp;$A23,TaskTimings[[EmployeeDateSeqCode]:[Total Minutes]],7,0),0)</f>
        <v>125.00000000000003</v>
      </c>
      <c r="I24" s="106"/>
      <c r="J24" s="26">
        <v>1</v>
      </c>
      <c r="K24" s="109" t="str">
        <f>VLOOKUP(3,$K$7:$M$11,2,0)</f>
        <v/>
      </c>
      <c r="L24" s="89"/>
      <c r="M24" s="108" t="str">
        <f>IF($K$24="","",IFERROR(VLOOKUP($K$24&amp;"/"&amp;$J24,$Z$7:$AA$30,2,0),""))</f>
        <v/>
      </c>
      <c r="N24" s="108"/>
      <c r="O24" s="108"/>
      <c r="P24" s="108"/>
      <c r="Q24" s="22" t="str">
        <f>IF($M24="","",SUMIFS($H$7:$H$30,$D$7:$D$30,$K$24&amp;"/"&amp;$M24))</f>
        <v/>
      </c>
      <c r="R24" s="106">
        <f t="shared" ref="R24" si="7">SUM(Q24:Q27)</f>
        <v>0</v>
      </c>
      <c r="S24" s="25"/>
      <c r="T24" s="25"/>
      <c r="U24" s="14">
        <f>IF(COUNTIFS($D$6:$D24,D24)=1,1,0)</f>
        <v>0</v>
      </c>
      <c r="V24" s="29" t="str">
        <f>IF($U24=0,"",VLOOKUP($D24,TaskTimings[[Task]:[PRJLST]],10,0))</f>
        <v/>
      </c>
      <c r="W24" s="14" t="str">
        <f>IF($V24="","",COUNTIF($V$7:$V24,$V24))</f>
        <v/>
      </c>
      <c r="X24" s="14" t="str">
        <f>IF($W24=1,COUNTA($X$6:$X23)+1,"")</f>
        <v/>
      </c>
      <c r="Y24" s="33" t="str">
        <f t="shared" si="0"/>
        <v/>
      </c>
      <c r="Z24" s="29" t="str">
        <f>IF($Y24="","",$Y24&amp;"/"&amp;COUNTIF($Y$7:$Y24,$Y24))</f>
        <v/>
      </c>
      <c r="AA24" s="29" t="str">
        <f>IF($Z24="","",VLOOKUP($D24,TaskTimings[[Task]:[TSKLST]],11,0))</f>
        <v/>
      </c>
      <c r="AB24" s="29">
        <f t="shared" si="1"/>
        <v>0</v>
      </c>
    </row>
    <row r="25" spans="1:28" x14ac:dyDescent="0.25">
      <c r="A25" s="14">
        <v>4</v>
      </c>
      <c r="B25" s="85"/>
      <c r="C25" s="88"/>
      <c r="D25" s="117" t="str">
        <f>IFERROR(VLOOKUP($A$1&amp;"/"&amp;$B$23&amp;"/"&amp;$A24,TaskTimings[[EmployeeDateSeqCode]:[Task]],2,0),"")</f>
        <v>TEEBPD/Inhouse Testing</v>
      </c>
      <c r="E25" s="117"/>
      <c r="F25" s="117"/>
      <c r="G25" s="117"/>
      <c r="H25" s="22">
        <f>IFERROR(VLOOKUP($A$1&amp;"/"&amp;$B$23&amp;"/"&amp;$A24,TaskTimings[[EmployeeDateSeqCode]:[Total Minutes]],7,0),0)</f>
        <v>59.999999999999943</v>
      </c>
      <c r="I25" s="106"/>
      <c r="J25" s="26">
        <v>2</v>
      </c>
      <c r="K25" s="109"/>
      <c r="L25" s="89"/>
      <c r="M25" s="108" t="str">
        <f>IF($K$24="","",IFERROR(VLOOKUP($K$24&amp;"/"&amp;$J25,$Z$7:$AA$30,2,0),""))</f>
        <v/>
      </c>
      <c r="N25" s="108"/>
      <c r="O25" s="108"/>
      <c r="P25" s="108"/>
      <c r="Q25" s="22" t="str">
        <f>IF($M25="","",SUMIFS($H$7:$H$30,$D$7:$D$30,$K$24&amp;"/"&amp;$M25))</f>
        <v/>
      </c>
      <c r="R25" s="106"/>
      <c r="S25" s="25"/>
      <c r="T25" s="25"/>
      <c r="U25" s="14">
        <f>IF(COUNTIFS($D$6:$D25,D25)=1,1,0)</f>
        <v>1</v>
      </c>
      <c r="V25" s="29" t="str">
        <f>IF($U25=0,"",VLOOKUP($D25,TaskTimings[[Task]:[PRJLST]],10,0))</f>
        <v>TEEBPD</v>
      </c>
      <c r="W25" s="14">
        <f>IF($V25="","",COUNTIF($V$7:$V25,$V25))</f>
        <v>1</v>
      </c>
      <c r="X25" s="14">
        <f>IF($W25=1,COUNTA($X$6:$X24)+1,"")</f>
        <v>19</v>
      </c>
      <c r="Y25" s="33" t="str">
        <f t="shared" si="0"/>
        <v>TEEBPD</v>
      </c>
      <c r="Z25" s="29" t="str">
        <f>IF($Y25="","",$Y25&amp;"/"&amp;COUNTIF($Y$7:$Y25,$Y25))</f>
        <v>TEEBPD/1</v>
      </c>
      <c r="AA25" s="29" t="str">
        <f>IF($Z25="","",VLOOKUP($D25,TaskTimings[[Task]:[TSKLST]],11,0))</f>
        <v>Inhouse Testing</v>
      </c>
      <c r="AB25" s="29">
        <f t="shared" si="1"/>
        <v>59.999999999999943</v>
      </c>
    </row>
    <row r="26" spans="1:28" x14ac:dyDescent="0.25">
      <c r="A26" s="14">
        <v>1</v>
      </c>
      <c r="B26" s="85"/>
      <c r="C26" s="88"/>
      <c r="D26" s="117" t="str">
        <f>IFERROR(VLOOKUP($A$1&amp;"/"&amp;$B$23&amp;"/"&amp;$A25,TaskTimings[[EmployeeDateSeqCode]:[Task]],2,0),"")</f>
        <v/>
      </c>
      <c r="E26" s="117"/>
      <c r="F26" s="117"/>
      <c r="G26" s="117"/>
      <c r="H26" s="22">
        <f>IFERROR(VLOOKUP($A$1&amp;"/"&amp;$B$23&amp;"/"&amp;$A25,TaskTimings[[EmployeeDateSeqCode]:[Total Minutes]],7,0),0)</f>
        <v>0</v>
      </c>
      <c r="I26" s="106"/>
      <c r="J26" s="26">
        <v>3</v>
      </c>
      <c r="K26" s="109"/>
      <c r="L26" s="89"/>
      <c r="M26" s="108" t="str">
        <f>IF($K$24="","",IFERROR(VLOOKUP($K$24&amp;"/"&amp;$J26,$Z$7:$AA$30,2,0),""))</f>
        <v/>
      </c>
      <c r="N26" s="108"/>
      <c r="O26" s="108"/>
      <c r="P26" s="108"/>
      <c r="Q26" s="22" t="str">
        <f>IF($M26="","",SUMIFS($H$7:$H$30,$D$7:$D$30,$K$24&amp;"/"&amp;$M26))</f>
        <v/>
      </c>
      <c r="R26" s="106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8">
        <f>B23+1</f>
        <v>43435</v>
      </c>
      <c r="C27" s="88"/>
      <c r="D27" s="117" t="str">
        <f>IFERROR(VLOOKUP($A$1&amp;"/"&amp;$B$27&amp;"/"&amp;$A26,TaskTimings[[EmployeeDateSeqCode]:[Task]],2,0),"")</f>
        <v>TKT/Entering table details into excel sheet</v>
      </c>
      <c r="E27" s="117"/>
      <c r="F27" s="117"/>
      <c r="G27" s="117"/>
      <c r="H27" s="22">
        <f>IFERROR(VLOOKUP($A$1&amp;"/"&amp;$B$27&amp;"/"&amp;$A26,TaskTimings[[EmployeeDateSeqCode]:[Total Minutes]],7,0),0)</f>
        <v>90.000000000000085</v>
      </c>
      <c r="I27" s="106">
        <f t="shared" ref="I27" si="8">SUM(H27:H30)</f>
        <v>210.00000000000014</v>
      </c>
      <c r="J27" s="26">
        <v>4</v>
      </c>
      <c r="K27" s="109"/>
      <c r="L27" s="89"/>
      <c r="M27" s="108" t="str">
        <f>IF($K$24="","",IFERROR(VLOOKUP($K$24&amp;"/"&amp;$J27,$Z$7:$AA$30,2,0),""))</f>
        <v/>
      </c>
      <c r="N27" s="108"/>
      <c r="O27" s="108"/>
      <c r="P27" s="108"/>
      <c r="Q27" s="22" t="str">
        <f>IF($M27="","",SUMIFS($H$7:$H$30,$D$7:$D$30,$K$24&amp;"/"&amp;$M27))</f>
        <v/>
      </c>
      <c r="R27" s="106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85"/>
      <c r="C28" s="88"/>
      <c r="D28" s="117" t="str">
        <f>IFERROR(VLOOKUP($A$1&amp;"/"&amp;$B$27&amp;"/"&amp;$A27,TaskTimings[[EmployeeDateSeqCode]:[Task]],2,0),"")</f>
        <v>TKT/Entering table details into excel sheet</v>
      </c>
      <c r="E28" s="117"/>
      <c r="F28" s="117"/>
      <c r="G28" s="117"/>
      <c r="H28" s="22">
        <f>IFERROR(VLOOKUP($A$1&amp;"/"&amp;$B$27&amp;"/"&amp;$A27,TaskTimings[[EmployeeDateSeqCode]:[Total Minutes]],7,0),0)</f>
        <v>120.00000000000006</v>
      </c>
      <c r="I28" s="106"/>
      <c r="J28" s="26">
        <v>1</v>
      </c>
      <c r="K28" s="109" t="str">
        <f>VLOOKUP(4,$K$7:$M$11,2,0)</f>
        <v/>
      </c>
      <c r="L28" s="89"/>
      <c r="M28" s="108" t="str">
        <f>IF($K$28="","",IFERROR(VLOOKUP($K$28&amp;"/"&amp;$J28,$Z$7:$AA$30,2,0),""))</f>
        <v/>
      </c>
      <c r="N28" s="108"/>
      <c r="O28" s="108"/>
      <c r="P28" s="108"/>
      <c r="Q28" s="22" t="str">
        <f>IF($M28="","",SUMIFS($H$7:$H$30,$D$7:$D$30,$K$28&amp;"/"&amp;$M28))</f>
        <v/>
      </c>
      <c r="R28" s="106">
        <f t="shared" ref="R28" si="9">SUM(Q28:Q31)</f>
        <v>0</v>
      </c>
      <c r="S28" s="25"/>
      <c r="T28" s="25"/>
      <c r="U28" s="14">
        <f>IF(COUNTIFS($D$6:$D28,D28)=1,1,0)</f>
        <v>0</v>
      </c>
      <c r="V28" s="29" t="str">
        <f>IF($U28=0,"",VLOOKUP($D28,TaskTimings[[Task]:[PRJLST]],10,0))</f>
        <v/>
      </c>
      <c r="W28" s="14" t="str">
        <f>IF($V28="","",COUNTIF($V$7:$V28,$V28))</f>
        <v/>
      </c>
      <c r="X28" s="14" t="str">
        <f>IF($W28=1,COUNTA($X$6:$X27)+1,"")</f>
        <v/>
      </c>
      <c r="Y28" s="33" t="str">
        <f t="shared" si="0"/>
        <v/>
      </c>
      <c r="Z28" s="29" t="str">
        <f>IF($Y28="","",$Y28&amp;"/"&amp;COUNTIF($Y$7:$Y28,$Y28))</f>
        <v/>
      </c>
      <c r="AA28" s="29" t="str">
        <f>IF($Z28="","",VLOOKUP($D28,TaskTimings[[Task]:[TSKLST]],11,0))</f>
        <v/>
      </c>
      <c r="AB28" s="29">
        <f t="shared" si="1"/>
        <v>0</v>
      </c>
    </row>
    <row r="29" spans="1:28" x14ac:dyDescent="0.25">
      <c r="A29" s="14">
        <v>4</v>
      </c>
      <c r="B29" s="85"/>
      <c r="C29" s="88"/>
      <c r="D29" s="117" t="str">
        <f>IFERROR(VLOOKUP($A$1&amp;"/"&amp;$B$27&amp;"/"&amp;$A28,TaskTimings[[EmployeeDateSeqCode]:[Task]],2,0),"")</f>
        <v/>
      </c>
      <c r="E29" s="117"/>
      <c r="F29" s="117"/>
      <c r="G29" s="117"/>
      <c r="H29" s="22">
        <f>IFERROR(VLOOKUP($A$1&amp;"/"&amp;$B$27&amp;"/"&amp;$A28,TaskTimings[[EmployeeDateSeqCode]:[Total Minutes]],7,0),0)</f>
        <v>0</v>
      </c>
      <c r="I29" s="106"/>
      <c r="J29" s="26">
        <v>2</v>
      </c>
      <c r="K29" s="109"/>
      <c r="L29" s="89"/>
      <c r="M29" s="108" t="str">
        <f>IF($K$28="","",IFERROR(VLOOKUP($K$28&amp;"/"&amp;$J29,$Z$7:$AA$30,2,0),""))</f>
        <v/>
      </c>
      <c r="N29" s="108"/>
      <c r="O29" s="108"/>
      <c r="P29" s="108"/>
      <c r="Q29" s="22" t="str">
        <f>IF($M29="","",SUMIFS($H$7:$H$30,$D$7:$D$30,$K$28&amp;"/"&amp;$M29))</f>
        <v/>
      </c>
      <c r="R29" s="106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9"/>
      <c r="C30" s="120"/>
      <c r="D30" s="115" t="str">
        <f>IFERROR(VLOOKUP($A$1&amp;"/"&amp;$B$27&amp;"/"&amp;$A29,TaskTimings[[EmployeeDateSeqCode]:[Task]],2,0),"")</f>
        <v/>
      </c>
      <c r="E30" s="115"/>
      <c r="F30" s="115"/>
      <c r="G30" s="115"/>
      <c r="H30" s="24">
        <f>IFERROR(VLOOKUP($A$1&amp;"/"&amp;$B$27&amp;"/"&amp;$A29,TaskTimings[[EmployeeDateSeqCode]:[Total Minutes]],7,0),0)</f>
        <v>0</v>
      </c>
      <c r="I30" s="107"/>
      <c r="J30" s="26">
        <v>3</v>
      </c>
      <c r="K30" s="109"/>
      <c r="L30" s="89"/>
      <c r="M30" s="108" t="str">
        <f>IF($K$28="","",IFERROR(VLOOKUP($K$28&amp;"/"&amp;$J30,$Z$7:$AA$30,2,0),""))</f>
        <v/>
      </c>
      <c r="N30" s="108"/>
      <c r="O30" s="108"/>
      <c r="P30" s="108"/>
      <c r="Q30" s="22" t="str">
        <f>IF($M30="","",SUMIFS($H$7:$H$30,$D$7:$D$30,$K$28&amp;"/"&amp;$M30))</f>
        <v/>
      </c>
      <c r="R30" s="106"/>
      <c r="U30" s="14">
        <f>IF(COUNTIFS($D$6:$D30,D30)=1,1,0)</f>
        <v>0</v>
      </c>
      <c r="V30" s="29" t="str">
        <f>IF($U30=0,"",VLOOKUP($D30,TaskTimings[[Task]:[PRJLST]],10,0))</f>
        <v/>
      </c>
      <c r="W30" s="14" t="str">
        <f>IF($V30="","",COUNTIF($V$7:$V30,$V30))</f>
        <v/>
      </c>
      <c r="X30" s="14" t="str">
        <f>IF($W30=1,COUNTA($X$6:$X29)+1,"")</f>
        <v/>
      </c>
      <c r="Y30" s="33" t="str">
        <f t="shared" si="0"/>
        <v/>
      </c>
      <c r="Z30" s="29" t="str">
        <f>IF($Y30="","",$Y30&amp;"/"&amp;COUNTIF($Y$7:$Y30,$Y30))</f>
        <v/>
      </c>
      <c r="AA30" s="29" t="str">
        <f>IF($Z30="","",VLOOKUP($D30,TaskTimings[[Task]:[TSKLST]],11,0))</f>
        <v/>
      </c>
      <c r="AB30" s="29">
        <f t="shared" si="1"/>
        <v>0</v>
      </c>
    </row>
    <row r="31" spans="1:28" x14ac:dyDescent="0.25">
      <c r="J31" s="26">
        <v>4</v>
      </c>
      <c r="K31" s="109"/>
      <c r="L31" s="89"/>
      <c r="M31" s="108" t="str">
        <f>IF($K$28="","",IFERROR(VLOOKUP($K$28&amp;"/"&amp;$J31,$Z$7:$AA$30,2,0),""))</f>
        <v/>
      </c>
      <c r="N31" s="108"/>
      <c r="O31" s="108"/>
      <c r="P31" s="108"/>
      <c r="Q31" s="22" t="str">
        <f>IF($M31="","",SUMIFS($H$7:$H$30,$D$7:$D$30,$K$28&amp;"/"&amp;$M31))</f>
        <v/>
      </c>
      <c r="R31" s="106"/>
    </row>
    <row r="32" spans="1:28" x14ac:dyDescent="0.25">
      <c r="J32" s="26">
        <v>1</v>
      </c>
      <c r="K32" s="109" t="str">
        <f>VLOOKUP(5,$K$7:$M$11,2,0)</f>
        <v/>
      </c>
      <c r="L32" s="89"/>
      <c r="M32" s="108" t="str">
        <f>IF($K$32="","",IFERROR(VLOOKUP($K$32&amp;"/"&amp;$J32,$Z$7:$AA$30,2,0),""))</f>
        <v/>
      </c>
      <c r="N32" s="108"/>
      <c r="O32" s="108"/>
      <c r="P32" s="108"/>
      <c r="Q32" s="22" t="str">
        <f>IF($M32="","",SUMIFS($H$7:$H$30,$D$7:$D$30,$K$32&amp;"/"&amp;$M32))</f>
        <v/>
      </c>
      <c r="R32" s="106">
        <f t="shared" ref="R32" si="10">SUM(Q32:Q35)</f>
        <v>0</v>
      </c>
    </row>
    <row r="33" spans="10:18" x14ac:dyDescent="0.25">
      <c r="J33" s="26">
        <v>2</v>
      </c>
      <c r="K33" s="109"/>
      <c r="L33" s="89"/>
      <c r="M33" s="108" t="str">
        <f>IF($K$32="","",IFERROR(VLOOKUP($K$32&amp;"/"&amp;$J33,$Z$7:$AA$30,2,0),""))</f>
        <v/>
      </c>
      <c r="N33" s="108"/>
      <c r="O33" s="108"/>
      <c r="P33" s="108"/>
      <c r="Q33" s="22" t="str">
        <f>IF($M33="","",SUMIFS($H$7:$H$30,$D$7:$D$30,$K$32&amp;"/"&amp;$M33))</f>
        <v/>
      </c>
      <c r="R33" s="106"/>
    </row>
    <row r="34" spans="10:18" x14ac:dyDescent="0.25">
      <c r="J34" s="26">
        <v>3</v>
      </c>
      <c r="K34" s="109"/>
      <c r="L34" s="89"/>
      <c r="M34" s="108" t="str">
        <f>IF($K$32="","",IFERROR(VLOOKUP($K$32&amp;"/"&amp;$J34,$Z$7:$AA$30,2,0),""))</f>
        <v/>
      </c>
      <c r="N34" s="108"/>
      <c r="O34" s="108"/>
      <c r="P34" s="108"/>
      <c r="Q34" s="22" t="str">
        <f>IF($M34="","",SUMIFS($H$7:$H$30,$D$7:$D$30,$K$32&amp;"/"&amp;$M34))</f>
        <v/>
      </c>
      <c r="R34" s="106"/>
    </row>
    <row r="35" spans="10:18" ht="15.75" thickBot="1" x14ac:dyDescent="0.3">
      <c r="J35" s="26">
        <v>4</v>
      </c>
      <c r="K35" s="110"/>
      <c r="L35" s="95"/>
      <c r="M35" s="111" t="str">
        <f>IF($K$32="","",IFERROR(VLOOKUP($K$32&amp;"/"&amp;$J35,$Z$7:$AA$30,2,0),""))</f>
        <v/>
      </c>
      <c r="N35" s="111"/>
      <c r="O35" s="111"/>
      <c r="P35" s="111"/>
      <c r="Q35" s="24" t="str">
        <f>IF($M35="","",SUMIFS($H$7:$H$30,$D$7:$D$30,$K$32&amp;"/"&amp;$M35))</f>
        <v/>
      </c>
      <c r="R35" s="107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2018-12-05T11:34:40Z</dcterms:modified>
</cp:coreProperties>
</file>