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 gopi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49" i="4" l="1"/>
  <c r="A143" i="4"/>
  <c r="P150" i="4"/>
  <c r="B143" i="4"/>
  <c r="C143" i="4"/>
  <c r="D143" i="4"/>
  <c r="L143" i="4"/>
  <c r="M143" i="4"/>
  <c r="B144" i="4"/>
  <c r="C144" i="4"/>
  <c r="D144" i="4"/>
  <c r="L144" i="4"/>
  <c r="M144" i="4"/>
  <c r="B145" i="4"/>
  <c r="P146" i="4" s="1"/>
  <c r="C145" i="4"/>
  <c r="D145" i="4"/>
  <c r="L145" i="4"/>
  <c r="M145" i="4"/>
  <c r="B146" i="4"/>
  <c r="C146" i="4"/>
  <c r="D146" i="4"/>
  <c r="L146" i="4"/>
  <c r="M146" i="4"/>
  <c r="B147" i="4"/>
  <c r="P148" i="4" s="1"/>
  <c r="C147" i="4"/>
  <c r="Q148" i="4" s="1"/>
  <c r="D147" i="4"/>
  <c r="L147" i="4"/>
  <c r="M147" i="4"/>
  <c r="B148" i="4"/>
  <c r="C148" i="4"/>
  <c r="D148" i="4"/>
  <c r="L148" i="4"/>
  <c r="M148" i="4"/>
  <c r="B133" i="4"/>
  <c r="P133" i="4" s="1"/>
  <c r="C133" i="4"/>
  <c r="Q133" i="4" s="1"/>
  <c r="D133" i="4"/>
  <c r="L133" i="4"/>
  <c r="N133" i="4" s="1"/>
  <c r="O133" i="4" s="1"/>
  <c r="M133" i="4"/>
  <c r="B134" i="4"/>
  <c r="P134" i="4" s="1"/>
  <c r="C134" i="4"/>
  <c r="Q134" i="4" s="1"/>
  <c r="D134" i="4"/>
  <c r="L134" i="4"/>
  <c r="M134" i="4"/>
  <c r="B135" i="4"/>
  <c r="P135" i="4" s="1"/>
  <c r="C135" i="4"/>
  <c r="Q135" i="4" s="1"/>
  <c r="D135" i="4"/>
  <c r="L135" i="4"/>
  <c r="M135" i="4"/>
  <c r="B136" i="4"/>
  <c r="P136" i="4" s="1"/>
  <c r="C136" i="4"/>
  <c r="Q136" i="4" s="1"/>
  <c r="D136" i="4"/>
  <c r="L136" i="4"/>
  <c r="M136" i="4"/>
  <c r="B137" i="4"/>
  <c r="P137" i="4" s="1"/>
  <c r="C137" i="4"/>
  <c r="Q137" i="4" s="1"/>
  <c r="D137" i="4"/>
  <c r="L137" i="4"/>
  <c r="N137" i="4" s="1"/>
  <c r="O137" i="4" s="1"/>
  <c r="M137" i="4"/>
  <c r="B138" i="4"/>
  <c r="P138" i="4" s="1"/>
  <c r="C138" i="4"/>
  <c r="Q138" i="4" s="1"/>
  <c r="D138" i="4"/>
  <c r="L138" i="4"/>
  <c r="M138" i="4"/>
  <c r="M149" i="4"/>
  <c r="L149" i="4"/>
  <c r="N149" i="4" s="1"/>
  <c r="O149" i="4" s="1"/>
  <c r="D149" i="4"/>
  <c r="C149" i="4"/>
  <c r="Q150" i="4" s="1"/>
  <c r="B149" i="4"/>
  <c r="M142" i="4"/>
  <c r="L142" i="4"/>
  <c r="N142" i="4" s="1"/>
  <c r="O142" i="4" s="1"/>
  <c r="D142" i="4"/>
  <c r="C142" i="4"/>
  <c r="B142" i="4"/>
  <c r="M141" i="4"/>
  <c r="L141" i="4"/>
  <c r="N141" i="4" s="1"/>
  <c r="O141" i="4" s="1"/>
  <c r="D141" i="4"/>
  <c r="C141" i="4"/>
  <c r="B141" i="4"/>
  <c r="M140" i="4"/>
  <c r="L140" i="4"/>
  <c r="N140" i="4" s="1"/>
  <c r="O140" i="4" s="1"/>
  <c r="D140" i="4"/>
  <c r="C140" i="4"/>
  <c r="B140" i="4"/>
  <c r="M139" i="4"/>
  <c r="L139" i="4"/>
  <c r="D139" i="4"/>
  <c r="C139" i="4"/>
  <c r="B139" i="4"/>
  <c r="Q146" i="4" l="1"/>
  <c r="Q149" i="4"/>
  <c r="P149" i="4"/>
  <c r="Q147" i="4"/>
  <c r="P147" i="4"/>
  <c r="N138" i="4"/>
  <c r="O138" i="4" s="1"/>
  <c r="N135" i="4"/>
  <c r="O135" i="4" s="1"/>
  <c r="P145" i="4"/>
  <c r="N147" i="4"/>
  <c r="O147" i="4" s="1"/>
  <c r="Q145" i="4"/>
  <c r="N146" i="4"/>
  <c r="O146" i="4" s="1"/>
  <c r="N143" i="4"/>
  <c r="O143" i="4" s="1"/>
  <c r="N144" i="4"/>
  <c r="N136" i="4"/>
  <c r="O136" i="4" s="1"/>
  <c r="N145" i="4"/>
  <c r="O145" i="4" s="1"/>
  <c r="N148" i="4"/>
  <c r="O148" i="4" s="1"/>
  <c r="N134" i="4"/>
  <c r="N139" i="4"/>
  <c r="O139" i="4" s="1"/>
  <c r="O134" i="4" l="1"/>
  <c r="O144" i="4"/>
  <c r="Q143" i="4"/>
  <c r="P143" i="4"/>
  <c r="Q142" i="4"/>
  <c r="Q141" i="4"/>
  <c r="P142" i="4"/>
  <c r="Q144" i="4"/>
  <c r="P141" i="4"/>
  <c r="P144" i="4"/>
  <c r="A34" i="2"/>
  <c r="C34" i="2"/>
  <c r="E34" i="2"/>
  <c r="F34" i="2"/>
  <c r="G34" i="2"/>
  <c r="A33" i="2"/>
  <c r="C33" i="2"/>
  <c r="E33" i="2"/>
  <c r="F33" i="2"/>
  <c r="G33" i="2"/>
  <c r="D10" i="1"/>
  <c r="D132" i="4" l="1"/>
  <c r="L132" i="4"/>
  <c r="N132" i="4" s="1"/>
  <c r="O132" i="4" s="1"/>
  <c r="M132" i="4"/>
  <c r="D131" i="4"/>
  <c r="L131" i="4"/>
  <c r="N131" i="4" s="1"/>
  <c r="O131" i="4" s="1"/>
  <c r="M131" i="4"/>
  <c r="D130" i="4"/>
  <c r="L130" i="4"/>
  <c r="N130" i="4" s="1"/>
  <c r="O130" i="4" s="1"/>
  <c r="M130" i="4"/>
  <c r="D129" i="4"/>
  <c r="L129" i="4"/>
  <c r="N129" i="4" s="1"/>
  <c r="O129" i="4" s="1"/>
  <c r="M129" i="4"/>
  <c r="D128" i="4"/>
  <c r="L128" i="4"/>
  <c r="N128" i="4" s="1"/>
  <c r="O128" i="4" s="1"/>
  <c r="M128" i="4"/>
  <c r="D127" i="4" l="1"/>
  <c r="L127" i="4"/>
  <c r="M127" i="4"/>
  <c r="N127" i="4"/>
  <c r="O127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N121" i="4" s="1"/>
  <c r="O121" i="4" s="1"/>
  <c r="M121" i="4"/>
  <c r="D120" i="4"/>
  <c r="L120" i="4"/>
  <c r="N120" i="4" s="1"/>
  <c r="O120" i="4" s="1"/>
  <c r="M120" i="4"/>
  <c r="D119" i="4"/>
  <c r="L119" i="4"/>
  <c r="M119" i="4"/>
  <c r="D118" i="4"/>
  <c r="L118" i="4"/>
  <c r="N118" i="4" s="1"/>
  <c r="O118" i="4" s="1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24" i="4" l="1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N99" i="4" s="1"/>
  <c r="O99" i="4" s="1"/>
  <c r="M99" i="4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N74" i="4" s="1"/>
  <c r="O74" i="4" s="1"/>
  <c r="M74" i="4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46" i="4" l="1"/>
  <c r="E143" i="4"/>
  <c r="E144" i="4"/>
  <c r="E148" i="4"/>
  <c r="E147" i="4"/>
  <c r="E145" i="4"/>
  <c r="E134" i="4"/>
  <c r="E136" i="4"/>
  <c r="E138" i="4"/>
  <c r="E137" i="4"/>
  <c r="E133" i="4"/>
  <c r="E135" i="4"/>
  <c r="E142" i="4"/>
  <c r="F142" i="4" s="1"/>
  <c r="E139" i="4"/>
  <c r="F139" i="4" s="1"/>
  <c r="E140" i="4"/>
  <c r="F140" i="4" s="1"/>
  <c r="E141" i="4"/>
  <c r="F141" i="4" s="1"/>
  <c r="E149" i="4"/>
  <c r="F149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F136" i="4" l="1"/>
  <c r="F146" i="4"/>
  <c r="F134" i="4"/>
  <c r="F144" i="4"/>
  <c r="F135" i="4"/>
  <c r="F145" i="4"/>
  <c r="F133" i="4"/>
  <c r="D14" i="6" s="1"/>
  <c r="F143" i="4"/>
  <c r="F137" i="4"/>
  <c r="F147" i="4"/>
  <c r="F138" i="4"/>
  <c r="F148" i="4"/>
  <c r="Q140" i="4"/>
  <c r="P140" i="4"/>
  <c r="P139" i="4"/>
  <c r="Q13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B15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D11" i="6" l="1"/>
  <c r="D10" i="6"/>
  <c r="H9" i="6"/>
  <c r="H14" i="6"/>
  <c r="H13" i="6"/>
  <c r="H8" i="6"/>
  <c r="D12" i="6"/>
  <c r="H12" i="6"/>
  <c r="H17" i="6"/>
  <c r="H11" i="6"/>
  <c r="H10" i="6"/>
  <c r="D9" i="6"/>
  <c r="D7" i="6"/>
  <c r="U7" i="6" s="1"/>
  <c r="V7" i="6" s="1"/>
  <c r="W7" i="6" s="1"/>
  <c r="X7" i="6" s="1"/>
  <c r="H7" i="6"/>
  <c r="D8" i="6"/>
  <c r="D13" i="6"/>
  <c r="A113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14" i="4"/>
  <c r="H18" i="6"/>
  <c r="H15" i="6"/>
  <c r="H16" i="6"/>
  <c r="D16" i="6"/>
  <c r="D15" i="6"/>
  <c r="B19" i="6"/>
  <c r="D17" i="6"/>
  <c r="D18" i="6"/>
  <c r="O23" i="5"/>
  <c r="N23" i="5"/>
  <c r="L23" i="5"/>
  <c r="P23" i="5"/>
  <c r="K23" i="5"/>
  <c r="J23" i="5"/>
  <c r="M23" i="5"/>
  <c r="G23" i="5"/>
  <c r="I11" i="6" l="1"/>
  <c r="U13" i="6"/>
  <c r="V13" i="6" s="1"/>
  <c r="W13" i="6" s="1"/>
  <c r="X13" i="6" s="1"/>
  <c r="I7" i="6"/>
  <c r="U12" i="6"/>
  <c r="V12" i="6" s="1"/>
  <c r="W12" i="6" s="1"/>
  <c r="X12" i="6" s="1"/>
  <c r="U9" i="6"/>
  <c r="V9" i="6" s="1"/>
  <c r="W9" i="6" s="1"/>
  <c r="X9" i="6" s="1"/>
  <c r="U8" i="6"/>
  <c r="V8" i="6" s="1"/>
  <c r="W8" i="6" s="1"/>
  <c r="X8" i="6" s="1"/>
  <c r="U10" i="6"/>
  <c r="V10" i="6" s="1"/>
  <c r="W10" i="6" s="1"/>
  <c r="X10" i="6" s="1"/>
  <c r="U11" i="6"/>
  <c r="V11" i="6" s="1"/>
  <c r="W11" i="6" s="1"/>
  <c r="U15" i="6"/>
  <c r="V15" i="6" s="1"/>
  <c r="U14" i="6"/>
  <c r="V14" i="6" s="1"/>
  <c r="W14" i="6" s="1"/>
  <c r="X14" i="6" s="1"/>
  <c r="A144" i="4"/>
  <c r="A145" i="4" s="1"/>
  <c r="A146" i="4" s="1"/>
  <c r="A147" i="4" s="1"/>
  <c r="A148" i="4" s="1"/>
  <c r="Y13" i="6"/>
  <c r="Z13" i="6" s="1"/>
  <c r="AA13" i="6" s="1"/>
  <c r="AB13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8" i="6" l="1"/>
  <c r="W15" i="6"/>
  <c r="Y15" i="6" s="1"/>
  <c r="Y14" i="6"/>
  <c r="Z14" i="6" s="1"/>
  <c r="AA14" i="6" s="1"/>
  <c r="AB14" i="6" s="1"/>
  <c r="X11" i="6"/>
  <c r="Y10" i="6"/>
  <c r="Y11" i="6"/>
  <c r="Y12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X19" i="6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<sst xmlns="http://schemas.openxmlformats.org/spreadsheetml/2006/main" count="447" uniqueCount="114">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</sst>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left"/>
    </xf>
    <xf numFmtId="0" fontId="1" fillId="2" borderId="28" xfId="0" applyFont="1" applyFill="1" applyBorder="1"/>
    <xf numFmtId="164" fontId="1" fillId="2" borderId="28" xfId="0" applyNumberFormat="1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18" fontId="1" fillId="2" borderId="28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7" fillId="2" borderId="27" xfId="0" applyNumberFormat="1" applyFont="1" applyFill="1" applyBorder="1" applyAlignment="1">
      <alignment horizontal="center"/>
    </xf>
    <xf numFmtId="0" fontId="17" fillId="3" borderId="27" xfId="0" applyNumberFormat="1" applyFont="1" applyFill="1" applyBorder="1" applyAlignment="1">
      <alignment horizontal="center"/>
    </xf>
    <xf numFmtId="0" fontId="17" fillId="3" borderId="30" xfId="0" applyNumberFormat="1" applyFont="1" applyFill="1" applyBorder="1" applyAlignment="1">
      <alignment horizontal="center"/>
    </xf>
    <xf numFmtId="0" fontId="17" fillId="2" borderId="28" xfId="0" applyNumberFormat="1" applyFont="1" applyFill="1" applyBorder="1" applyAlignment="1">
      <alignment horizontal="left"/>
    </xf>
    <xf numFmtId="0" fontId="17" fillId="3" borderId="28" xfId="0" applyNumberFormat="1" applyFont="1" applyFill="1" applyBorder="1" applyAlignment="1">
      <alignment horizontal="left"/>
    </xf>
    <xf numFmtId="0" fontId="17" fillId="3" borderId="31" xfId="0" applyNumberFormat="1" applyFont="1" applyFill="1" applyBorder="1" applyAlignment="1">
      <alignment horizontal="left"/>
    </xf>
    <xf numFmtId="0" fontId="17" fillId="2" borderId="28" xfId="0" applyFont="1" applyFill="1" applyBorder="1"/>
    <xf numFmtId="0" fontId="17" fillId="3" borderId="28" xfId="0" applyFont="1" applyFill="1" applyBorder="1"/>
    <xf numFmtId="0" fontId="17" fillId="3" borderId="31" xfId="0" applyFont="1" applyFill="1" applyBorder="1"/>
    <xf numFmtId="164" fontId="17" fillId="2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31" xfId="0" applyNumberFormat="1" applyFont="1" applyFill="1" applyBorder="1" applyAlignment="1">
      <alignment horizontal="center"/>
    </xf>
    <xf numFmtId="166" fontId="17" fillId="2" borderId="28" xfId="0" applyNumberFormat="1" applyFont="1" applyFill="1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17" fillId="3" borderId="31" xfId="0" applyNumberFormat="1" applyFont="1" applyFill="1" applyBorder="1" applyAlignment="1">
      <alignment horizontal="center"/>
    </xf>
    <xf numFmtId="18" fontId="17" fillId="2" borderId="28" xfId="0" applyNumberFormat="1" applyFont="1" applyFill="1" applyBorder="1" applyAlignment="1">
      <alignment horizontal="center"/>
    </xf>
    <xf numFmtId="18" fontId="17" fillId="3" borderId="28" xfId="0" applyNumberFormat="1" applyFont="1" applyFill="1" applyBorder="1" applyAlignment="1">
      <alignment horizontal="center"/>
    </xf>
    <xf numFmtId="18" fontId="17" fillId="3" borderId="31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439.99999999999994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00112288"/>
        <c:axId val="1600124256"/>
      </c:barChart>
      <c:catAx>
        <c:axId val="16001122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24256"/>
        <c:crosses val="autoZero"/>
        <c:auto val="1"/>
        <c:lblAlgn val="ctr"/>
        <c:lblOffset val="100"/>
        <c:noMultiLvlLbl val="0"/>
      </c:catAx>
      <c:valAx>
        <c:axId val="1600124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1228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439.99999999999994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00117184"/>
        <c:axId val="1600122080"/>
      </c:barChart>
      <c:catAx>
        <c:axId val="160011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22080"/>
        <c:crosses val="autoZero"/>
        <c:auto val="1"/>
        <c:lblAlgn val="ctr"/>
        <c:lblOffset val="100"/>
        <c:noMultiLvlLbl val="0"/>
      </c:catAx>
      <c:valAx>
        <c:axId val="16001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171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439.99999999999994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439.99999999999994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09024"/>
        <c:axId val="1600113920"/>
      </c:areaChart>
      <c:catAx>
        <c:axId val="1600109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13920"/>
        <c:crosses val="autoZero"/>
        <c:auto val="1"/>
        <c:lblAlgn val="ctr"/>
        <c:lblOffset val="100"/>
        <c:noMultiLvlLbl val="0"/>
      </c:catAx>
      <c:valAx>
        <c:axId val="1600113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090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629.99999999999977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00114464"/>
        <c:axId val="1600115008"/>
      </c:barChart>
      <c:catAx>
        <c:axId val="160011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15008"/>
        <c:crosses val="autoZero"/>
        <c:auto val="1"/>
        <c:lblAlgn val="ctr"/>
        <c:lblOffset val="100"/>
        <c:noMultiLvlLbl val="0"/>
      </c:catAx>
      <c:valAx>
        <c:axId val="160011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1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600118816"/>
        <c:axId val="1600110112"/>
      </c:barChart>
      <c:dateAx>
        <c:axId val="160011881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10112"/>
        <c:crosses val="autoZero"/>
        <c:auto val="1"/>
        <c:lblOffset val="100"/>
        <c:baseTimeUnit val="days"/>
      </c:dateAx>
      <c:valAx>
        <c:axId val="160011011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0011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4" totalsRowShown="0" headerRowDxfId="31" dataDxfId="30">
  <autoFilter ref="A1:G3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50" totalsRowShown="0" headerRowDxfId="18" dataDxfId="17">
  <autoFilter ref="A1:Q15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2" workbookViewId="0">
      <selection activeCell="D34" sqref="D3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</sheetData>
  <dataValidations count="1">
    <dataValidation type="list" allowBlank="1" showInputMessage="1" showErrorMessage="1" sqref="B2:B3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topLeftCell="A131" zoomScaleNormal="100" workbookViewId="0">
      <selection activeCell="J150" sqref="J15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8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TEEBPD</v>
      </c>
      <c r="C133" s="134" t="str">
        <f>VLOOKUP(TaskTimings[Task],ProjectTasks[[TaskProjectCode]:[TSK]],3,0)</f>
        <v>Table syncing</v>
      </c>
      <c r="D133" s="134" t="str">
        <f>TaskTimings[Employee]&amp;"/"&amp;TaskTimings[Date]</f>
        <v>Vishnu/43537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Vishnu/43537/1</v>
      </c>
      <c r="G133" s="135" t="s">
        <v>101</v>
      </c>
      <c r="H133" s="135" t="s">
        <v>17</v>
      </c>
      <c r="I133" s="136">
        <v>43537</v>
      </c>
      <c r="J133" s="137">
        <v>0.41666666666666669</v>
      </c>
      <c r="K133" s="139">
        <v>0.625</v>
      </c>
      <c r="L133" s="138">
        <f>(TaskTimings[End Time]-TaskTimings[Start Time])*1440</f>
        <v>300</v>
      </c>
      <c r="M133" s="138" t="str">
        <f>TEXT(TaskTimings[End Time]-TaskTimings[Start Time],"HH:mm")</f>
        <v>05:00</v>
      </c>
      <c r="N133" s="138">
        <f>SUMIFS(TaskTimings[Total Minutes],TaskTimings[Date],TaskTimings[Date],TaskTimings[Employee],TaskTimings[Employee])</f>
        <v>300</v>
      </c>
      <c r="O133" s="138" t="str">
        <f>TEXT(TaskTimings[Day Total Minutes]/1440,"HH:mm")</f>
        <v>05:00</v>
      </c>
      <c r="P133" s="134" t="str">
        <f>TaskTimings[PRJ]</f>
        <v>TEEBPD</v>
      </c>
      <c r="Q133" s="134" t="str">
        <f>TaskTimings[TSK]</f>
        <v>Table syncing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TEEBPD</v>
      </c>
      <c r="C134" s="134" t="str">
        <f>VLOOKUP(TaskTimings[Task],ProjectTasks[[TaskProjectCode]:[TSK]],3,0)</f>
        <v>Table syncing</v>
      </c>
      <c r="D134" s="134" t="str">
        <f>TaskTimings[Employee]&amp;"/"&amp;TaskTimings[Date]</f>
        <v>Vishnu/43538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Vishnu/43538/1</v>
      </c>
      <c r="G134" s="135" t="s">
        <v>101</v>
      </c>
      <c r="H134" s="135" t="s">
        <v>17</v>
      </c>
      <c r="I134" s="136">
        <v>43538</v>
      </c>
      <c r="J134" s="137">
        <v>0.39583333333333331</v>
      </c>
      <c r="K134" s="139">
        <v>0.95833333333333337</v>
      </c>
      <c r="L134" s="138">
        <f>(TaskTimings[End Time]-TaskTimings[Start Time])*1440</f>
        <v>810</v>
      </c>
      <c r="M134" s="138" t="str">
        <f>TEXT(TaskTimings[End Time]-TaskTimings[Start Time],"HH:mm")</f>
        <v>13:30</v>
      </c>
      <c r="N134" s="138">
        <f>SUMIFS(TaskTimings[Total Minutes],TaskTimings[Date],TaskTimings[Date],TaskTimings[Employee],TaskTimings[Employee])</f>
        <v>900</v>
      </c>
      <c r="O134" s="138" t="str">
        <f>TEXT(TaskTimings[Day Total Minutes]/1440,"HH:mm")</f>
        <v>15:00</v>
      </c>
      <c r="P134" s="134" t="str">
        <f>TaskTimings[PRJ]</f>
        <v>TEEBPD</v>
      </c>
      <c r="Q134" s="134" t="str">
        <f>TaskTimings[TSK]</f>
        <v>Table syncing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TEEBPD</v>
      </c>
      <c r="C135" s="134" t="str">
        <f>VLOOKUP(TaskTimings[Task],ProjectTasks[[TaskProjectCode]:[TSK]],3,0)</f>
        <v>Table syncing</v>
      </c>
      <c r="D135" s="134" t="str">
        <f>TaskTimings[Employee]&amp;"/"&amp;TaskTimings[Date]</f>
        <v>Vishnu/43538</v>
      </c>
      <c r="E135" s="134">
        <f>COUNTIF($D$1:TaskTimings[[#This Row],[EmployeeDate]],TaskTimings[[#This Row],[EmployeeDate]])</f>
        <v>2</v>
      </c>
      <c r="F135" s="134" t="str">
        <f>TaskTimings[[#This Row],[EmployeeDate]]&amp;"/"&amp;TaskTimings[[#This Row],[EmployeeDateSeq]]</f>
        <v>Vishnu/43538/2</v>
      </c>
      <c r="G135" s="135" t="s">
        <v>101</v>
      </c>
      <c r="H135" s="135" t="s">
        <v>17</v>
      </c>
      <c r="I135" s="136">
        <v>43538</v>
      </c>
      <c r="J135" s="137">
        <v>0.58333333333333337</v>
      </c>
      <c r="K135" s="139">
        <v>0.64583333333333337</v>
      </c>
      <c r="L135" s="138">
        <f>(TaskTimings[End Time]-TaskTimings[Start Time])*1440</f>
        <v>90</v>
      </c>
      <c r="M135" s="138" t="str">
        <f>TEXT(TaskTimings[End Time]-TaskTimings[Start Time],"HH:mm")</f>
        <v>01:30</v>
      </c>
      <c r="N135" s="138">
        <f>SUMIFS(TaskTimings[Total Minutes],TaskTimings[Date],TaskTimings[Date],TaskTimings[Employee],TaskTimings[Employee])</f>
        <v>900</v>
      </c>
      <c r="O135" s="138" t="str">
        <f>TEXT(TaskTimings[Day Total Minutes]/1440,"HH:mm")</f>
        <v>15:00</v>
      </c>
      <c r="P135" s="134" t="str">
        <f>TaskTimings[PRJ]</f>
        <v>TEEBPD</v>
      </c>
      <c r="Q135" s="134" t="str">
        <f>TaskTimings[TSK]</f>
        <v>Table syncing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TEEBPD</v>
      </c>
      <c r="C136" s="134" t="str">
        <f>VLOOKUP(TaskTimings[Task],ProjectTasks[[TaskProjectCode]:[TSK]],3,0)</f>
        <v>Table syncing</v>
      </c>
      <c r="D136" s="134" t="str">
        <f>TaskTimings[Employee]&amp;"/"&amp;TaskTimings[Date]</f>
        <v>Vishnu/43539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Vishnu/43539/1</v>
      </c>
      <c r="G136" s="135" t="s">
        <v>101</v>
      </c>
      <c r="H136" s="135" t="s">
        <v>17</v>
      </c>
      <c r="I136" s="136">
        <v>43539</v>
      </c>
      <c r="J136" s="137">
        <v>0.41666666666666669</v>
      </c>
      <c r="K136" s="139">
        <v>0.66666666666666663</v>
      </c>
      <c r="L136" s="138">
        <f>(TaskTimings[End Time]-TaskTimings[Start Time])*1440</f>
        <v>359.99999999999994</v>
      </c>
      <c r="M136" s="138" t="str">
        <f>TEXT(TaskTimings[End Time]-TaskTimings[Start Time],"HH:mm")</f>
        <v>06:00</v>
      </c>
      <c r="N136" s="138">
        <f>SUMIFS(TaskTimings[Total Minutes],TaskTimings[Date],TaskTimings[Date],TaskTimings[Employee],TaskTimings[Employee])</f>
        <v>359.99999999999994</v>
      </c>
      <c r="O136" s="138" t="str">
        <f>TEXT(TaskTimings[Day Total Minutes]/1440,"HH:mm")</f>
        <v>06:00</v>
      </c>
      <c r="P136" s="134" t="str">
        <f>TaskTimings[PRJ]</f>
        <v>TEEBPD</v>
      </c>
      <c r="Q136" s="134" t="str">
        <f>TaskTimings[TSK]</f>
        <v>Table syncing</v>
      </c>
    </row>
    <row r="137" spans="1:17" x14ac:dyDescent="0.25">
      <c r="A137" s="133">
        <f t="shared" si="12"/>
        <v>134</v>
      </c>
      <c r="B137" s="134" t="str">
        <f>VLOOKUP(TaskTimings[Task],ProjectTasks[[TaskProjectCode]:[TSK]],2,0)</f>
        <v>TEEBPD</v>
      </c>
      <c r="C137" s="134" t="str">
        <f>VLOOKUP(TaskTimings[Task],ProjectTasks[[TaskProjectCode]:[TSK]],3,0)</f>
        <v>Table syncing</v>
      </c>
      <c r="D137" s="134" t="str">
        <f>TaskTimings[Employee]&amp;"/"&amp;TaskTimings[Date]</f>
        <v>Vishnu/43540</v>
      </c>
      <c r="E137" s="134">
        <f>COUNTIF($D$1:TaskTimings[[#This Row],[EmployeeDate]],TaskTimings[[#This Row],[EmployeeDate]])</f>
        <v>1</v>
      </c>
      <c r="F137" s="134" t="str">
        <f>TaskTimings[[#This Row],[EmployeeDate]]&amp;"/"&amp;TaskTimings[[#This Row],[EmployeeDateSeq]]</f>
        <v>Vishnu/43540/1</v>
      </c>
      <c r="G137" s="135" t="s">
        <v>101</v>
      </c>
      <c r="H137" s="135" t="s">
        <v>17</v>
      </c>
      <c r="I137" s="136">
        <v>43540</v>
      </c>
      <c r="J137" s="137">
        <v>0.45833333333333331</v>
      </c>
      <c r="K137" s="139">
        <v>0.54166666666666663</v>
      </c>
      <c r="L137" s="138">
        <f>(TaskTimings[End Time]-TaskTimings[Start Time])*1440</f>
        <v>119.99999999999997</v>
      </c>
      <c r="M137" s="138" t="str">
        <f>TEXT(TaskTimings[End Time]-TaskTimings[Start Time],"HH:mm")</f>
        <v>02:00</v>
      </c>
      <c r="N137" s="138">
        <f>SUMIFS(TaskTimings[Total Minutes],TaskTimings[Date],TaskTimings[Date],TaskTimings[Employee],TaskTimings[Employee])</f>
        <v>119.99999999999997</v>
      </c>
      <c r="O137" s="138" t="str">
        <f>TEXT(TaskTimings[Day Total Minutes]/1440,"HH:mm")</f>
        <v>02:00</v>
      </c>
      <c r="P137" s="134" t="str">
        <f>TaskTimings[PRJ]</f>
        <v>TEEBPD</v>
      </c>
      <c r="Q137" s="134" t="str">
        <f>TaskTimings[TSK]</f>
        <v>Table syncing</v>
      </c>
    </row>
    <row r="138" spans="1:17" x14ac:dyDescent="0.25">
      <c r="A138" s="133">
        <f t="shared" si="12"/>
        <v>135</v>
      </c>
      <c r="B138" s="134" t="str">
        <f>VLOOKUP(TaskTimings[Task],ProjectTasks[[TaskProjectCode]:[TSK]],2,0)</f>
        <v>TEEBPD</v>
      </c>
      <c r="C138" s="134" t="str">
        <f>VLOOKUP(TaskTimings[Task],ProjectTasks[[TaskProjectCode]:[TSK]],3,0)</f>
        <v>Table syncing</v>
      </c>
      <c r="D138" s="134" t="str">
        <f>TaskTimings[Employee]&amp;"/"&amp;TaskTimings[Date]</f>
        <v>Vishnu/43542</v>
      </c>
      <c r="E138" s="134">
        <f>COUNTIF($D$1:TaskTimings[[#This Row],[EmployeeDate]],TaskTimings[[#This Row],[EmployeeDate]])</f>
        <v>1</v>
      </c>
      <c r="F138" s="134" t="str">
        <f>TaskTimings[[#This Row],[EmployeeDate]]&amp;"/"&amp;TaskTimings[[#This Row],[EmployeeDateSeq]]</f>
        <v>Vishnu/43542/1</v>
      </c>
      <c r="G138" s="135" t="s">
        <v>101</v>
      </c>
      <c r="H138" s="135" t="s">
        <v>17</v>
      </c>
      <c r="I138" s="136">
        <v>43542</v>
      </c>
      <c r="J138" s="137">
        <v>0.41666666666666669</v>
      </c>
      <c r="K138" s="139">
        <v>0.45833333333333331</v>
      </c>
      <c r="L138" s="138">
        <f>(TaskTimings[End Time]-TaskTimings[Start Time])*1440</f>
        <v>59.999999999999943</v>
      </c>
      <c r="M138" s="138" t="str">
        <f>TEXT(TaskTimings[End Time]-TaskTimings[Start Time],"HH:mm")</f>
        <v>01:00</v>
      </c>
      <c r="N138" s="138">
        <f>SUMIFS(TaskTimings[Total Minutes],TaskTimings[Date],TaskTimings[Date],TaskTimings[Employee],TaskTimings[Employee])</f>
        <v>119.99999999999989</v>
      </c>
      <c r="O138" s="138" t="str">
        <f>TEXT(TaskTimings[Day Total Minutes]/1440,"HH:mm")</f>
        <v>02:00</v>
      </c>
      <c r="P138" s="134" t="str">
        <f>TaskTimings[PRJ]</f>
        <v>TEEBPD</v>
      </c>
      <c r="Q138" s="134" t="str">
        <f>TaskTimings[TSK]</f>
        <v>Table syncing</v>
      </c>
    </row>
    <row r="139" spans="1:17" x14ac:dyDescent="0.25">
      <c r="A139" s="133">
        <f>IFERROR($A138+1,1)</f>
        <v>136</v>
      </c>
      <c r="B139" s="134" t="str">
        <f>VLOOKUP(TaskTimings[Task],ProjectTasks[[TaskProjectCode]:[TSK]],2,0)</f>
        <v>TEEBPD</v>
      </c>
      <c r="C139" s="134" t="str">
        <f>VLOOKUP(TaskTimings[Task],ProjectTasks[[TaskProjectCode]:[TSK]],3,0)</f>
        <v>Table syncing</v>
      </c>
      <c r="D139" s="134" t="str">
        <f>TaskTimings[Employee]&amp;"/"&amp;TaskTimings[Date]</f>
        <v>Vishnu/43542</v>
      </c>
      <c r="E139" s="134">
        <f>COUNTIF($D$1:TaskTimings[[#This Row],[EmployeeDate]],TaskTimings[[#This Row],[EmployeeDate]])</f>
        <v>2</v>
      </c>
      <c r="F139" s="134" t="str">
        <f>TaskTimings[[#This Row],[EmployeeDate]]&amp;"/"&amp;TaskTimings[[#This Row],[EmployeeDateSeq]]</f>
        <v>Vishnu/43542/2</v>
      </c>
      <c r="G139" s="135" t="s">
        <v>101</v>
      </c>
      <c r="H139" s="135" t="s">
        <v>17</v>
      </c>
      <c r="I139" s="136">
        <v>43542</v>
      </c>
      <c r="J139" s="137">
        <v>0.625</v>
      </c>
      <c r="K139" s="139">
        <v>0.66666666666666663</v>
      </c>
      <c r="L139" s="138">
        <f>(TaskTimings[End Time]-TaskTimings[Start Time])*1440</f>
        <v>59.999999999999943</v>
      </c>
      <c r="M139" s="138" t="str">
        <f>TEXT(TaskTimings[End Time]-TaskTimings[Start Time],"HH:mm")</f>
        <v>01:00</v>
      </c>
      <c r="N139" s="138">
        <f>SUMIFS(TaskTimings[Total Minutes],TaskTimings[Date],TaskTimings[Date],TaskTimings[Employee],TaskTimings[Employee])</f>
        <v>119.99999999999989</v>
      </c>
      <c r="O139" s="138" t="str">
        <f>TEXT(TaskTimings[Day Total Minutes]/1440,"HH:mm")</f>
        <v>02:00</v>
      </c>
      <c r="P139" s="134" t="str">
        <f>TaskTimings[PRJ]</f>
        <v>TEEBPD</v>
      </c>
      <c r="Q139" s="134" t="str">
        <f>TaskTimings[TSK]</f>
        <v>Table syncing</v>
      </c>
    </row>
    <row r="140" spans="1:17" x14ac:dyDescent="0.25">
      <c r="A140" s="133">
        <f>IFERROR($A139+1,1)</f>
        <v>137</v>
      </c>
      <c r="B140" s="134" t="str">
        <f>VLOOKUP(TaskTimings[Task],ProjectTasks[[TaskProjectCode]:[TSK]],2,0)</f>
        <v>TEEBPD</v>
      </c>
      <c r="C140" s="134" t="str">
        <f>VLOOKUP(TaskTimings[Task],ProjectTasks[[TaskProjectCode]:[TSK]],3,0)</f>
        <v>Table syncing</v>
      </c>
      <c r="D140" s="134" t="str">
        <f>TaskTimings[Employee]&amp;"/"&amp;TaskTimings[Date]</f>
        <v>Vishnu/43543</v>
      </c>
      <c r="E140" s="134">
        <f>COUNTIF($D$1:TaskTimings[[#This Row],[EmployeeDate]],TaskTimings[[#This Row],[EmployeeDate]])</f>
        <v>1</v>
      </c>
      <c r="F140" s="134" t="str">
        <f>TaskTimings[[#This Row],[EmployeeDate]]&amp;"/"&amp;TaskTimings[[#This Row],[EmployeeDateSeq]]</f>
        <v>Vishnu/43543/1</v>
      </c>
      <c r="G140" s="135" t="s">
        <v>101</v>
      </c>
      <c r="H140" s="135" t="s">
        <v>17</v>
      </c>
      <c r="I140" s="136">
        <v>43543</v>
      </c>
      <c r="J140" s="137">
        <v>0.5</v>
      </c>
      <c r="K140" s="139">
        <v>0.66666666666666663</v>
      </c>
      <c r="L140" s="138">
        <f>(TaskTimings[End Time]-TaskTimings[Start Time])*1440</f>
        <v>239.99999999999994</v>
      </c>
      <c r="M140" s="138" t="str">
        <f>TEXT(TaskTimings[End Time]-TaskTimings[Start Time],"HH:mm")</f>
        <v>04:00</v>
      </c>
      <c r="N140" s="138">
        <f>SUMIFS(TaskTimings[Total Minutes],TaskTimings[Date],TaskTimings[Date],TaskTimings[Employee],TaskTimings[Employee])</f>
        <v>239.99999999999994</v>
      </c>
      <c r="O140" s="138" t="str">
        <f>TEXT(TaskTimings[Day Total Minutes]/1440,"HH:mm")</f>
        <v>04:00</v>
      </c>
      <c r="P140" s="134" t="str">
        <f>TaskTimings[PRJ]</f>
        <v>TEEBPD</v>
      </c>
      <c r="Q140" s="134" t="str">
        <f>TaskTimings[TSK]</f>
        <v>Table syncing</v>
      </c>
    </row>
    <row r="141" spans="1:17" x14ac:dyDescent="0.25">
      <c r="A141" s="133">
        <f>IFERROR($A140+1,1)</f>
        <v>138</v>
      </c>
      <c r="B141" s="134" t="str">
        <f>VLOOKUP(TaskTimings[Task],ProjectTasks[[TaskProjectCode]:[TSK]],2,0)</f>
        <v>TEEBPD</v>
      </c>
      <c r="C141" s="134" t="str">
        <f>VLOOKUP(TaskTimings[Task],ProjectTasks[[TaskProjectCode]:[TSK]],3,0)</f>
        <v>Table syncing</v>
      </c>
      <c r="D141" s="134" t="str">
        <f>TaskTimings[Employee]&amp;"/"&amp;TaskTimings[Date]</f>
        <v>Vishnu/43545</v>
      </c>
      <c r="E141" s="134">
        <f>COUNTIF($D$1:TaskTimings[[#This Row],[EmployeeDate]],TaskTimings[[#This Row],[EmployeeDate]])</f>
        <v>1</v>
      </c>
      <c r="F141" s="134" t="str">
        <f>TaskTimings[[#This Row],[EmployeeDate]]&amp;"/"&amp;TaskTimings[[#This Row],[EmployeeDateSeq]]</f>
        <v>Vishnu/43545/1</v>
      </c>
      <c r="G141" s="135" t="s">
        <v>101</v>
      </c>
      <c r="H141" s="135" t="s">
        <v>17</v>
      </c>
      <c r="I141" s="136">
        <v>43545</v>
      </c>
      <c r="J141" s="137">
        <v>0.41666666666666669</v>
      </c>
      <c r="K141" s="139">
        <v>0.58333333333333337</v>
      </c>
      <c r="L141" s="138">
        <f>(TaskTimings[End Time]-TaskTimings[Start Time])*1440</f>
        <v>240.00000000000003</v>
      </c>
      <c r="M141" s="138" t="str">
        <f>TEXT(TaskTimings[End Time]-TaskTimings[Start Time],"HH:mm")</f>
        <v>04:00</v>
      </c>
      <c r="N141" s="138">
        <f>SUMIFS(TaskTimings[Total Minutes],TaskTimings[Date],TaskTimings[Date],TaskTimings[Employee],TaskTimings[Employee])</f>
        <v>240.00000000000003</v>
      </c>
      <c r="O141" s="138" t="str">
        <f>TEXT(TaskTimings[Day Total Minutes]/1440,"HH:mm")</f>
        <v>04:00</v>
      </c>
      <c r="P141" s="134" t="str">
        <f>TaskTimings[PRJ]</f>
        <v>TEEBPD</v>
      </c>
      <c r="Q141" s="134" t="str">
        <f>TaskTimings[TSK]</f>
        <v>Table syncing</v>
      </c>
    </row>
    <row r="142" spans="1:17" x14ac:dyDescent="0.25">
      <c r="A142" s="133">
        <f>IFERROR($A141+1,1)</f>
        <v>139</v>
      </c>
      <c r="B142" s="134" t="str">
        <f>VLOOKUP(TaskTimings[Task],ProjectTasks[[TaskProjectCode]:[TSK]],2,0)</f>
        <v>TEEBPD</v>
      </c>
      <c r="C142" s="134" t="str">
        <f>VLOOKUP(TaskTimings[Task],ProjectTasks[[TaskProjectCode]:[TSK]],3,0)</f>
        <v>Table syncing</v>
      </c>
      <c r="D142" s="134" t="str">
        <f>TaskTimings[Employee]&amp;"/"&amp;TaskTimings[Date]</f>
        <v>Vishnu/43546</v>
      </c>
      <c r="E142" s="134">
        <f>COUNTIF($D$1:TaskTimings[[#This Row],[EmployeeDate]],TaskTimings[[#This Row],[EmployeeDate]])</f>
        <v>1</v>
      </c>
      <c r="F142" s="134" t="str">
        <f>TaskTimings[[#This Row],[EmployeeDate]]&amp;"/"&amp;TaskTimings[[#This Row],[EmployeeDateSeq]]</f>
        <v>Vishnu/43546/1</v>
      </c>
      <c r="G142" s="135" t="s">
        <v>101</v>
      </c>
      <c r="H142" s="135" t="s">
        <v>17</v>
      </c>
      <c r="I142" s="136">
        <v>43546</v>
      </c>
      <c r="J142" s="137">
        <v>0.45833333333333331</v>
      </c>
      <c r="K142" s="139">
        <v>0.60416666666666663</v>
      </c>
      <c r="L142" s="138">
        <f>(TaskTimings[End Time]-TaskTimings[Start Time])*1440</f>
        <v>209.99999999999997</v>
      </c>
      <c r="M142" s="138" t="str">
        <f>TEXT(TaskTimings[End Time]-TaskTimings[Start Time],"HH:mm")</f>
        <v>03:30</v>
      </c>
      <c r="N142" s="138">
        <f>SUMIFS(TaskTimings[Total Minutes],TaskTimings[Date],TaskTimings[Date],TaskTimings[Employee],TaskTimings[Employee])</f>
        <v>209.99999999999997</v>
      </c>
      <c r="O142" s="138" t="str">
        <f>TEXT(TaskTimings[Day Total Minutes]/1440,"HH:mm")</f>
        <v>03:30</v>
      </c>
      <c r="P142" s="134" t="str">
        <f>TaskTimings[PRJ]</f>
        <v>TEEBPD</v>
      </c>
      <c r="Q142" s="134" t="str">
        <f>TaskTimings[TSK]</f>
        <v>Table syncing</v>
      </c>
    </row>
    <row r="143" spans="1:17" x14ac:dyDescent="0.25">
      <c r="A143" s="133">
        <f>IFERROR($A142+1,1)</f>
        <v>140</v>
      </c>
      <c r="B143" s="192" t="str">
        <f>VLOOKUP(TaskTimings[Task],ProjectTasks[[TaskProjectCode]:[TSK]],2,0)</f>
        <v>RTRDB</v>
      </c>
      <c r="C143" s="192" t="str">
        <f>VLOOKUP(TaskTimings[Task],ProjectTasks[[TaskProjectCode]:[TSK]],3,0)</f>
        <v>Documentation</v>
      </c>
      <c r="D143" s="192" t="str">
        <f>TaskTimings[Employee]&amp;"/"&amp;TaskTimings[Date]</f>
        <v>Aswathy/43542</v>
      </c>
      <c r="E143" s="192">
        <f>COUNTIF($D$1:TaskTimings[[#This Row],[EmployeeDate]],TaskTimings[[#This Row],[EmployeeDate]])</f>
        <v>1</v>
      </c>
      <c r="F143" s="192" t="str">
        <f>TaskTimings[[#This Row],[EmployeeDate]]&amp;"/"&amp;TaskTimings[[#This Row],[EmployeeDateSeq]]</f>
        <v>Aswathy/43542/1</v>
      </c>
      <c r="G143" s="193" t="s">
        <v>111</v>
      </c>
      <c r="H143" s="193" t="s">
        <v>54</v>
      </c>
      <c r="I143" s="194">
        <v>43542</v>
      </c>
      <c r="J143" s="195">
        <v>0.41666666666666669</v>
      </c>
      <c r="K143" s="196">
        <v>0.50694444444444442</v>
      </c>
      <c r="L143" s="197">
        <f>(TaskTimings[End Time]-TaskTimings[Start Time])*1440</f>
        <v>129.99999999999994</v>
      </c>
      <c r="M143" s="197" t="str">
        <f>TEXT(TaskTimings[End Time]-TaskTimings[Start Time],"HH:mm")</f>
        <v>02:10</v>
      </c>
      <c r="N143" s="197">
        <f>SUMIFS(TaskTimings[Total Minutes],TaskTimings[Date],TaskTimings[Date],TaskTimings[Employee],TaskTimings[Employee])</f>
        <v>129.99999999999994</v>
      </c>
      <c r="O143" s="198" t="str">
        <f>TEXT(TaskTimings[Day Total Minutes]/1440,"HH:mm")</f>
        <v>02:10</v>
      </c>
      <c r="P143" s="134" t="str">
        <f>TaskTimings[PRJ]</f>
        <v>RTRDB</v>
      </c>
      <c r="Q143" s="134" t="str">
        <f>TaskTimings[TSK]</f>
        <v>Documentation</v>
      </c>
    </row>
    <row r="144" spans="1:17" x14ac:dyDescent="0.25">
      <c r="A144" s="200">
        <f>IFERROR($A143+1,1)</f>
        <v>141</v>
      </c>
      <c r="B144" s="203" t="str">
        <f>VLOOKUP(TaskTimings[Task],ProjectTasks[[TaskProjectCode]:[TSK]],2,0)</f>
        <v>RTRDB</v>
      </c>
      <c r="C144" s="203" t="str">
        <f>VLOOKUP(TaskTimings[Task],ProjectTasks[[TaskProjectCode]:[TSK]],3,0)</f>
        <v>Documentation</v>
      </c>
      <c r="D144" s="203" t="str">
        <f>TaskTimings[Employee]&amp;"/"&amp;TaskTimings[Date]</f>
        <v>Aswathy/43543</v>
      </c>
      <c r="E144" s="203">
        <f>COUNTIF($D$1:TaskTimings[[#This Row],[EmployeeDate]],TaskTimings[[#This Row],[EmployeeDate]])</f>
        <v>1</v>
      </c>
      <c r="F144" s="203" t="str">
        <f>TaskTimings[[#This Row],[EmployeeDate]]&amp;"/"&amp;TaskTimings[[#This Row],[EmployeeDateSeq]]</f>
        <v>Aswathy/43543/1</v>
      </c>
      <c r="G144" s="206" t="s">
        <v>111</v>
      </c>
      <c r="H144" s="206" t="s">
        <v>54</v>
      </c>
      <c r="I144" s="209">
        <v>43543</v>
      </c>
      <c r="J144" s="212">
        <v>0.625</v>
      </c>
      <c r="K144" s="215">
        <v>0.66666666666666663</v>
      </c>
      <c r="L144" s="218">
        <f>(TaskTimings[End Time]-TaskTimings[Start Time])*1440</f>
        <v>59.999999999999943</v>
      </c>
      <c r="M144" s="218" t="str">
        <f>TEXT(TaskTimings[End Time]-TaskTimings[Start Time],"HH:mm")</f>
        <v>01:00</v>
      </c>
      <c r="N144" s="218">
        <f>SUMIFS(TaskTimings[Total Minutes],TaskTimings[Date],TaskTimings[Date],TaskTimings[Employee],TaskTimings[Employee])</f>
        <v>59.999999999999943</v>
      </c>
      <c r="O144" s="220" t="str">
        <f>TEXT(TaskTimings[Day Total Minutes]/1440,"HH:mm")</f>
        <v>01:00</v>
      </c>
      <c r="P144" s="134" t="str">
        <f>TaskTimings[PRJ]</f>
        <v>RTRDB</v>
      </c>
      <c r="Q144" s="134" t="str">
        <f>TaskTimings[TSK]</f>
        <v>Documentation</v>
      </c>
    </row>
    <row r="145" spans="1:17" x14ac:dyDescent="0.25">
      <c r="A145" s="199">
        <f>IFERROR($A144+1,1)</f>
        <v>142</v>
      </c>
      <c r="B145" s="202" t="str">
        <f>VLOOKUP(TaskTimings[Task],ProjectTasks[[TaskProjectCode]:[TSK]],2,0)</f>
        <v>RTRDB</v>
      </c>
      <c r="C145" s="202" t="str">
        <f>VLOOKUP(TaskTimings[Task],ProjectTasks[[TaskProjectCode]:[TSK]],3,0)</f>
        <v>Surrender PC</v>
      </c>
      <c r="D145" s="202" t="str">
        <f>TaskTimings[Employee]&amp;"/"&amp;TaskTimings[Date]</f>
        <v>Aswathy/43545</v>
      </c>
      <c r="E145" s="202">
        <f>COUNTIF($D$1:TaskTimings[[#This Row],[EmployeeDate]],TaskTimings[[#This Row],[EmployeeDate]])</f>
        <v>1</v>
      </c>
      <c r="F145" s="202" t="str">
        <f>TaskTimings[[#This Row],[EmployeeDate]]&amp;"/"&amp;TaskTimings[[#This Row],[EmployeeDateSeq]]</f>
        <v>Aswathy/43545/1</v>
      </c>
      <c r="G145" s="205" t="s">
        <v>113</v>
      </c>
      <c r="H145" s="205" t="s">
        <v>54</v>
      </c>
      <c r="I145" s="208">
        <v>43545</v>
      </c>
      <c r="J145" s="211">
        <v>0.625</v>
      </c>
      <c r="K145" s="214">
        <v>0.70833333333333337</v>
      </c>
      <c r="L145" s="217">
        <f>(TaskTimings[End Time]-TaskTimings[Start Time])*1440</f>
        <v>120.00000000000006</v>
      </c>
      <c r="M145" s="217" t="str">
        <f>TEXT(TaskTimings[End Time]-TaskTimings[Start Time],"HH:mm")</f>
        <v>02:00</v>
      </c>
      <c r="N145" s="217">
        <f>SUMIFS(TaskTimings[Total Minutes],TaskTimings[Date],TaskTimings[Date],TaskTimings[Employee],TaskTimings[Employee])</f>
        <v>120.00000000000006</v>
      </c>
      <c r="O145" s="217" t="str">
        <f>TEXT(TaskTimings[Day Total Minutes]/1440,"HH:mm")</f>
        <v>02:00</v>
      </c>
      <c r="P145" s="134" t="str">
        <f>TaskTimings[PRJ]</f>
        <v>RTRDB</v>
      </c>
      <c r="Q145" s="134" t="str">
        <f>TaskTimings[TSK]</f>
        <v>Surrender PC</v>
      </c>
    </row>
    <row r="146" spans="1:17" x14ac:dyDescent="0.25">
      <c r="A146" s="200">
        <f>IFERROR($A145+1,1)</f>
        <v>143</v>
      </c>
      <c r="B146" s="203" t="str">
        <f>VLOOKUP(TaskTimings[Task],ProjectTasks[[TaskProjectCode]:[TSK]],2,0)</f>
        <v>RTRDB</v>
      </c>
      <c r="C146" s="203" t="str">
        <f>VLOOKUP(TaskTimings[Task],ProjectTasks[[TaskProjectCode]:[TSK]],3,0)</f>
        <v>Surrender PC</v>
      </c>
      <c r="D146" s="203" t="str">
        <f>TaskTimings[Employee]&amp;"/"&amp;TaskTimings[Date]</f>
        <v>Aswathy/43546</v>
      </c>
      <c r="E146" s="203">
        <f>COUNTIF($D$1:TaskTimings[[#This Row],[EmployeeDate]],TaskTimings[[#This Row],[EmployeeDate]])</f>
        <v>1</v>
      </c>
      <c r="F146" s="203" t="str">
        <f>TaskTimings[[#This Row],[EmployeeDate]]&amp;"/"&amp;TaskTimings[[#This Row],[EmployeeDateSeq]]</f>
        <v>Aswathy/43546/1</v>
      </c>
      <c r="G146" s="206" t="s">
        <v>113</v>
      </c>
      <c r="H146" s="206" t="s">
        <v>54</v>
      </c>
      <c r="I146" s="209">
        <v>43546</v>
      </c>
      <c r="J146" s="212">
        <v>0.39583333333333331</v>
      </c>
      <c r="K146" s="215">
        <v>0.52083333333333337</v>
      </c>
      <c r="L146" s="218">
        <f>(TaskTimings[End Time]-TaskTimings[Start Time])*1440</f>
        <v>180.00000000000009</v>
      </c>
      <c r="M146" s="218" t="str">
        <f>TEXT(TaskTimings[End Time]-TaskTimings[Start Time],"HH:mm")</f>
        <v>03:00</v>
      </c>
      <c r="N146" s="218">
        <f>SUMIFS(TaskTimings[Total Minutes],TaskTimings[Date],TaskTimings[Date],TaskTimings[Employee],TaskTimings[Employee])</f>
        <v>319.99999999999989</v>
      </c>
      <c r="O146" s="218" t="str">
        <f>TEXT(TaskTimings[Day Total Minutes]/1440,"HH:mm")</f>
        <v>05:20</v>
      </c>
      <c r="P146" s="134" t="str">
        <f>TaskTimings[PRJ]</f>
        <v>RTRDB</v>
      </c>
      <c r="Q146" s="134" t="str">
        <f>TaskTimings[TSK]</f>
        <v>Surrender PC</v>
      </c>
    </row>
    <row r="147" spans="1:17" x14ac:dyDescent="0.25">
      <c r="A147" s="199">
        <f>IFERROR($A146+1,1)</f>
        <v>144</v>
      </c>
      <c r="B147" s="202" t="str">
        <f>VLOOKUP(TaskTimings[Task],ProjectTasks[[TaskProjectCode]:[TSK]],2,0)</f>
        <v>RTRDB</v>
      </c>
      <c r="C147" s="202" t="str">
        <f>VLOOKUP(TaskTimings[Task],ProjectTasks[[TaskProjectCode]:[TSK]],3,0)</f>
        <v>Surrender PC</v>
      </c>
      <c r="D147" s="202" t="str">
        <f>TaskTimings[Employee]&amp;"/"&amp;TaskTimings[Date]</f>
        <v>Aswathy/43546</v>
      </c>
      <c r="E147" s="202">
        <f>COUNTIF($D$1:TaskTimings[[#This Row],[EmployeeDate]],TaskTimings[[#This Row],[EmployeeDate]])</f>
        <v>2</v>
      </c>
      <c r="F147" s="202" t="str">
        <f>TaskTimings[[#This Row],[EmployeeDate]]&amp;"/"&amp;TaskTimings[[#This Row],[EmployeeDateSeq]]</f>
        <v>Aswathy/43546/2</v>
      </c>
      <c r="G147" s="205" t="s">
        <v>113</v>
      </c>
      <c r="H147" s="205" t="s">
        <v>54</v>
      </c>
      <c r="I147" s="208">
        <v>43546</v>
      </c>
      <c r="J147" s="211">
        <v>0.58333333333333337</v>
      </c>
      <c r="K147" s="214">
        <v>0.63541666666666663</v>
      </c>
      <c r="L147" s="217">
        <f>(TaskTimings[End Time]-TaskTimings[Start Time])*1440</f>
        <v>74.999999999999886</v>
      </c>
      <c r="M147" s="217" t="str">
        <f>TEXT(TaskTimings[End Time]-TaskTimings[Start Time],"HH:mm")</f>
        <v>01:15</v>
      </c>
      <c r="N147" s="217">
        <f>SUMIFS(TaskTimings[Total Minutes],TaskTimings[Date],TaskTimings[Date],TaskTimings[Employee],TaskTimings[Employee])</f>
        <v>319.99999999999989</v>
      </c>
      <c r="O147" s="217" t="str">
        <f>TEXT(TaskTimings[Day Total Minutes]/1440,"HH:mm")</f>
        <v>05:20</v>
      </c>
      <c r="P147" s="134" t="str">
        <f>TaskTimings[PRJ]</f>
        <v>RTRDB</v>
      </c>
      <c r="Q147" s="134" t="str">
        <f>TaskTimings[TSK]</f>
        <v>Surrender PC</v>
      </c>
    </row>
    <row r="148" spans="1:17" x14ac:dyDescent="0.25">
      <c r="A148" s="201">
        <f>IFERROR($A147+1,1)</f>
        <v>145</v>
      </c>
      <c r="B148" s="204" t="str">
        <f>VLOOKUP(TaskTimings[Task],ProjectTasks[[TaskProjectCode]:[TSK]],2,0)</f>
        <v>RTRDB</v>
      </c>
      <c r="C148" s="204" t="str">
        <f>VLOOKUP(TaskTimings[Task],ProjectTasks[[TaskProjectCode]:[TSK]],3,0)</f>
        <v>Surrender PC</v>
      </c>
      <c r="D148" s="204" t="str">
        <f>TaskTimings[Employee]&amp;"/"&amp;TaskTimings[Date]</f>
        <v>Aswathy/43546</v>
      </c>
      <c r="E148" s="204">
        <f>COUNTIF($D$1:TaskTimings[[#This Row],[EmployeeDate]],TaskTimings[[#This Row],[EmployeeDate]])</f>
        <v>3</v>
      </c>
      <c r="F148" s="204" t="str">
        <f>TaskTimings[[#This Row],[EmployeeDate]]&amp;"/"&amp;TaskTimings[[#This Row],[EmployeeDateSeq]]</f>
        <v>Aswathy/43546/3</v>
      </c>
      <c r="G148" s="207" t="s">
        <v>113</v>
      </c>
      <c r="H148" s="207" t="s">
        <v>54</v>
      </c>
      <c r="I148" s="210">
        <v>43546</v>
      </c>
      <c r="J148" s="213">
        <v>0.65625</v>
      </c>
      <c r="K148" s="216">
        <v>0.70138888888888884</v>
      </c>
      <c r="L148" s="219">
        <f>(TaskTimings[End Time]-TaskTimings[Start Time])*1440</f>
        <v>64.999999999999929</v>
      </c>
      <c r="M148" s="219" t="str">
        <f>TEXT(TaskTimings[End Time]-TaskTimings[Start Time],"HH:mm")</f>
        <v>01:05</v>
      </c>
      <c r="N148" s="219">
        <f>SUMIFS(TaskTimings[Total Minutes],TaskTimings[Date],TaskTimings[Date],TaskTimings[Employee],TaskTimings[Employee])</f>
        <v>319.99999999999989</v>
      </c>
      <c r="O148" s="219" t="str">
        <f>TEXT(TaskTimings[Day Total Minutes]/1440,"HH:mm")</f>
        <v>05:20</v>
      </c>
      <c r="P148" s="134" t="str">
        <f>TaskTimings[PRJ]</f>
        <v>RTRDB</v>
      </c>
      <c r="Q148" s="134" t="str">
        <f>TaskTimings[TSK]</f>
        <v>Surrender PC</v>
      </c>
    </row>
    <row r="149" spans="1:17" x14ac:dyDescent="0.25">
      <c r="A149" s="201">
        <f>IFERROR($A148+1,1)</f>
        <v>146</v>
      </c>
      <c r="B149" s="134" t="str">
        <f>VLOOKUP(TaskTimings[Task],ProjectTasks[[TaskProjectCode]:[TSK]],2,0)</f>
        <v>TEEBPD</v>
      </c>
      <c r="C149" s="134" t="str">
        <f>VLOOKUP(TaskTimings[Task],ProjectTasks[[TaskProjectCode]:[TSK]],3,0)</f>
        <v>Table syncing</v>
      </c>
      <c r="D149" s="134" t="str">
        <f>TaskTimings[Employee]&amp;"/"&amp;TaskTimings[Date]</f>
        <v>Vishnu/43547</v>
      </c>
      <c r="E149" s="134">
        <f>COUNTIF($D$1:TaskTimings[[#This Row],[EmployeeDate]],TaskTimings[[#This Row],[EmployeeDate]])</f>
        <v>1</v>
      </c>
      <c r="F149" s="134" t="str">
        <f>TaskTimings[[#This Row],[EmployeeDate]]&amp;"/"&amp;TaskTimings[[#This Row],[EmployeeDateSeq]]</f>
        <v>Vishnu/43547/1</v>
      </c>
      <c r="G149" s="135" t="s">
        <v>101</v>
      </c>
      <c r="H149" s="135" t="s">
        <v>17</v>
      </c>
      <c r="I149" s="136">
        <v>43547</v>
      </c>
      <c r="J149" s="137">
        <v>0.38541666666666669</v>
      </c>
      <c r="K149" s="139"/>
      <c r="L149" s="138">
        <f>(TaskTimings[End Time]-TaskTimings[Start Time])*1440</f>
        <v>-555</v>
      </c>
      <c r="M149" s="138" t="e">
        <f>TEXT(TaskTimings[End Time]-TaskTimings[Start Time],"HH:mm")</f>
        <v>#VALUE!</v>
      </c>
      <c r="N149" s="138">
        <f>SUMIFS(TaskTimings[Total Minutes],TaskTimings[Date],TaskTimings[Date],TaskTimings[Employee],TaskTimings[Employee])</f>
        <v>-555</v>
      </c>
      <c r="O149" s="138" t="e">
        <f>TEXT(TaskTimings[Day Total Minutes]/1440,"HH:mm")</f>
        <v>#VALUE!</v>
      </c>
      <c r="P149" s="134" t="str">
        <f>TaskTimings[PRJ]</f>
        <v>TEEBPD</v>
      </c>
      <c r="Q149" s="134" t="str">
        <f>TaskTimings[TSK]</f>
        <v>Table syncing</v>
      </c>
    </row>
    <row r="150" spans="1:17" x14ac:dyDescent="0.25">
      <c r="A150" s="133"/>
      <c r="B150" s="134"/>
      <c r="C150" s="134"/>
      <c r="D150" s="134"/>
      <c r="E150" s="134"/>
      <c r="F150" s="134"/>
      <c r="G150" s="135"/>
      <c r="H150" s="135"/>
      <c r="I150" s="136"/>
      <c r="J150" s="137"/>
      <c r="K150" s="138"/>
      <c r="L150" s="138"/>
      <c r="M150" s="138"/>
      <c r="N150" s="138"/>
      <c r="O150" s="138"/>
      <c r="P150" s="134">
        <f>TaskTimings[PRJ]</f>
        <v>0</v>
      </c>
      <c r="Q150" s="134">
        <f>TaskTimings[TSK]</f>
        <v>0</v>
      </c>
    </row>
  </sheetData>
  <dataValidations count="2">
    <dataValidation type="list" allowBlank="1" showInputMessage="1" showErrorMessage="1" sqref="H2:H149">
      <formula1>EmployeeNames</formula1>
    </dataValidation>
    <dataValidation type="list" allowBlank="1" showInputMessage="1" showErrorMessage="1" sqref="G2:G149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64" t="s">
        <v>109</v>
      </c>
      <c r="B1" s="164"/>
      <c r="C1" s="164"/>
      <c r="D1" s="164"/>
      <c r="E1" s="164"/>
    </row>
    <row r="2" spans="1:16" x14ac:dyDescent="0.25">
      <c r="A2" s="164"/>
      <c r="B2" s="164"/>
      <c r="C2" s="164"/>
      <c r="D2" s="164"/>
      <c r="E2" s="164"/>
      <c r="J2" s="149" t="s">
        <v>33</v>
      </c>
      <c r="K2" s="149"/>
      <c r="L2" s="149"/>
    </row>
    <row r="3" spans="1:16" x14ac:dyDescent="0.25">
      <c r="A3" s="164"/>
      <c r="B3" s="164"/>
      <c r="C3" s="164"/>
      <c r="D3" s="164"/>
      <c r="E3" s="164"/>
      <c r="J3" s="149"/>
      <c r="K3" s="149"/>
      <c r="L3" s="149"/>
    </row>
    <row r="4" spans="1:16" ht="15.75" thickBot="1" x14ac:dyDescent="0.3">
      <c r="A4" s="165" t="str">
        <f>VLOOKUP($A$1,Project[[Project]:[Project Code]],2,0)</f>
        <v>RTRDB</v>
      </c>
      <c r="B4" s="16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56" t="s">
        <v>31</v>
      </c>
      <c r="B5" s="166" t="s">
        <v>29</v>
      </c>
      <c r="C5" s="166"/>
      <c r="D5" s="166"/>
      <c r="E5" s="166"/>
      <c r="F5" s="166"/>
      <c r="G5" s="145" t="s">
        <v>32</v>
      </c>
      <c r="H5" s="147"/>
      <c r="J5" s="156" t="str">
        <f>IFERROR(VLOOKUP(J$4,Employees[],2,0),"")</f>
        <v>Aswathy</v>
      </c>
      <c r="K5" s="145" t="str">
        <f>IFERROR(VLOOKUP(K$4,Employees[],2,0),"")</f>
        <v>Vishnu</v>
      </c>
      <c r="L5" s="145" t="str">
        <f>IFERROR(VLOOKUP(L$4,Employees[],2,0),"")</f>
        <v>Shareena</v>
      </c>
      <c r="M5" s="145" t="str">
        <f>IFERROR(VLOOKUP(M$4,Employees[],2,0),"")</f>
        <v>Firose</v>
      </c>
      <c r="N5" s="145" t="str">
        <f>IFERROR(VLOOKUP(N$4,Employees[],2,0),"")</f>
        <v/>
      </c>
      <c r="O5" s="145" t="str">
        <f>IFERROR(VLOOKUP(O$4,Employees[],2,0),"")</f>
        <v/>
      </c>
      <c r="P5" s="147" t="str">
        <f>IFERROR(VLOOKUP(P$4,Employees[],2,0),"")</f>
        <v/>
      </c>
    </row>
    <row r="6" spans="1:16" x14ac:dyDescent="0.25">
      <c r="A6" s="157"/>
      <c r="B6" s="167"/>
      <c r="C6" s="167"/>
      <c r="D6" s="167"/>
      <c r="E6" s="167"/>
      <c r="F6" s="167"/>
      <c r="G6" s="146"/>
      <c r="H6" s="148"/>
      <c r="J6" s="157"/>
      <c r="K6" s="146"/>
      <c r="L6" s="146"/>
      <c r="M6" s="146"/>
      <c r="N6" s="146"/>
      <c r="O6" s="146"/>
      <c r="P6" s="148"/>
    </row>
    <row r="7" spans="1:16" x14ac:dyDescent="0.25">
      <c r="A7" s="12">
        <v>1</v>
      </c>
      <c r="B7" s="160" t="str">
        <f>IFERROR(VLOOKUP($A$4&amp;"-"&amp;$A7,ProjectTasks[[PRJTSKSEQ]:[Task]],2,0),"")</f>
        <v>Documentation</v>
      </c>
      <c r="C7" s="160"/>
      <c r="D7" s="160"/>
      <c r="E7" s="160"/>
      <c r="F7" s="160"/>
      <c r="G7" s="158">
        <f>SUMIFS(TaskTimings[Total Minutes],TaskTimings[PRJ],$A$4,TaskTimings[TSK],$B7)</f>
        <v>189.99999999999989</v>
      </c>
      <c r="H7" s="159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60" t="str">
        <f>IFERROR(VLOOKUP($A$4&amp;"-"&amp;$A8,ProjectTasks[[PRJTSKSEQ]:[Task]],2,0),"")</f>
        <v>Surrender PC</v>
      </c>
      <c r="C8" s="160"/>
      <c r="D8" s="160"/>
      <c r="E8" s="160"/>
      <c r="F8" s="160"/>
      <c r="G8" s="158">
        <f>SUMIFS(TaskTimings[Total Minutes],TaskTimings[PRJ],$A$4,TaskTimings[TSK],$B8)</f>
        <v>439.99999999999994</v>
      </c>
      <c r="H8" s="159"/>
      <c r="J8" s="15">
        <f>SUMIFS(TaskTimings[Total Minutes],TaskTimings[PRJ],$A$4,TaskTimings[TSK],$B8,TaskTimings[Employee],J$5)</f>
        <v>439.99999999999994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60" t="str">
        <f>IFERROR(VLOOKUP($A$4&amp;"-"&amp;$A9,ProjectTasks[[PRJTSKSEQ]:[Task]],2,0),"")</f>
        <v/>
      </c>
      <c r="C9" s="160"/>
      <c r="D9" s="160"/>
      <c r="E9" s="160"/>
      <c r="F9" s="160"/>
      <c r="G9" s="158">
        <f>SUMIFS(TaskTimings[Total Minutes],TaskTimings[PRJ],$A$4,TaskTimings[TSK],$B9)</f>
        <v>0</v>
      </c>
      <c r="H9" s="15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60" t="str">
        <f>IFERROR(VLOOKUP($A$4&amp;"-"&amp;$A10,ProjectTasks[[PRJTSKSEQ]:[Task]],2,0),"")</f>
        <v/>
      </c>
      <c r="C10" s="160"/>
      <c r="D10" s="160"/>
      <c r="E10" s="160"/>
      <c r="F10" s="160"/>
      <c r="G10" s="158">
        <f>SUMIFS(TaskTimings[Total Minutes],TaskTimings[PRJ],$A$4,TaskTimings[TSK],$B10)</f>
        <v>0</v>
      </c>
      <c r="H10" s="15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60" t="str">
        <f>IFERROR(VLOOKUP($A$4&amp;"-"&amp;$A11,ProjectTasks[[PRJTSKSEQ]:[Task]],2,0),"")</f>
        <v/>
      </c>
      <c r="C11" s="160"/>
      <c r="D11" s="160"/>
      <c r="E11" s="160"/>
      <c r="F11" s="160"/>
      <c r="G11" s="158">
        <f>SUMIFS(TaskTimings[Total Minutes],TaskTimings[PRJ],$A$4,TaskTimings[TSK],$B11)</f>
        <v>0</v>
      </c>
      <c r="H11" s="15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60" t="str">
        <f>IFERROR(VLOOKUP($A$4&amp;"-"&amp;$A12,ProjectTasks[[PRJTSKSEQ]:[Task]],2,0),"")</f>
        <v/>
      </c>
      <c r="C12" s="160"/>
      <c r="D12" s="160"/>
      <c r="E12" s="160"/>
      <c r="F12" s="160"/>
      <c r="G12" s="158">
        <f>SUMIFS(TaskTimings[Total Minutes],TaskTimings[PRJ],$A$4,TaskTimings[TSK],$B12)</f>
        <v>0</v>
      </c>
      <c r="H12" s="15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60" t="str">
        <f>IFERROR(VLOOKUP($A$4&amp;"-"&amp;$A13,ProjectTasks[[PRJTSKSEQ]:[Task]],2,0),"")</f>
        <v/>
      </c>
      <c r="C13" s="160"/>
      <c r="D13" s="160"/>
      <c r="E13" s="160"/>
      <c r="F13" s="160"/>
      <c r="G13" s="158">
        <f>SUMIFS(TaskTimings[Total Minutes],TaskTimings[PRJ],$A$4,TaskTimings[TSK],$B13)</f>
        <v>0</v>
      </c>
      <c r="H13" s="15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60" t="str">
        <f>IFERROR(VLOOKUP($A$4&amp;"-"&amp;$A14,ProjectTasks[[PRJTSKSEQ]:[Task]],2,0),"")</f>
        <v/>
      </c>
      <c r="C14" s="160"/>
      <c r="D14" s="160"/>
      <c r="E14" s="160"/>
      <c r="F14" s="160"/>
      <c r="G14" s="158">
        <f>SUMIFS(TaskTimings[Total Minutes],TaskTimings[PRJ],$A$4,TaskTimings[TSK],$B14)</f>
        <v>0</v>
      </c>
      <c r="H14" s="15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60" t="str">
        <f>IFERROR(VLOOKUP($A$4&amp;"-"&amp;$A15,ProjectTasks[[PRJTSKSEQ]:[Task]],2,0),"")</f>
        <v/>
      </c>
      <c r="C15" s="160"/>
      <c r="D15" s="160"/>
      <c r="E15" s="160"/>
      <c r="F15" s="160"/>
      <c r="G15" s="158">
        <f>SUMIFS(TaskTimings[Total Minutes],TaskTimings[PRJ],$A$4,TaskTimings[TSK],$B15)</f>
        <v>0</v>
      </c>
      <c r="H15" s="15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60" t="str">
        <f>IFERROR(VLOOKUP($A$4&amp;"-"&amp;$A16,ProjectTasks[[PRJTSKSEQ]:[Task]],2,0),"")</f>
        <v/>
      </c>
      <c r="C16" s="160"/>
      <c r="D16" s="160"/>
      <c r="E16" s="160"/>
      <c r="F16" s="160"/>
      <c r="G16" s="158">
        <f>SUMIFS(TaskTimings[Total Minutes],TaskTimings[PRJ],$A$4,TaskTimings[TSK],$B16)</f>
        <v>0</v>
      </c>
      <c r="H16" s="15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60" t="str">
        <f>IFERROR(VLOOKUP($A$4&amp;"-"&amp;$A17,ProjectTasks[[PRJTSKSEQ]:[Task]],2,0),"")</f>
        <v/>
      </c>
      <c r="C17" s="160"/>
      <c r="D17" s="160"/>
      <c r="E17" s="160"/>
      <c r="F17" s="160"/>
      <c r="G17" s="158">
        <f>SUMIFS(TaskTimings[Total Minutes],TaskTimings[PRJ],$A$4,TaskTimings[TSK],$B17)</f>
        <v>0</v>
      </c>
      <c r="H17" s="15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60" t="str">
        <f>IFERROR(VLOOKUP($A$4&amp;"-"&amp;$A18,ProjectTasks[[PRJTSKSEQ]:[Task]],2,0),"")</f>
        <v/>
      </c>
      <c r="C18" s="160"/>
      <c r="D18" s="160"/>
      <c r="E18" s="160"/>
      <c r="F18" s="160"/>
      <c r="G18" s="158">
        <f>SUMIFS(TaskTimings[Total Minutes],TaskTimings[PRJ],$A$4,TaskTimings[TSK],$B18)</f>
        <v>0</v>
      </c>
      <c r="H18" s="15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60" t="str">
        <f>IFERROR(VLOOKUP($A$4&amp;"-"&amp;$A19,ProjectTasks[[PRJTSKSEQ]:[Task]],2,0),"")</f>
        <v/>
      </c>
      <c r="C19" s="160"/>
      <c r="D19" s="160"/>
      <c r="E19" s="160"/>
      <c r="F19" s="160"/>
      <c r="G19" s="158">
        <f>SUMIFS(TaskTimings[Total Minutes],TaskTimings[PRJ],$A$4,TaskTimings[TSK],$B19)</f>
        <v>0</v>
      </c>
      <c r="H19" s="15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60" t="str">
        <f>IFERROR(VLOOKUP($A$4&amp;"-"&amp;$A20,ProjectTasks[[PRJTSKSEQ]:[Task]],2,0),"")</f>
        <v/>
      </c>
      <c r="C20" s="160"/>
      <c r="D20" s="160"/>
      <c r="E20" s="160"/>
      <c r="F20" s="160"/>
      <c r="G20" s="158">
        <f>SUMIFS(TaskTimings[Total Minutes],TaskTimings[PRJ],$A$4,TaskTimings[TSK],$B20)</f>
        <v>0</v>
      </c>
      <c r="H20" s="15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63" t="str">
        <f>IFERROR(VLOOKUP($A$4&amp;"-"&amp;$A21,ProjectTasks[[PRJTSKSEQ]:[Task]],2,0),"")</f>
        <v/>
      </c>
      <c r="C21" s="163"/>
      <c r="D21" s="163"/>
      <c r="E21" s="163"/>
      <c r="F21" s="163"/>
      <c r="G21" s="161">
        <f>SUMIFS(TaskTimings[Total Minutes],TaskTimings[PRJ],$A$4,TaskTimings[TSK],$B21)</f>
        <v>0</v>
      </c>
      <c r="H21" s="16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0" t="s">
        <v>24</v>
      </c>
      <c r="E23" s="151"/>
      <c r="F23" s="152"/>
      <c r="G23" s="150">
        <f>SUM(G7:H21)</f>
        <v>629.99999999999977</v>
      </c>
      <c r="H23" s="152"/>
      <c r="J23" s="143">
        <f>SUM(J7:J21)</f>
        <v>629.99999999999977</v>
      </c>
      <c r="K23" s="143">
        <f t="shared" ref="K23:P23" si="0">SUM(K7:K21)</f>
        <v>0</v>
      </c>
      <c r="L23" s="143">
        <f t="shared" si="0"/>
        <v>0</v>
      </c>
      <c r="M23" s="143">
        <f t="shared" si="0"/>
        <v>0</v>
      </c>
      <c r="N23" s="143">
        <f t="shared" si="0"/>
        <v>0</v>
      </c>
      <c r="O23" s="143">
        <f t="shared" si="0"/>
        <v>0</v>
      </c>
      <c r="P23" s="143">
        <f t="shared" si="0"/>
        <v>0</v>
      </c>
    </row>
    <row r="24" spans="1:16" ht="15.75" thickBot="1" x14ac:dyDescent="0.3">
      <c r="D24" s="153"/>
      <c r="E24" s="154"/>
      <c r="F24" s="155"/>
      <c r="G24" s="153"/>
      <c r="H24" s="155"/>
      <c r="J24" s="144"/>
      <c r="K24" s="144"/>
      <c r="L24" s="144"/>
      <c r="M24" s="144"/>
      <c r="N24" s="144"/>
      <c r="O24" s="144"/>
      <c r="P24" s="14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70" t="s">
        <v>54</v>
      </c>
      <c r="B1" s="170"/>
      <c r="C1" s="170"/>
      <c r="D1" s="170"/>
      <c r="F1" s="172" t="s">
        <v>35</v>
      </c>
      <c r="G1" s="17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70"/>
      <c r="B2" s="170"/>
      <c r="C2" s="170"/>
      <c r="D2" s="170"/>
      <c r="F2" s="171">
        <v>43475</v>
      </c>
      <c r="G2" s="171"/>
      <c r="I2" s="188">
        <f>SUM(I7:I30)</f>
        <v>315</v>
      </c>
      <c r="J2" s="182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70"/>
      <c r="B3" s="170"/>
      <c r="C3" s="170"/>
      <c r="D3" s="170"/>
      <c r="F3" s="171"/>
      <c r="G3" s="171"/>
      <c r="I3" s="189"/>
      <c r="J3" s="18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9" t="s">
        <v>44</v>
      </c>
      <c r="L4" s="149"/>
      <c r="M4" s="149"/>
    </row>
    <row r="5" spans="1:28" ht="15.75" thickBot="1" x14ac:dyDescent="0.3">
      <c r="B5" s="149" t="s">
        <v>45</v>
      </c>
      <c r="C5" s="149"/>
      <c r="D5" s="149"/>
      <c r="E5" s="149"/>
      <c r="F5" s="149"/>
      <c r="K5" s="168"/>
      <c r="L5" s="168"/>
      <c r="M5" s="168"/>
    </row>
    <row r="6" spans="1:28" ht="15.75" thickBot="1" x14ac:dyDescent="0.3">
      <c r="A6" s="14">
        <v>1</v>
      </c>
      <c r="B6" s="169"/>
      <c r="C6" s="169"/>
      <c r="D6" s="169"/>
      <c r="E6" s="169"/>
      <c r="F6" s="169"/>
      <c r="J6" s="25"/>
      <c r="K6" s="32" t="s">
        <v>0</v>
      </c>
      <c r="L6" s="179" t="s">
        <v>4</v>
      </c>
      <c r="M6" s="17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3">
        <f>$F$2</f>
        <v>43475</v>
      </c>
      <c r="C7" s="145"/>
      <c r="D7" s="174" t="str">
        <f>IFERROR(VLOOKUP($A$1&amp;"/"&amp;$B$7&amp;"/"&amp;$A6,TaskTimings[[EmployeeDateSeqCode]:[Task]],2,0),"")</f>
        <v/>
      </c>
      <c r="E7" s="174"/>
      <c r="F7" s="174"/>
      <c r="G7" s="174"/>
      <c r="H7" s="23">
        <f>IFERROR(VLOOKUP($A$1&amp;"/"&amp;$B$7&amp;"/"&amp;$A6,TaskTimings[[EmployeeDateSeqCode]:[Total Minutes]],7,0),0)</f>
        <v>0</v>
      </c>
      <c r="I7" s="181">
        <f>SUM(H7:H10)</f>
        <v>0</v>
      </c>
      <c r="J7" s="25"/>
      <c r="K7" s="70">
        <v>1</v>
      </c>
      <c r="L7" s="184" t="str">
        <f>IFERROR(VLOOKUP($K7,$X$7:$Y$30,2,0),"")</f>
        <v>SDS</v>
      </c>
      <c r="M7" s="184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57"/>
      <c r="C8" s="146"/>
      <c r="D8" s="175" t="str">
        <f>IFERROR(VLOOKUP($A$1&amp;"/"&amp;$B$7&amp;"/"&amp;$A7,TaskTimings[[EmployeeDateSeqCode]:[Task]],2,0),"")</f>
        <v/>
      </c>
      <c r="E8" s="175"/>
      <c r="F8" s="175"/>
      <c r="G8" s="175"/>
      <c r="H8" s="22">
        <f>IFERROR(VLOOKUP($A$1&amp;"/"&amp;$B$7&amp;"/"&amp;$A7,TaskTimings[[EmployeeDateSeqCode]:[Total Minutes]],7,0),0)</f>
        <v>0</v>
      </c>
      <c r="I8" s="182"/>
      <c r="J8" s="25"/>
      <c r="K8" s="70">
        <v>2</v>
      </c>
      <c r="L8" s="184" t="str">
        <f>IFERROR(VLOOKUP($K8,$X$7:$Y$30,2,0),"")</f>
        <v/>
      </c>
      <c r="M8" s="184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57"/>
      <c r="C9" s="146"/>
      <c r="D9" s="175" t="str">
        <f>IFERROR(VLOOKUP($A$1&amp;"/"&amp;$B$7&amp;"/"&amp;$A8,TaskTimings[[EmployeeDateSeqCode]:[Task]],2,0),"")</f>
        <v/>
      </c>
      <c r="E9" s="175"/>
      <c r="F9" s="175"/>
      <c r="G9" s="175"/>
      <c r="H9" s="22">
        <f>IFERROR(VLOOKUP($A$1&amp;"/"&amp;$B$7&amp;"/"&amp;$A8,TaskTimings[[EmployeeDateSeqCode]:[Total Minutes]],7,0),0)</f>
        <v>0</v>
      </c>
      <c r="I9" s="182"/>
      <c r="J9" s="25"/>
      <c r="K9" s="70">
        <v>3</v>
      </c>
      <c r="L9" s="184" t="str">
        <f>IFERROR(VLOOKUP($K9,$X$7:$Y$30,2,0),"")</f>
        <v/>
      </c>
      <c r="M9" s="18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57"/>
      <c r="C10" s="146"/>
      <c r="D10" s="175" t="str">
        <f>IFERROR(VLOOKUP($A$1&amp;"/"&amp;$B$7&amp;"/"&amp;$A9,TaskTimings[[EmployeeDateSeqCode]:[Task]],2,0),"")</f>
        <v/>
      </c>
      <c r="E10" s="175"/>
      <c r="F10" s="175"/>
      <c r="G10" s="175"/>
      <c r="H10" s="22">
        <f>IFERROR(VLOOKUP($A$1&amp;"/"&amp;$B$7&amp;"/"&amp;$A9,TaskTimings[[EmployeeDateSeqCode]:[Total Minutes]],7,0),0)</f>
        <v>0</v>
      </c>
      <c r="I10" s="182"/>
      <c r="J10" s="25"/>
      <c r="K10" s="70">
        <v>4</v>
      </c>
      <c r="L10" s="184" t="str">
        <f>IFERROR(VLOOKUP($K10,$X$7:$Y$30,2,0),"")</f>
        <v/>
      </c>
      <c r="M10" s="18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6">
        <f>B7+1</f>
        <v>43476</v>
      </c>
      <c r="C11" s="146"/>
      <c r="D11" s="175" t="str">
        <f>IFERROR(VLOOKUP($A$1&amp;"/"&amp;$B$11&amp;"/"&amp;$A10,TaskTimings[[EmployeeDateSeqCode]:[Task]],2,0),"")</f>
        <v/>
      </c>
      <c r="E11" s="175"/>
      <c r="F11" s="175"/>
      <c r="G11" s="175"/>
      <c r="H11" s="22">
        <f>IFERROR(VLOOKUP($A$1&amp;"/"&amp;$B$11&amp;"/"&amp;$A10,TaskTimings[[EmployeeDateSeqCode]:[Total Minutes]],7,0),0)</f>
        <v>0</v>
      </c>
      <c r="I11" s="182">
        <f t="shared" ref="I11" si="2">SUM(H11:H14)</f>
        <v>0</v>
      </c>
      <c r="J11" s="25"/>
      <c r="K11" s="71">
        <v>5</v>
      </c>
      <c r="L11" s="187" t="str">
        <f>IFERROR(VLOOKUP($K11,$X$7:$Y$30,2,0),"")</f>
        <v/>
      </c>
      <c r="M11" s="18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57"/>
      <c r="C12" s="146"/>
      <c r="D12" s="175" t="str">
        <f>IFERROR(VLOOKUP($A$1&amp;"/"&amp;$B$11&amp;"/"&amp;$A11,TaskTimings[[EmployeeDateSeqCode]:[Task]],2,0),"")</f>
        <v/>
      </c>
      <c r="E12" s="175"/>
      <c r="F12" s="175"/>
      <c r="G12" s="175"/>
      <c r="H12" s="22">
        <f>IFERROR(VLOOKUP($A$1&amp;"/"&amp;$B$11&amp;"/"&amp;$A11,TaskTimings[[EmployeeDateSeqCode]:[Total Minutes]],7,0),0)</f>
        <v>0</v>
      </c>
      <c r="I12" s="18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57"/>
      <c r="C13" s="146"/>
      <c r="D13" s="175" t="str">
        <f>IFERROR(VLOOKUP($A$1&amp;"/"&amp;$B$11&amp;"/"&amp;$A12,TaskTimings[[EmployeeDateSeqCode]:[Task]],2,0),"")</f>
        <v/>
      </c>
      <c r="E13" s="175"/>
      <c r="F13" s="175"/>
      <c r="G13" s="175"/>
      <c r="H13" s="22">
        <f>IFERROR(VLOOKUP($A$1&amp;"/"&amp;$B$11&amp;"/"&amp;$A12,TaskTimings[[EmployeeDateSeqCode]:[Total Minutes]],7,0),0)</f>
        <v>0</v>
      </c>
      <c r="I13" s="182"/>
      <c r="J13" s="25"/>
      <c r="K13" s="168" t="s">
        <v>46</v>
      </c>
      <c r="L13" s="168"/>
      <c r="M13" s="168"/>
      <c r="N13" s="16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57"/>
      <c r="C14" s="146"/>
      <c r="D14" s="175" t="str">
        <f>IFERROR(VLOOKUP($A$1&amp;"/"&amp;$B$11&amp;"/"&amp;$A13,TaskTimings[[EmployeeDateSeqCode]:[Task]],2,0),"")</f>
        <v/>
      </c>
      <c r="E14" s="175"/>
      <c r="F14" s="175"/>
      <c r="G14" s="175"/>
      <c r="H14" s="22">
        <f>IFERROR(VLOOKUP($A$1&amp;"/"&amp;$B$11&amp;"/"&amp;$A13,TaskTimings[[EmployeeDateSeqCode]:[Total Minutes]],7,0),0)</f>
        <v>0</v>
      </c>
      <c r="I14" s="182"/>
      <c r="J14" s="25"/>
      <c r="K14" s="169"/>
      <c r="L14" s="169"/>
      <c r="M14" s="169"/>
      <c r="N14" s="16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6">
        <f>B11+1</f>
        <v>43477</v>
      </c>
      <c r="C15" s="146"/>
      <c r="D15" s="175" t="str">
        <f>IFERROR(VLOOKUP($A$1&amp;"/"&amp;$B$15&amp;"/"&amp;$A14,TaskTimings[[EmployeeDateSeqCode]:[Task]],2,0),"")</f>
        <v>SDS/Modification</v>
      </c>
      <c r="E15" s="175"/>
      <c r="F15" s="175"/>
      <c r="G15" s="175"/>
      <c r="H15" s="22">
        <f>IFERROR(VLOOKUP($A$1&amp;"/"&amp;$B$15&amp;"/"&amp;$A14,TaskTimings[[EmployeeDateSeqCode]:[Total Minutes]],7,0),0)</f>
        <v>59.999999999999943</v>
      </c>
      <c r="I15" s="182">
        <f t="shared" ref="I15" si="3">SUM(H15:H18)</f>
        <v>59.999999999999943</v>
      </c>
      <c r="J15" s="25"/>
      <c r="K15" s="185" t="s">
        <v>4</v>
      </c>
      <c r="L15" s="186"/>
      <c r="M15" s="186" t="s">
        <v>29</v>
      </c>
      <c r="N15" s="186"/>
      <c r="O15" s="186"/>
      <c r="P15" s="18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57"/>
      <c r="C16" s="146"/>
      <c r="D16" s="175" t="str">
        <f>IFERROR(VLOOKUP($A$1&amp;"/"&amp;$B$15&amp;"/"&amp;$A15,TaskTimings[[EmployeeDateSeqCode]:[Task]],2,0),"")</f>
        <v/>
      </c>
      <c r="E16" s="175"/>
      <c r="F16" s="175"/>
      <c r="G16" s="175"/>
      <c r="H16" s="22">
        <f>IFERROR(VLOOKUP($A$1&amp;"/"&amp;$B$15&amp;"/"&amp;$A15,TaskTimings[[EmployeeDateSeqCode]:[Total Minutes]],7,0),0)</f>
        <v>0</v>
      </c>
      <c r="I16" s="182"/>
      <c r="J16" s="26">
        <v>1</v>
      </c>
      <c r="K16" s="190" t="str">
        <f>VLOOKUP(1,$K$7:$M$11,2,0)</f>
        <v>SDS</v>
      </c>
      <c r="L16" s="158"/>
      <c r="M16" s="184" t="str">
        <f>IF($K$16="","",IFERROR(VLOOKUP($K$16&amp;"/"&amp;$J16,$Z$7:$AA$30,2,0),""))</f>
        <v>Modification</v>
      </c>
      <c r="N16" s="184"/>
      <c r="O16" s="184"/>
      <c r="P16" s="184"/>
      <c r="Q16" s="22">
        <f>IF($M16="","",SUMIFS($H$7:$H$30,$D$7:$D$30,$K$16&amp;"/"&amp;$M16))</f>
        <v>180</v>
      </c>
      <c r="R16" s="182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57"/>
      <c r="C17" s="146"/>
      <c r="D17" s="175" t="str">
        <f>IFERROR(VLOOKUP($A$1&amp;"/"&amp;$B$15&amp;"/"&amp;$A16,TaskTimings[[EmployeeDateSeqCode]:[Task]],2,0),"")</f>
        <v/>
      </c>
      <c r="E17" s="175"/>
      <c r="F17" s="175"/>
      <c r="G17" s="175"/>
      <c r="H17" s="22">
        <f>IFERROR(VLOOKUP($A$1&amp;"/"&amp;$B$15&amp;"/"&amp;$A16,TaskTimings[[EmployeeDateSeqCode]:[Total Minutes]],7,0),0)</f>
        <v>0</v>
      </c>
      <c r="I17" s="182"/>
      <c r="J17" s="26">
        <v>2</v>
      </c>
      <c r="K17" s="190"/>
      <c r="L17" s="158"/>
      <c r="M17" s="184" t="str">
        <f>IF($K$16="","",IFERROR(VLOOKUP($K$16&amp;"/"&amp;$J17,$Z$7:$AA$30,2,0),""))</f>
        <v>Testing</v>
      </c>
      <c r="N17" s="184"/>
      <c r="O17" s="184"/>
      <c r="P17" s="184"/>
      <c r="Q17" s="22">
        <f>IF($M17="","",SUMIFS($H$7:$H$30,$D$7:$D$30,$K$16&amp;"/"&amp;$M17))</f>
        <v>135</v>
      </c>
      <c r="R17" s="18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57"/>
      <c r="C18" s="146"/>
      <c r="D18" s="175" t="str">
        <f>IFERROR(VLOOKUP($A$1&amp;"/"&amp;$B$15&amp;"/"&amp;$A17,TaskTimings[[EmployeeDateSeqCode]:[Task]],2,0),"")</f>
        <v/>
      </c>
      <c r="E18" s="175"/>
      <c r="F18" s="175"/>
      <c r="G18" s="175"/>
      <c r="H18" s="22">
        <f>IFERROR(VLOOKUP($A$1&amp;"/"&amp;$B$15&amp;"/"&amp;$A17,TaskTimings[[EmployeeDateSeqCode]:[Total Minutes]],7,0),0)</f>
        <v>0</v>
      </c>
      <c r="I18" s="182"/>
      <c r="J18" s="26">
        <v>3</v>
      </c>
      <c r="K18" s="190"/>
      <c r="L18" s="158"/>
      <c r="M18" s="184" t="str">
        <f>IF($K$16="","",IFERROR(VLOOKUP($K$16&amp;"/"&amp;$J18,$Z$7:$AA$30,2,0),""))</f>
        <v/>
      </c>
      <c r="N18" s="184"/>
      <c r="O18" s="184"/>
      <c r="P18" s="184"/>
      <c r="Q18" s="22" t="str">
        <f>IF($M18="","",SUMIFS($H$7:$H$30,$D$7:$D$30,$K$16&amp;"/"&amp;$M18))</f>
        <v/>
      </c>
      <c r="R18" s="18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6">
        <f>B15+1</f>
        <v>43478</v>
      </c>
      <c r="C19" s="146"/>
      <c r="D19" s="175" t="str">
        <f>IFERROR(VLOOKUP($A$1&amp;"/"&amp;$B$19&amp;"/"&amp;$A18,TaskTimings[[EmployeeDateSeqCode]:[Task]],2,0),"")</f>
        <v/>
      </c>
      <c r="E19" s="175"/>
      <c r="F19" s="175"/>
      <c r="G19" s="175"/>
      <c r="H19" s="22">
        <f>IFERROR(VLOOKUP($A$1&amp;"/"&amp;$B$19&amp;"/"&amp;$A18,TaskTimings[[EmployeeDateSeqCode]:[Total Minutes]],7,0),0)</f>
        <v>0</v>
      </c>
      <c r="I19" s="182">
        <f t="shared" ref="I19" si="4">SUM(H19:H22)</f>
        <v>0</v>
      </c>
      <c r="J19" s="26">
        <v>4</v>
      </c>
      <c r="K19" s="190"/>
      <c r="L19" s="158"/>
      <c r="M19" s="184" t="str">
        <f>IF($K$16="","",IFERROR(VLOOKUP($K$16&amp;"/"&amp;$J19,$Z$7:$AA$30,2,0),""))</f>
        <v/>
      </c>
      <c r="N19" s="184"/>
      <c r="O19" s="184"/>
      <c r="P19" s="184"/>
      <c r="Q19" s="22" t="str">
        <f>IF($M19="","",SUMIFS($H$7:$H$30,$D$7:$D$30,$K$16&amp;"/"&amp;$M19))</f>
        <v/>
      </c>
      <c r="R19" s="18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57"/>
      <c r="C20" s="146"/>
      <c r="D20" s="175" t="str">
        <f>IFERROR(VLOOKUP($A$1&amp;"/"&amp;$B$19&amp;"/"&amp;$A19,TaskTimings[[EmployeeDateSeqCode]:[Task]],2,0),"")</f>
        <v/>
      </c>
      <c r="E20" s="175"/>
      <c r="F20" s="175"/>
      <c r="G20" s="175"/>
      <c r="H20" s="22">
        <f>IFERROR(VLOOKUP($A$1&amp;"/"&amp;$B$19&amp;"/"&amp;$A19,TaskTimings[[EmployeeDateSeqCode]:[Total Minutes]],7,0),0)</f>
        <v>0</v>
      </c>
      <c r="I20" s="182"/>
      <c r="J20" s="26">
        <v>1</v>
      </c>
      <c r="K20" s="190" t="str">
        <f>VLOOKUP(2,$K$7:$M$11,2,0)</f>
        <v/>
      </c>
      <c r="L20" s="158"/>
      <c r="M20" s="184" t="str">
        <f>IF($K$20="","",IFERROR(VLOOKUP($K$20&amp;"/"&amp;$J20,$Z$7:$AA$30,2,0),""))</f>
        <v/>
      </c>
      <c r="N20" s="184"/>
      <c r="O20" s="184"/>
      <c r="P20" s="184"/>
      <c r="Q20" s="22" t="str">
        <f>IF($M20="","",SUMIFS($H$7:$H$30,$D$7:$D$30,$K$20&amp;"/"&amp;$M20))</f>
        <v/>
      </c>
      <c r="R20" s="182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57"/>
      <c r="C21" s="146"/>
      <c r="D21" s="175" t="str">
        <f>IFERROR(VLOOKUP($A$1&amp;"/"&amp;$B$19&amp;"/"&amp;$A20,TaskTimings[[EmployeeDateSeqCode]:[Task]],2,0),"")</f>
        <v/>
      </c>
      <c r="E21" s="175"/>
      <c r="F21" s="175"/>
      <c r="G21" s="175"/>
      <c r="H21" s="22">
        <f>IFERROR(VLOOKUP($A$1&amp;"/"&amp;$B$19&amp;"/"&amp;$A20,TaskTimings[[EmployeeDateSeqCode]:[Total Minutes]],7,0),0)</f>
        <v>0</v>
      </c>
      <c r="I21" s="182"/>
      <c r="J21" s="26">
        <v>2</v>
      </c>
      <c r="K21" s="190"/>
      <c r="L21" s="158"/>
      <c r="M21" s="184" t="str">
        <f>IF($K$20="","",IFERROR(VLOOKUP($K$20&amp;"/"&amp;$J21,$Z$7:$AA$30,2,0),""))</f>
        <v/>
      </c>
      <c r="N21" s="184"/>
      <c r="O21" s="184"/>
      <c r="P21" s="184"/>
      <c r="Q21" s="22" t="str">
        <f>IF($M21="","",SUMIFS($H$7:$H$30,$D$7:$D$30,$K$20&amp;"/"&amp;$M21))</f>
        <v/>
      </c>
      <c r="R21" s="18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57"/>
      <c r="C22" s="146"/>
      <c r="D22" s="175" t="str">
        <f>IFERROR(VLOOKUP($A$1&amp;"/"&amp;$B$19&amp;"/"&amp;$A21,TaskTimings[[EmployeeDateSeqCode]:[Task]],2,0),"")</f>
        <v/>
      </c>
      <c r="E22" s="175"/>
      <c r="F22" s="175"/>
      <c r="G22" s="175"/>
      <c r="H22" s="22">
        <f>IFERROR(VLOOKUP($A$1&amp;"/"&amp;$B$19&amp;"/"&amp;$A21,TaskTimings[[EmployeeDateSeqCode]:[Total Minutes]],7,0),0)</f>
        <v>0</v>
      </c>
      <c r="I22" s="182"/>
      <c r="J22" s="26">
        <v>3</v>
      </c>
      <c r="K22" s="190"/>
      <c r="L22" s="158"/>
      <c r="M22" s="184" t="str">
        <f>IF($K$20="","",IFERROR(VLOOKUP($K$20&amp;"/"&amp;$J22,$Z$7:$AA$30,2,0),""))</f>
        <v/>
      </c>
      <c r="N22" s="184"/>
      <c r="O22" s="184"/>
      <c r="P22" s="184"/>
      <c r="Q22" s="22" t="str">
        <f>IF($M22="","",SUMIFS($H$7:$H$30,$D$7:$D$30,$K$20&amp;"/"&amp;$M22))</f>
        <v/>
      </c>
      <c r="R22" s="18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6">
        <f>B19+1</f>
        <v>43479</v>
      </c>
      <c r="C23" s="146"/>
      <c r="D23" s="175" t="str">
        <f>IFERROR(VLOOKUP($A$1&amp;"/"&amp;$B$23&amp;"/"&amp;$A22,TaskTimings[[EmployeeDateSeqCode]:[Task]],2,0),"")</f>
        <v>SDS/Modification</v>
      </c>
      <c r="E23" s="175"/>
      <c r="F23" s="175"/>
      <c r="G23" s="175"/>
      <c r="H23" s="22">
        <f>IFERROR(VLOOKUP($A$1&amp;"/"&amp;$B$23&amp;"/"&amp;$A22,TaskTimings[[EmployeeDateSeqCode]:[Total Minutes]],7,0),0)</f>
        <v>60.000000000000107</v>
      </c>
      <c r="I23" s="182">
        <f t="shared" ref="I23" si="6">SUM(H23:H26)</f>
        <v>165.00000000000006</v>
      </c>
      <c r="J23" s="26">
        <v>4</v>
      </c>
      <c r="K23" s="190"/>
      <c r="L23" s="158"/>
      <c r="M23" s="184" t="str">
        <f>IF($K$20="","",IFERROR(VLOOKUP($K$20&amp;"/"&amp;$J23,$Z$7:$AA$30,2,0),""))</f>
        <v/>
      </c>
      <c r="N23" s="184"/>
      <c r="O23" s="184"/>
      <c r="P23" s="184"/>
      <c r="Q23" s="22" t="str">
        <f>IF($M23="","",SUMIFS($H$7:$H$30,$D$7:$D$30,$K$20&amp;"/"&amp;$M23))</f>
        <v/>
      </c>
      <c r="R23" s="18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57"/>
      <c r="C24" s="146"/>
      <c r="D24" s="175" t="str">
        <f>IFERROR(VLOOKUP($A$1&amp;"/"&amp;$B$23&amp;"/"&amp;$A23,TaskTimings[[EmployeeDateSeqCode]:[Task]],2,0),"")</f>
        <v>SDS/Modification</v>
      </c>
      <c r="E24" s="175"/>
      <c r="F24" s="175"/>
      <c r="G24" s="175"/>
      <c r="H24" s="22">
        <f>IFERROR(VLOOKUP($A$1&amp;"/"&amp;$B$23&amp;"/"&amp;$A23,TaskTimings[[EmployeeDateSeqCode]:[Total Minutes]],7,0),0)</f>
        <v>59.999999999999943</v>
      </c>
      <c r="I24" s="182"/>
      <c r="J24" s="26">
        <v>1</v>
      </c>
      <c r="K24" s="190" t="str">
        <f>VLOOKUP(3,$K$7:$M$11,2,0)</f>
        <v/>
      </c>
      <c r="L24" s="158"/>
      <c r="M24" s="184" t="str">
        <f>IF($K$24="","",IFERROR(VLOOKUP($K$24&amp;"/"&amp;$J24,$Z$7:$AA$30,2,0),""))</f>
        <v/>
      </c>
      <c r="N24" s="184"/>
      <c r="O24" s="184"/>
      <c r="P24" s="184"/>
      <c r="Q24" s="22" t="str">
        <f>IF($M24="","",SUMIFS($H$7:$H$30,$D$7:$D$30,$K$24&amp;"/"&amp;$M24))</f>
        <v/>
      </c>
      <c r="R24" s="18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57"/>
      <c r="C25" s="146"/>
      <c r="D25" s="175" t="str">
        <f>IFERROR(VLOOKUP($A$1&amp;"/"&amp;$B$23&amp;"/"&amp;$A24,TaskTimings[[EmployeeDateSeqCode]:[Task]],2,0),"")</f>
        <v>SDS/Testing</v>
      </c>
      <c r="E25" s="175"/>
      <c r="F25" s="175"/>
      <c r="G25" s="175"/>
      <c r="H25" s="22">
        <f>IFERROR(VLOOKUP($A$1&amp;"/"&amp;$B$23&amp;"/"&amp;$A24,TaskTimings[[EmployeeDateSeqCode]:[Total Minutes]],7,0),0)</f>
        <v>45</v>
      </c>
      <c r="I25" s="182"/>
      <c r="J25" s="26">
        <v>2</v>
      </c>
      <c r="K25" s="190"/>
      <c r="L25" s="158"/>
      <c r="M25" s="184" t="str">
        <f>IF($K$24="","",IFERROR(VLOOKUP($K$24&amp;"/"&amp;$J25,$Z$7:$AA$30,2,0),""))</f>
        <v/>
      </c>
      <c r="N25" s="184"/>
      <c r="O25" s="184"/>
      <c r="P25" s="184"/>
      <c r="Q25" s="22" t="str">
        <f>IF($M25="","",SUMIFS($H$7:$H$30,$D$7:$D$30,$K$24&amp;"/"&amp;$M25))</f>
        <v/>
      </c>
      <c r="R25" s="182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57"/>
      <c r="C26" s="146"/>
      <c r="D26" s="175" t="str">
        <f>IFERROR(VLOOKUP($A$1&amp;"/"&amp;$B$23&amp;"/"&amp;$A25,TaskTimings[[EmployeeDateSeqCode]:[Task]],2,0),"")</f>
        <v/>
      </c>
      <c r="E26" s="175"/>
      <c r="F26" s="175"/>
      <c r="G26" s="175"/>
      <c r="H26" s="22">
        <f>IFERROR(VLOOKUP($A$1&amp;"/"&amp;$B$23&amp;"/"&amp;$A25,TaskTimings[[EmployeeDateSeqCode]:[Total Minutes]],7,0),0)</f>
        <v>0</v>
      </c>
      <c r="I26" s="182"/>
      <c r="J26" s="26">
        <v>3</v>
      </c>
      <c r="K26" s="190"/>
      <c r="L26" s="158"/>
      <c r="M26" s="184" t="str">
        <f>IF($K$24="","",IFERROR(VLOOKUP($K$24&amp;"/"&amp;$J26,$Z$7:$AA$30,2,0),""))</f>
        <v/>
      </c>
      <c r="N26" s="184"/>
      <c r="O26" s="184"/>
      <c r="P26" s="184"/>
      <c r="Q26" s="22" t="str">
        <f>IF($M26="","",SUMIFS($H$7:$H$30,$D$7:$D$30,$K$24&amp;"/"&amp;$M26))</f>
        <v/>
      </c>
      <c r="R26" s="18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6">
        <f>B23+1</f>
        <v>43480</v>
      </c>
      <c r="C27" s="146"/>
      <c r="D27" s="175" t="str">
        <f>IFERROR(VLOOKUP($A$1&amp;"/"&amp;$B$27&amp;"/"&amp;$A26,TaskTimings[[EmployeeDateSeqCode]:[Task]],2,0),"")</f>
        <v>SDS/Testing</v>
      </c>
      <c r="E27" s="175"/>
      <c r="F27" s="175"/>
      <c r="G27" s="175"/>
      <c r="H27" s="22">
        <f>IFERROR(VLOOKUP($A$1&amp;"/"&amp;$B$27&amp;"/"&amp;$A26,TaskTimings[[EmployeeDateSeqCode]:[Total Minutes]],7,0),0)</f>
        <v>90</v>
      </c>
      <c r="I27" s="182">
        <f t="shared" ref="I27" si="8">SUM(H27:H30)</f>
        <v>90</v>
      </c>
      <c r="J27" s="26">
        <v>4</v>
      </c>
      <c r="K27" s="190"/>
      <c r="L27" s="158"/>
      <c r="M27" s="184" t="str">
        <f>IF($K$24="","",IFERROR(VLOOKUP($K$24&amp;"/"&amp;$J27,$Z$7:$AA$30,2,0),""))</f>
        <v/>
      </c>
      <c r="N27" s="184"/>
      <c r="O27" s="184"/>
      <c r="P27" s="184"/>
      <c r="Q27" s="22" t="str">
        <f>IF($M27="","",SUMIFS($H$7:$H$30,$D$7:$D$30,$K$24&amp;"/"&amp;$M27))</f>
        <v/>
      </c>
      <c r="R27" s="18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57"/>
      <c r="C28" s="146"/>
      <c r="D28" s="175" t="str">
        <f>IFERROR(VLOOKUP($A$1&amp;"/"&amp;$B$27&amp;"/"&amp;$A27,TaskTimings[[EmployeeDateSeqCode]:[Task]],2,0),"")</f>
        <v/>
      </c>
      <c r="E28" s="175"/>
      <c r="F28" s="175"/>
      <c r="G28" s="175"/>
      <c r="H28" s="22">
        <f>IFERROR(VLOOKUP($A$1&amp;"/"&amp;$B$27&amp;"/"&amp;$A27,TaskTimings[[EmployeeDateSeqCode]:[Total Minutes]],7,0),0)</f>
        <v>0</v>
      </c>
      <c r="I28" s="182"/>
      <c r="J28" s="26">
        <v>1</v>
      </c>
      <c r="K28" s="190" t="str">
        <f>VLOOKUP(4,$K$7:$M$11,2,0)</f>
        <v/>
      </c>
      <c r="L28" s="158"/>
      <c r="M28" s="184" t="str">
        <f>IF($K$28="","",IFERROR(VLOOKUP($K$28&amp;"/"&amp;$J28,$Z$7:$AA$30,2,0),""))</f>
        <v/>
      </c>
      <c r="N28" s="184"/>
      <c r="O28" s="184"/>
      <c r="P28" s="184"/>
      <c r="Q28" s="22" t="str">
        <f>IF($M28="","",SUMIFS($H$7:$H$30,$D$7:$D$30,$K$28&amp;"/"&amp;$M28))</f>
        <v/>
      </c>
      <c r="R28" s="18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57"/>
      <c r="C29" s="146"/>
      <c r="D29" s="175" t="str">
        <f>IFERROR(VLOOKUP($A$1&amp;"/"&amp;$B$27&amp;"/"&amp;$A28,TaskTimings[[EmployeeDateSeqCode]:[Task]],2,0),"")</f>
        <v/>
      </c>
      <c r="E29" s="175"/>
      <c r="F29" s="175"/>
      <c r="G29" s="175"/>
      <c r="H29" s="22">
        <f>IFERROR(VLOOKUP($A$1&amp;"/"&amp;$B$27&amp;"/"&amp;$A28,TaskTimings[[EmployeeDateSeqCode]:[Total Minutes]],7,0),0)</f>
        <v>0</v>
      </c>
      <c r="I29" s="182"/>
      <c r="J29" s="26">
        <v>2</v>
      </c>
      <c r="K29" s="190"/>
      <c r="L29" s="158"/>
      <c r="M29" s="184" t="str">
        <f>IF($K$28="","",IFERROR(VLOOKUP($K$28&amp;"/"&amp;$J29,$Z$7:$AA$30,2,0),""))</f>
        <v/>
      </c>
      <c r="N29" s="184"/>
      <c r="O29" s="184"/>
      <c r="P29" s="184"/>
      <c r="Q29" s="22" t="str">
        <f>IF($M29="","",SUMIFS($H$7:$H$30,$D$7:$D$30,$K$28&amp;"/"&amp;$M29))</f>
        <v/>
      </c>
      <c r="R29" s="18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7"/>
      <c r="C30" s="178"/>
      <c r="D30" s="180" t="str">
        <f>IFERROR(VLOOKUP($A$1&amp;"/"&amp;$B$27&amp;"/"&amp;$A29,TaskTimings[[EmployeeDateSeqCode]:[Task]],2,0),"")</f>
        <v/>
      </c>
      <c r="E30" s="180"/>
      <c r="F30" s="180"/>
      <c r="G30" s="180"/>
      <c r="H30" s="24">
        <f>IFERROR(VLOOKUP($A$1&amp;"/"&amp;$B$27&amp;"/"&amp;$A29,TaskTimings[[EmployeeDateSeqCode]:[Total Minutes]],7,0),0)</f>
        <v>0</v>
      </c>
      <c r="I30" s="183"/>
      <c r="J30" s="26">
        <v>3</v>
      </c>
      <c r="K30" s="190"/>
      <c r="L30" s="158"/>
      <c r="M30" s="184" t="str">
        <f>IF($K$28="","",IFERROR(VLOOKUP($K$28&amp;"/"&amp;$J30,$Z$7:$AA$30,2,0),""))</f>
        <v/>
      </c>
      <c r="N30" s="184"/>
      <c r="O30" s="184"/>
      <c r="P30" s="184"/>
      <c r="Q30" s="22" t="str">
        <f>IF($M30="","",SUMIFS($H$7:$H$30,$D$7:$D$30,$K$28&amp;"/"&amp;$M30))</f>
        <v/>
      </c>
      <c r="R30" s="18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90"/>
      <c r="L31" s="158"/>
      <c r="M31" s="184" t="str">
        <f>IF($K$28="","",IFERROR(VLOOKUP($K$28&amp;"/"&amp;$J31,$Z$7:$AA$30,2,0),""))</f>
        <v/>
      </c>
      <c r="N31" s="184"/>
      <c r="O31" s="184"/>
      <c r="P31" s="184"/>
      <c r="Q31" s="22" t="str">
        <f>IF($M31="","",SUMIFS($H$7:$H$30,$D$7:$D$30,$K$28&amp;"/"&amp;$M31))</f>
        <v/>
      </c>
      <c r="R31" s="182"/>
    </row>
    <row r="32" spans="1:28" x14ac:dyDescent="0.25">
      <c r="J32" s="26">
        <v>1</v>
      </c>
      <c r="K32" s="190" t="str">
        <f>VLOOKUP(5,$K$7:$M$11,2,0)</f>
        <v/>
      </c>
      <c r="L32" s="158"/>
      <c r="M32" s="184" t="str">
        <f>IF($K$32="","",IFERROR(VLOOKUP($K$32&amp;"/"&amp;$J32,$Z$7:$AA$30,2,0),""))</f>
        <v/>
      </c>
      <c r="N32" s="184"/>
      <c r="O32" s="184"/>
      <c r="P32" s="184"/>
      <c r="Q32" s="22" t="str">
        <f>IF($M32="","",SUMIFS($H$7:$H$30,$D$7:$D$30,$K$32&amp;"/"&amp;$M32))</f>
        <v/>
      </c>
      <c r="R32" s="182">
        <f t="shared" ref="R32" si="10">SUM(Q32:Q35)</f>
        <v>0</v>
      </c>
    </row>
    <row r="33" spans="10:18" x14ac:dyDescent="0.25">
      <c r="J33" s="26">
        <v>2</v>
      </c>
      <c r="K33" s="190"/>
      <c r="L33" s="158"/>
      <c r="M33" s="184" t="str">
        <f>IF($K$32="","",IFERROR(VLOOKUP($K$32&amp;"/"&amp;$J33,$Z$7:$AA$30,2,0),""))</f>
        <v/>
      </c>
      <c r="N33" s="184"/>
      <c r="O33" s="184"/>
      <c r="P33" s="184"/>
      <c r="Q33" s="22" t="str">
        <f>IF($M33="","",SUMIFS($H$7:$H$30,$D$7:$D$30,$K$32&amp;"/"&amp;$M33))</f>
        <v/>
      </c>
      <c r="R33" s="182"/>
    </row>
    <row r="34" spans="10:18" x14ac:dyDescent="0.25">
      <c r="J34" s="26">
        <v>3</v>
      </c>
      <c r="K34" s="190"/>
      <c r="L34" s="158"/>
      <c r="M34" s="184" t="str">
        <f>IF($K$32="","",IFERROR(VLOOKUP($K$32&amp;"/"&amp;$J34,$Z$7:$AA$30,2,0),""))</f>
        <v/>
      </c>
      <c r="N34" s="184"/>
      <c r="O34" s="184"/>
      <c r="P34" s="184"/>
      <c r="Q34" s="22" t="str">
        <f>IF($M34="","",SUMIFS($H$7:$H$30,$D$7:$D$30,$K$32&amp;"/"&amp;$M34))</f>
        <v/>
      </c>
      <c r="R34" s="182"/>
    </row>
    <row r="35" spans="10:18" ht="15.75" thickBot="1" x14ac:dyDescent="0.3">
      <c r="J35" s="26">
        <v>4</v>
      </c>
      <c r="K35" s="191"/>
      <c r="L35" s="161"/>
      <c r="M35" s="187" t="str">
        <f>IF($K$32="","",IFERROR(VLOOKUP($K$32&amp;"/"&amp;$J35,$Z$7:$AA$30,2,0),""))</f>
        <v/>
      </c>
      <c r="N35" s="187"/>
      <c r="O35" s="187"/>
      <c r="P35" s="187"/>
      <c r="Q35" s="24" t="str">
        <f>IF($M35="","",SUMIFS($H$7:$H$30,$D$7:$D$30,$K$32&amp;"/"&amp;$M35))</f>
        <v/>
      </c>
      <c r="R35" s="18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Vishnu gopi</cp:lastModifiedBy>
  <cp:lastPrinted>2018-11-23T17:04:38Z</cp:lastPrinted>
  <dcterms:created xsi:type="dcterms:W3CDTF">2018-11-23T13:42:04Z</dcterms:created>
  <dcterms:modified xsi:type="dcterms:W3CDTF">2019-03-23T03:46:59Z</dcterms:modified>
</cp:coreProperties>
</file>