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QMS\app\Packages\Milestone\QMS\"/>
    </mc:Choice>
  </mc:AlternateContent>
  <bookViews>
    <workbookView xWindow="240" yWindow="75" windowWidth="20055" windowHeight="7935" tabRatio="912" activeTab="5"/>
  </bookViews>
  <sheets>
    <sheet name="Tables" sheetId="1" r:id="rId1"/>
    <sheet name="Fields" sheetId="2" state="hidden" r:id="rId2"/>
    <sheet name="Table Fields" sheetId="3" state="hidden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'Helper-Relation'!$F$2:$F$11,'Helper-Relation'!#REF!,'Helper-Relation'!#REF!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B9" i="27" l="1"/>
  <c r="D9" i="27"/>
  <c r="Y9" i="27" s="1"/>
  <c r="E9" i="27"/>
  <c r="P9" i="27"/>
  <c r="Q9" i="27"/>
  <c r="R9" i="27"/>
  <c r="S9" i="27"/>
  <c r="A4" i="28"/>
  <c r="C4" i="28"/>
  <c r="D4" i="28"/>
  <c r="K4" i="28" s="1"/>
  <c r="E4" i="28"/>
  <c r="B8" i="27"/>
  <c r="D8" i="27"/>
  <c r="Y8" i="27" s="1"/>
  <c r="E8" i="27"/>
  <c r="P8" i="27"/>
  <c r="Q8" i="27"/>
  <c r="R8" i="27"/>
  <c r="S8" i="27"/>
  <c r="B7" i="27"/>
  <c r="D7" i="27"/>
  <c r="E7" i="27"/>
  <c r="P7" i="27"/>
  <c r="Q7" i="27"/>
  <c r="R7" i="27"/>
  <c r="S7" i="27"/>
  <c r="B6" i="27"/>
  <c r="D6" i="27"/>
  <c r="E6" i="27"/>
  <c r="P6" i="27"/>
  <c r="Q6" i="27"/>
  <c r="R6" i="27"/>
  <c r="S6" i="27"/>
  <c r="B5" i="27"/>
  <c r="D5" i="27"/>
  <c r="E5" i="27"/>
  <c r="P5" i="27"/>
  <c r="Q5" i="27"/>
  <c r="R5" i="27"/>
  <c r="S5" i="27"/>
  <c r="B4" i="27"/>
  <c r="D4" i="27"/>
  <c r="Y4" i="27" s="1"/>
  <c r="E4" i="27"/>
  <c r="P4" i="27"/>
  <c r="Q4" i="27"/>
  <c r="R4" i="27"/>
  <c r="S4" i="27"/>
  <c r="B3" i="27"/>
  <c r="D3" i="27"/>
  <c r="E3" i="27"/>
  <c r="P3" i="27"/>
  <c r="Q3" i="27"/>
  <c r="R3" i="27"/>
  <c r="S3" i="27"/>
  <c r="A3" i="28"/>
  <c r="C3" i="28"/>
  <c r="D3" i="28"/>
  <c r="K3" i="28" s="1"/>
  <c r="E3" i="28"/>
  <c r="O20" i="9"/>
  <c r="M20" i="9" s="1"/>
  <c r="P20" i="9"/>
  <c r="R20" i="9"/>
  <c r="AX20" i="9" s="1"/>
  <c r="AJ20" i="9"/>
  <c r="AT20" i="9"/>
  <c r="O19" i="9"/>
  <c r="M19" i="9" s="1"/>
  <c r="P19" i="9"/>
  <c r="R19" i="9"/>
  <c r="AX19" i="9" s="1"/>
  <c r="AJ19" i="9"/>
  <c r="AT19" i="9"/>
  <c r="O18" i="9"/>
  <c r="M18" i="9" s="1"/>
  <c r="P18" i="9"/>
  <c r="R18" i="9"/>
  <c r="AX18" i="9" s="1"/>
  <c r="AJ18" i="9"/>
  <c r="AT18" i="9"/>
  <c r="O17" i="9"/>
  <c r="M17" i="9" s="1"/>
  <c r="P17" i="9"/>
  <c r="R17" i="9"/>
  <c r="AX17" i="9" s="1"/>
  <c r="AJ17" i="9"/>
  <c r="AT17" i="9"/>
  <c r="B7" i="9"/>
  <c r="F7" i="9"/>
  <c r="O16" i="9"/>
  <c r="M16" i="9" s="1"/>
  <c r="P16" i="9"/>
  <c r="AJ16" i="9"/>
  <c r="AT16" i="9"/>
  <c r="O15" i="9"/>
  <c r="M15" i="9" s="1"/>
  <c r="P15" i="9"/>
  <c r="AJ15" i="9"/>
  <c r="AT15" i="9"/>
  <c r="O14" i="9"/>
  <c r="M14" i="9" s="1"/>
  <c r="P14" i="9"/>
  <c r="AJ14" i="9"/>
  <c r="AT14" i="9"/>
  <c r="B6" i="9"/>
  <c r="F6" i="9"/>
  <c r="O13" i="9"/>
  <c r="M13" i="9" s="1"/>
  <c r="P13" i="9"/>
  <c r="AJ13" i="9"/>
  <c r="AT13" i="9"/>
  <c r="O12" i="9"/>
  <c r="M12" i="9" s="1"/>
  <c r="P12" i="9"/>
  <c r="AJ12" i="9"/>
  <c r="AT12" i="9"/>
  <c r="O11" i="9"/>
  <c r="M11" i="9" s="1"/>
  <c r="P11" i="9"/>
  <c r="AJ11" i="9"/>
  <c r="AT11" i="9"/>
  <c r="B5" i="9"/>
  <c r="F5" i="9"/>
  <c r="O10" i="9"/>
  <c r="M10" i="9" s="1"/>
  <c r="P10" i="9"/>
  <c r="AJ10" i="9"/>
  <c r="AT10" i="9"/>
  <c r="O9" i="9"/>
  <c r="M9" i="9" s="1"/>
  <c r="P9" i="9"/>
  <c r="AJ9" i="9"/>
  <c r="AT9" i="9"/>
  <c r="O8" i="9"/>
  <c r="M8" i="9" s="1"/>
  <c r="P8" i="9"/>
  <c r="AJ8" i="9"/>
  <c r="AT8" i="9"/>
  <c r="O7" i="9"/>
  <c r="M7" i="9" s="1"/>
  <c r="P7" i="9"/>
  <c r="AJ7" i="9"/>
  <c r="AT7" i="9"/>
  <c r="B4" i="9"/>
  <c r="F4" i="9"/>
  <c r="A9" i="24"/>
  <c r="C9" i="24"/>
  <c r="A8" i="24"/>
  <c r="C8" i="24"/>
  <c r="A7" i="24"/>
  <c r="C7" i="24"/>
  <c r="A6" i="24"/>
  <c r="C6" i="24"/>
  <c r="C2" i="24"/>
  <c r="C3" i="24"/>
  <c r="C4" i="24"/>
  <c r="C5" i="24"/>
  <c r="C10" i="24"/>
  <c r="C11" i="24"/>
  <c r="C12" i="24"/>
  <c r="C13" i="24"/>
  <c r="C14" i="24"/>
  <c r="C15" i="24"/>
  <c r="C16" i="24"/>
  <c r="C17" i="24"/>
  <c r="A11" i="24"/>
  <c r="A12" i="24"/>
  <c r="A13" i="24"/>
  <c r="A14" i="24"/>
  <c r="A15" i="24"/>
  <c r="A16" i="24"/>
  <c r="A17" i="24"/>
  <c r="A2" i="24"/>
  <c r="A3" i="24"/>
  <c r="A4" i="24"/>
  <c r="A5" i="24"/>
  <c r="A10" i="24"/>
  <c r="M9" i="27" l="1"/>
  <c r="M8" i="27"/>
  <c r="Y7" i="27"/>
  <c r="M6" i="27"/>
  <c r="Y6" i="27"/>
  <c r="M7" i="27"/>
  <c r="Y5" i="27"/>
  <c r="M5" i="27"/>
  <c r="M4" i="27"/>
  <c r="Y3" i="27"/>
  <c r="M3" i="27"/>
  <c r="Q20" i="9"/>
  <c r="AE20" i="9"/>
  <c r="AB20" i="9" s="1"/>
  <c r="Q19" i="9"/>
  <c r="AE19" i="9"/>
  <c r="AB19" i="9" s="1"/>
  <c r="Q18" i="9"/>
  <c r="AE18" i="9"/>
  <c r="AB18" i="9" s="1"/>
  <c r="Q17" i="9"/>
  <c r="AE17" i="9"/>
  <c r="AB17" i="9" s="1"/>
  <c r="Q16" i="9"/>
  <c r="AE16" i="9"/>
  <c r="AB16" i="9" s="1"/>
  <c r="Q15" i="9"/>
  <c r="AE15" i="9"/>
  <c r="AB15" i="9" s="1"/>
  <c r="Q14" i="9"/>
  <c r="AE14" i="9"/>
  <c r="AB14" i="9" s="1"/>
  <c r="Q13" i="9"/>
  <c r="AE13" i="9"/>
  <c r="AB13" i="9" s="1"/>
  <c r="Q12" i="9"/>
  <c r="AE12" i="9"/>
  <c r="AB12" i="9" s="1"/>
  <c r="Q11" i="9"/>
  <c r="AE11" i="9"/>
  <c r="AB11" i="9" s="1"/>
  <c r="Q10" i="9"/>
  <c r="AE10" i="9"/>
  <c r="AB10" i="9" s="1"/>
  <c r="Q9" i="9"/>
  <c r="AE9" i="9"/>
  <c r="AB9" i="9" s="1"/>
  <c r="Q8" i="9"/>
  <c r="AE8" i="9"/>
  <c r="AB8" i="9" s="1"/>
  <c r="Q7" i="9"/>
  <c r="AE7" i="9"/>
  <c r="AB7" i="9" s="1"/>
  <c r="A11" i="19"/>
  <c r="B11" i="19"/>
  <c r="D11" i="19" s="1"/>
  <c r="N11" i="19" s="1"/>
  <c r="C11" i="19"/>
  <c r="M11" i="19"/>
  <c r="A10" i="19"/>
  <c r="B10" i="19"/>
  <c r="D10" i="19" s="1"/>
  <c r="N10" i="19" s="1"/>
  <c r="C10" i="19"/>
  <c r="M10" i="19"/>
  <c r="A9" i="19"/>
  <c r="B9" i="19"/>
  <c r="D9" i="19" s="1"/>
  <c r="N9" i="19" s="1"/>
  <c r="C9" i="19"/>
  <c r="M9" i="19"/>
  <c r="A8" i="19"/>
  <c r="B8" i="19"/>
  <c r="D8" i="19" s="1"/>
  <c r="N8" i="19" s="1"/>
  <c r="C8" i="19"/>
  <c r="M8" i="19"/>
  <c r="A7" i="19"/>
  <c r="B7" i="19"/>
  <c r="D7" i="19" s="1"/>
  <c r="N7" i="19" s="1"/>
  <c r="C7" i="19"/>
  <c r="M7" i="19"/>
  <c r="A6" i="19"/>
  <c r="B6" i="19"/>
  <c r="D6" i="19" s="1"/>
  <c r="N6" i="19" s="1"/>
  <c r="C6" i="19"/>
  <c r="M6" i="19"/>
  <c r="A5" i="19"/>
  <c r="B5" i="19"/>
  <c r="D5" i="19" s="1"/>
  <c r="N5" i="19" s="1"/>
  <c r="C5" i="19"/>
  <c r="M5" i="19"/>
  <c r="A4" i="19"/>
  <c r="B4" i="19"/>
  <c r="D4" i="19" s="1"/>
  <c r="N4" i="19" s="1"/>
  <c r="C4" i="19"/>
  <c r="M4" i="19"/>
  <c r="H3" i="14"/>
  <c r="A3" i="14"/>
  <c r="B3" i="14"/>
  <c r="D46" i="1"/>
  <c r="B46" i="1"/>
  <c r="F46" i="1" s="1"/>
  <c r="C46" i="1"/>
  <c r="E46" i="1" s="1"/>
  <c r="O6" i="9"/>
  <c r="M6" i="9" s="1"/>
  <c r="P6" i="9"/>
  <c r="AJ6" i="9"/>
  <c r="AT6" i="9"/>
  <c r="O5" i="9"/>
  <c r="M5" i="9" s="1"/>
  <c r="P5" i="9"/>
  <c r="AJ5" i="9"/>
  <c r="AT5" i="9"/>
  <c r="O4" i="9"/>
  <c r="M4" i="9" s="1"/>
  <c r="P4" i="9"/>
  <c r="AJ4" i="9"/>
  <c r="AT4" i="9"/>
  <c r="O3" i="9"/>
  <c r="M3" i="9" s="1"/>
  <c r="P3" i="9"/>
  <c r="AJ3" i="9"/>
  <c r="AT3" i="9"/>
  <c r="B3" i="9"/>
  <c r="A3" i="19"/>
  <c r="B3" i="19"/>
  <c r="D3" i="19" s="1"/>
  <c r="N3" i="19" s="1"/>
  <c r="C3" i="19"/>
  <c r="H5" i="14"/>
  <c r="H6" i="14"/>
  <c r="H7" i="14"/>
  <c r="H8" i="14"/>
  <c r="H9" i="14"/>
  <c r="H10" i="14"/>
  <c r="H4" i="14"/>
  <c r="A4" i="14"/>
  <c r="A5" i="14"/>
  <c r="A6" i="14"/>
  <c r="A7" i="14"/>
  <c r="A8" i="14"/>
  <c r="A9" i="14"/>
  <c r="A10" i="14"/>
  <c r="B4" i="14"/>
  <c r="B5" i="14"/>
  <c r="B6" i="14"/>
  <c r="B7" i="14"/>
  <c r="B8" i="14"/>
  <c r="B9" i="14"/>
  <c r="B10" i="14"/>
  <c r="C41" i="3"/>
  <c r="D41" i="3"/>
  <c r="E41" i="3"/>
  <c r="F41" i="3"/>
  <c r="G41" i="3"/>
  <c r="H41" i="3"/>
  <c r="I41" i="3"/>
  <c r="J41" i="3"/>
  <c r="C40" i="3"/>
  <c r="D40" i="3"/>
  <c r="E40" i="3"/>
  <c r="F40" i="3"/>
  <c r="G40" i="3"/>
  <c r="H40" i="3"/>
  <c r="I40" i="3"/>
  <c r="J40" i="3"/>
  <c r="C39" i="3"/>
  <c r="D39" i="3"/>
  <c r="E39" i="3"/>
  <c r="F39" i="3"/>
  <c r="G39" i="3"/>
  <c r="H39" i="3"/>
  <c r="I39" i="3"/>
  <c r="J39" i="3"/>
  <c r="C38" i="3"/>
  <c r="D38" i="3"/>
  <c r="E38" i="3"/>
  <c r="F38" i="3"/>
  <c r="G38" i="3"/>
  <c r="H38" i="3"/>
  <c r="I38" i="3"/>
  <c r="J38" i="3"/>
  <c r="C37" i="3"/>
  <c r="D37" i="3"/>
  <c r="E37" i="3"/>
  <c r="F37" i="3"/>
  <c r="G37" i="3"/>
  <c r="H37" i="3"/>
  <c r="I37" i="3"/>
  <c r="J37" i="3"/>
  <c r="J21" i="2"/>
  <c r="C36" i="3"/>
  <c r="D36" i="3"/>
  <c r="E36" i="3"/>
  <c r="F36" i="3"/>
  <c r="G36" i="3"/>
  <c r="H36" i="3"/>
  <c r="I36" i="3"/>
  <c r="J36" i="3"/>
  <c r="C35" i="3"/>
  <c r="D35" i="3"/>
  <c r="E35" i="3"/>
  <c r="F35" i="3"/>
  <c r="G35" i="3"/>
  <c r="H35" i="3"/>
  <c r="I35" i="3"/>
  <c r="J35" i="3"/>
  <c r="C34" i="3"/>
  <c r="D34" i="3"/>
  <c r="E34" i="3"/>
  <c r="F34" i="3"/>
  <c r="G34" i="3"/>
  <c r="H34" i="3"/>
  <c r="I34" i="3"/>
  <c r="J34" i="3"/>
  <c r="C33" i="3"/>
  <c r="D33" i="3"/>
  <c r="E33" i="3"/>
  <c r="F33" i="3"/>
  <c r="G33" i="3"/>
  <c r="H33" i="3"/>
  <c r="I33" i="3"/>
  <c r="J33" i="3"/>
  <c r="C32" i="3"/>
  <c r="D32" i="3"/>
  <c r="E32" i="3"/>
  <c r="F32" i="3"/>
  <c r="G32" i="3"/>
  <c r="H32" i="3"/>
  <c r="I32" i="3"/>
  <c r="J32" i="3"/>
  <c r="C31" i="3"/>
  <c r="D31" i="3"/>
  <c r="E31" i="3"/>
  <c r="F31" i="3"/>
  <c r="G31" i="3"/>
  <c r="H31" i="3"/>
  <c r="I31" i="3"/>
  <c r="J31" i="3"/>
  <c r="C30" i="3"/>
  <c r="D30" i="3"/>
  <c r="E30" i="3"/>
  <c r="F30" i="3"/>
  <c r="G30" i="3"/>
  <c r="H30" i="3"/>
  <c r="I30" i="3"/>
  <c r="J30" i="3"/>
  <c r="C29" i="3"/>
  <c r="D29" i="3"/>
  <c r="E29" i="3"/>
  <c r="F29" i="3"/>
  <c r="G29" i="3"/>
  <c r="H29" i="3"/>
  <c r="I29" i="3"/>
  <c r="J29" i="3"/>
  <c r="C28" i="3"/>
  <c r="D28" i="3"/>
  <c r="E28" i="3"/>
  <c r="F28" i="3"/>
  <c r="G28" i="3"/>
  <c r="H28" i="3"/>
  <c r="I28" i="3"/>
  <c r="J28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C25" i="3"/>
  <c r="D25" i="3"/>
  <c r="E25" i="3"/>
  <c r="F25" i="3"/>
  <c r="G25" i="3"/>
  <c r="H25" i="3"/>
  <c r="I25" i="3"/>
  <c r="J25" i="3"/>
  <c r="C24" i="3"/>
  <c r="D24" i="3"/>
  <c r="E24" i="3"/>
  <c r="F24" i="3"/>
  <c r="G24" i="3"/>
  <c r="H24" i="3"/>
  <c r="I24" i="3"/>
  <c r="J24" i="3"/>
  <c r="C23" i="3"/>
  <c r="D23" i="3"/>
  <c r="E23" i="3"/>
  <c r="F23" i="3"/>
  <c r="G23" i="3"/>
  <c r="H23" i="3"/>
  <c r="I23" i="3"/>
  <c r="J23" i="3"/>
  <c r="C22" i="3"/>
  <c r="D22" i="3"/>
  <c r="E22" i="3"/>
  <c r="F22" i="3"/>
  <c r="G22" i="3"/>
  <c r="H22" i="3"/>
  <c r="I22" i="3"/>
  <c r="J22" i="3"/>
  <c r="C21" i="3"/>
  <c r="D21" i="3"/>
  <c r="E21" i="3"/>
  <c r="F21" i="3"/>
  <c r="G21" i="3"/>
  <c r="H21" i="3"/>
  <c r="I21" i="3"/>
  <c r="J21" i="3"/>
  <c r="C20" i="3"/>
  <c r="D20" i="3"/>
  <c r="E20" i="3"/>
  <c r="F20" i="3"/>
  <c r="G20" i="3"/>
  <c r="H20" i="3"/>
  <c r="I20" i="3"/>
  <c r="J20" i="3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F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F9" i="3"/>
  <c r="G9" i="3"/>
  <c r="H9" i="3"/>
  <c r="I9" i="3"/>
  <c r="J9" i="3"/>
  <c r="C8" i="3"/>
  <c r="D8" i="3"/>
  <c r="E8" i="3"/>
  <c r="F8" i="3"/>
  <c r="G8" i="3"/>
  <c r="H8" i="3"/>
  <c r="I8" i="3"/>
  <c r="J8" i="3"/>
  <c r="C7" i="3"/>
  <c r="D7" i="3"/>
  <c r="E7" i="3"/>
  <c r="F7" i="3"/>
  <c r="G7" i="3"/>
  <c r="H7" i="3"/>
  <c r="I7" i="3"/>
  <c r="J7" i="3"/>
  <c r="C6" i="3"/>
  <c r="D6" i="3"/>
  <c r="E6" i="3"/>
  <c r="F6" i="3"/>
  <c r="G6" i="3"/>
  <c r="H6" i="3"/>
  <c r="I6" i="3"/>
  <c r="J6" i="3"/>
  <c r="C5" i="3"/>
  <c r="D5" i="3"/>
  <c r="E5" i="3"/>
  <c r="F5" i="3"/>
  <c r="G5" i="3"/>
  <c r="H5" i="3"/>
  <c r="I5" i="3"/>
  <c r="J5" i="3"/>
  <c r="C4" i="3"/>
  <c r="D4" i="3"/>
  <c r="E4" i="3"/>
  <c r="F4" i="3"/>
  <c r="G4" i="3"/>
  <c r="H4" i="3"/>
  <c r="I4" i="3"/>
  <c r="J4" i="3"/>
  <c r="C3" i="3"/>
  <c r="D3" i="3"/>
  <c r="E3" i="3"/>
  <c r="F3" i="3"/>
  <c r="G3" i="3"/>
  <c r="H3" i="3"/>
  <c r="I3" i="3"/>
  <c r="J3" i="3"/>
  <c r="C2" i="3"/>
  <c r="D2" i="3"/>
  <c r="E2" i="3"/>
  <c r="F2" i="3"/>
  <c r="G2" i="3"/>
  <c r="H2" i="3"/>
  <c r="I2" i="3"/>
  <c r="J2" i="3"/>
  <c r="J20" i="2"/>
  <c r="J19" i="2"/>
  <c r="J18" i="2"/>
  <c r="J17" i="2"/>
  <c r="J16" i="2"/>
  <c r="J15" i="2"/>
  <c r="J14" i="2"/>
  <c r="J13" i="2"/>
  <c r="J12" i="2"/>
  <c r="J11" i="2"/>
  <c r="J10" i="2"/>
  <c r="AD20" i="9" l="1"/>
  <c r="AY20" i="9"/>
  <c r="BA20" i="9"/>
  <c r="AN20" i="9"/>
  <c r="AD19" i="9"/>
  <c r="AY19" i="9"/>
  <c r="BA19" i="9"/>
  <c r="AN19" i="9"/>
  <c r="AD18" i="9"/>
  <c r="AY18" i="9"/>
  <c r="BA18" i="9"/>
  <c r="AN18" i="9"/>
  <c r="AD17" i="9"/>
  <c r="AY17" i="9"/>
  <c r="BA17" i="9"/>
  <c r="AN17" i="9"/>
  <c r="AD16" i="9"/>
  <c r="AY16" i="9"/>
  <c r="BA16" i="9"/>
  <c r="AN16" i="9"/>
  <c r="AD15" i="9"/>
  <c r="AY15" i="9"/>
  <c r="BA15" i="9"/>
  <c r="AN15" i="9"/>
  <c r="AD14" i="9"/>
  <c r="AY14" i="9"/>
  <c r="BA14" i="9"/>
  <c r="AN14" i="9"/>
  <c r="AD13" i="9"/>
  <c r="AY13" i="9"/>
  <c r="BA13" i="9"/>
  <c r="AN13" i="9"/>
  <c r="AD12" i="9"/>
  <c r="AY12" i="9"/>
  <c r="BA12" i="9"/>
  <c r="AN12" i="9"/>
  <c r="AY11" i="9"/>
  <c r="AD11" i="9"/>
  <c r="BA11" i="9"/>
  <c r="AN11" i="9"/>
  <c r="AY10" i="9"/>
  <c r="AD10" i="9"/>
  <c r="BA10" i="9"/>
  <c r="AN10" i="9"/>
  <c r="AD9" i="9"/>
  <c r="AY9" i="9"/>
  <c r="BA9" i="9"/>
  <c r="AN9" i="9"/>
  <c r="AD8" i="9"/>
  <c r="AY8" i="9"/>
  <c r="BA8" i="9"/>
  <c r="AN8" i="9"/>
  <c r="AD7" i="9"/>
  <c r="AY7" i="9"/>
  <c r="BA7" i="9"/>
  <c r="AN7" i="9"/>
  <c r="H11" i="19"/>
  <c r="G11" i="19"/>
  <c r="H10" i="19"/>
  <c r="G10" i="19"/>
  <c r="H9" i="19"/>
  <c r="G9" i="19"/>
  <c r="H8" i="19"/>
  <c r="G8" i="19"/>
  <c r="H7" i="19"/>
  <c r="G7" i="19"/>
  <c r="H6" i="19"/>
  <c r="G6" i="19"/>
  <c r="H5" i="19"/>
  <c r="G5" i="19"/>
  <c r="H4" i="19"/>
  <c r="G4" i="19"/>
  <c r="H46" i="1"/>
  <c r="J46" i="1"/>
  <c r="G46" i="1"/>
  <c r="I46" i="1"/>
  <c r="Q6" i="9"/>
  <c r="AE6" i="9"/>
  <c r="AB6" i="9" s="1"/>
  <c r="Q5" i="9"/>
  <c r="AE5" i="9"/>
  <c r="AB5" i="9" s="1"/>
  <c r="Q4" i="9"/>
  <c r="AE4" i="9"/>
  <c r="AB4" i="9" s="1"/>
  <c r="Q3" i="9"/>
  <c r="AE3" i="9"/>
  <c r="AB3" i="9" s="1"/>
  <c r="G3" i="19"/>
  <c r="K41" i="3"/>
  <c r="K40" i="3"/>
  <c r="K39" i="3"/>
  <c r="K38" i="3"/>
  <c r="K37" i="3"/>
  <c r="K36" i="3"/>
  <c r="K35" i="3"/>
  <c r="K34" i="3"/>
  <c r="K33" i="3"/>
  <c r="K32" i="3"/>
  <c r="K30" i="3"/>
  <c r="K31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AD6" i="9" l="1"/>
  <c r="AY6" i="9"/>
  <c r="BA6" i="9"/>
  <c r="AN6" i="9"/>
  <c r="AD5" i="9"/>
  <c r="AY5" i="9"/>
  <c r="BA5" i="9"/>
  <c r="AN5" i="9"/>
  <c r="AD4" i="9"/>
  <c r="AY4" i="9"/>
  <c r="BA4" i="9"/>
  <c r="AN4" i="9"/>
  <c r="AD3" i="9"/>
  <c r="AY3" i="9"/>
  <c r="BA3" i="9"/>
  <c r="AN3" i="9"/>
  <c r="J9" i="2"/>
  <c r="J8" i="2"/>
  <c r="J7" i="2"/>
  <c r="J6" i="2"/>
  <c r="J5" i="2"/>
  <c r="B53" i="1"/>
  <c r="F53" i="1" s="1"/>
  <c r="C53" i="1"/>
  <c r="E53" i="1" s="1"/>
  <c r="D53" i="1"/>
  <c r="B52" i="1"/>
  <c r="F52" i="1" s="1"/>
  <c r="C52" i="1"/>
  <c r="E52" i="1" s="1"/>
  <c r="D52" i="1"/>
  <c r="B51" i="1"/>
  <c r="F51" i="1" s="1"/>
  <c r="C51" i="1"/>
  <c r="E51" i="1" s="1"/>
  <c r="D51" i="1"/>
  <c r="B50" i="1"/>
  <c r="H50" i="1" s="1"/>
  <c r="C50" i="1"/>
  <c r="E50" i="1" s="1"/>
  <c r="D50" i="1"/>
  <c r="B49" i="1"/>
  <c r="F49" i="1" s="1"/>
  <c r="C49" i="1"/>
  <c r="E49" i="1" s="1"/>
  <c r="D49" i="1"/>
  <c r="B48" i="1"/>
  <c r="H48" i="1" s="1"/>
  <c r="C48" i="1"/>
  <c r="E48" i="1" s="1"/>
  <c r="D48" i="1"/>
  <c r="D47" i="1"/>
  <c r="H53" i="1" l="1"/>
  <c r="J53" i="1"/>
  <c r="G53" i="1"/>
  <c r="I53" i="1"/>
  <c r="H52" i="1"/>
  <c r="J52" i="1"/>
  <c r="I52" i="1"/>
  <c r="G52" i="1"/>
  <c r="H51" i="1"/>
  <c r="J51" i="1"/>
  <c r="I51" i="1"/>
  <c r="G51" i="1"/>
  <c r="J50" i="1"/>
  <c r="I50" i="1"/>
  <c r="G50" i="1"/>
  <c r="H49" i="1"/>
  <c r="F50" i="1"/>
  <c r="J49" i="1"/>
  <c r="G49" i="1"/>
  <c r="I49" i="1"/>
  <c r="I48" i="1"/>
  <c r="J48" i="1"/>
  <c r="G48" i="1"/>
  <c r="F48" i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R2" i="29"/>
  <c r="AP2" i="29"/>
  <c r="V2" i="14"/>
  <c r="AJ2" i="27"/>
  <c r="AI2" i="27"/>
  <c r="AF2" i="27"/>
  <c r="AE2" i="27"/>
  <c r="O2" i="9"/>
  <c r="M2" i="9" s="1"/>
  <c r="J2" i="2"/>
  <c r="J3" i="2"/>
  <c r="J4" i="2"/>
  <c r="B47" i="1"/>
  <c r="H47" i="1" s="1"/>
  <c r="C47" i="1"/>
  <c r="E47" i="1" s="1"/>
  <c r="D2" i="27"/>
  <c r="L2" i="27" s="1"/>
  <c r="U2" i="14"/>
  <c r="T2" i="14"/>
  <c r="C39" i="21"/>
  <c r="Z2" i="14"/>
  <c r="Y2" i="14"/>
  <c r="X2" i="14"/>
  <c r="W2" i="14"/>
  <c r="D20" i="21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C43" i="26"/>
  <c r="C44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6" i="31"/>
  <c r="BL2" i="9" l="1"/>
  <c r="CI2" i="9"/>
  <c r="AE2" i="9"/>
  <c r="AB2" i="9" s="1"/>
  <c r="AA20" i="9" s="1"/>
  <c r="M2" i="27"/>
  <c r="Q2" i="9"/>
  <c r="I47" i="1"/>
  <c r="J47" i="1"/>
  <c r="F47" i="1"/>
  <c r="G47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AI2" i="29" s="1"/>
  <c r="AG2" i="29" s="1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J2" i="9"/>
  <c r="AL20" i="9" s="1"/>
  <c r="P2" i="9"/>
  <c r="BF2" i="9" s="1"/>
  <c r="B2" i="9"/>
  <c r="C2" i="19"/>
  <c r="A2" i="14"/>
  <c r="C3" i="14" s="1"/>
  <c r="D3" i="14" s="1"/>
  <c r="M3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K20" i="9" l="1"/>
  <c r="AM20" i="9"/>
  <c r="AC20" i="9"/>
  <c r="AH20" i="9"/>
  <c r="AF20" i="9"/>
  <c r="Z20" i="9"/>
  <c r="AG20" i="9"/>
  <c r="AI20" i="9"/>
  <c r="AV18" i="9"/>
  <c r="AW18" i="9" s="1"/>
  <c r="AV19" i="9"/>
  <c r="AV20" i="9"/>
  <c r="AL18" i="9"/>
  <c r="AK18" i="9" s="1"/>
  <c r="AL19" i="9"/>
  <c r="AA18" i="9"/>
  <c r="AG18" i="9" s="1"/>
  <c r="AA19" i="9"/>
  <c r="AU18" i="9"/>
  <c r="AV16" i="9"/>
  <c r="AU16" i="9" s="1"/>
  <c r="AV17" i="9"/>
  <c r="AL16" i="9"/>
  <c r="AK16" i="9" s="1"/>
  <c r="AL17" i="9"/>
  <c r="AA16" i="9"/>
  <c r="AC16" i="9" s="1"/>
  <c r="AA17" i="9"/>
  <c r="AA14" i="9"/>
  <c r="AF14" i="9" s="1"/>
  <c r="AA15" i="9"/>
  <c r="AL13" i="9"/>
  <c r="AK13" i="9" s="1"/>
  <c r="AL15" i="9"/>
  <c r="AL14" i="9"/>
  <c r="AV14" i="9"/>
  <c r="AW14" i="9" s="1"/>
  <c r="AV15" i="9"/>
  <c r="AV12" i="9"/>
  <c r="AU12" i="9" s="1"/>
  <c r="AV13" i="9"/>
  <c r="AA12" i="9"/>
  <c r="AG12" i="9" s="1"/>
  <c r="AA13" i="9"/>
  <c r="AL9" i="9"/>
  <c r="AK9" i="9" s="1"/>
  <c r="AL12" i="9"/>
  <c r="AL11" i="9"/>
  <c r="AL10" i="9"/>
  <c r="AA10" i="9"/>
  <c r="AH10" i="9" s="1"/>
  <c r="AA11" i="9"/>
  <c r="AV10" i="9"/>
  <c r="AW10" i="9" s="1"/>
  <c r="AV11" i="9"/>
  <c r="R2" i="9"/>
  <c r="AX2" i="9" s="1"/>
  <c r="AA8" i="9"/>
  <c r="AC8" i="9" s="1"/>
  <c r="AA9" i="9"/>
  <c r="AV8" i="9"/>
  <c r="AU8" i="9" s="1"/>
  <c r="AV9" i="9"/>
  <c r="AL6" i="9"/>
  <c r="AK6" i="9" s="1"/>
  <c r="AL8" i="9"/>
  <c r="AL7" i="9"/>
  <c r="AV6" i="9"/>
  <c r="AW6" i="9" s="1"/>
  <c r="AV7" i="9"/>
  <c r="AA6" i="9"/>
  <c r="AC6" i="9" s="1"/>
  <c r="AA7" i="9"/>
  <c r="AL4" i="9"/>
  <c r="AK4" i="9" s="1"/>
  <c r="AL5" i="9"/>
  <c r="AA4" i="9"/>
  <c r="AC4" i="9" s="1"/>
  <c r="AA5" i="9"/>
  <c r="AV4" i="9"/>
  <c r="AW4" i="9" s="1"/>
  <c r="AV5" i="9"/>
  <c r="AL2" i="9"/>
  <c r="AK2" i="9" s="1"/>
  <c r="AL3" i="9"/>
  <c r="AA2" i="9"/>
  <c r="AH2" i="9" s="1"/>
  <c r="AA3" i="9"/>
  <c r="AV2" i="9"/>
  <c r="AU2" i="9" s="1"/>
  <c r="AV3" i="9"/>
  <c r="C6" i="14"/>
  <c r="D6" i="14" s="1"/>
  <c r="M6" i="14" s="1"/>
  <c r="C7" i="14"/>
  <c r="D7" i="14" s="1"/>
  <c r="M7" i="14" s="1"/>
  <c r="C8" i="14"/>
  <c r="D8" i="14" s="1"/>
  <c r="M8" i="14" s="1"/>
  <c r="C9" i="14"/>
  <c r="D9" i="14" s="1"/>
  <c r="M9" i="14" s="1"/>
  <c r="C10" i="14"/>
  <c r="D10" i="14" s="1"/>
  <c r="M10" i="14" s="1"/>
  <c r="C5" i="14"/>
  <c r="D5" i="14" s="1"/>
  <c r="M5" i="14" s="1"/>
  <c r="C4" i="14"/>
  <c r="D4" i="14" s="1"/>
  <c r="AY2" i="9"/>
  <c r="BA2" i="9"/>
  <c r="E2" i="27"/>
  <c r="E2" i="28"/>
  <c r="E2" i="29"/>
  <c r="F2" i="9"/>
  <c r="AD2" i="9"/>
  <c r="AN2" i="9"/>
  <c r="C2" i="14"/>
  <c r="DQ2" i="9"/>
  <c r="DE2" i="9"/>
  <c r="J6" i="31"/>
  <c r="Y2" i="27"/>
  <c r="AA2" i="28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9" i="27" l="1"/>
  <c r="K9" i="27"/>
  <c r="K8" i="27"/>
  <c r="L8" i="27"/>
  <c r="L9" i="27"/>
  <c r="K6" i="27"/>
  <c r="A6" i="27"/>
  <c r="L5" i="27"/>
  <c r="A5" i="27"/>
  <c r="A8" i="27"/>
  <c r="L6" i="27"/>
  <c r="A7" i="27"/>
  <c r="K5" i="27"/>
  <c r="K7" i="27"/>
  <c r="L7" i="27"/>
  <c r="A4" i="27"/>
  <c r="K4" i="27"/>
  <c r="L3" i="27"/>
  <c r="L4" i="27"/>
  <c r="A3" i="27"/>
  <c r="K3" i="27"/>
  <c r="AM18" i="9"/>
  <c r="AW16" i="9"/>
  <c r="AI16" i="9"/>
  <c r="AI18" i="9"/>
  <c r="AU20" i="9"/>
  <c r="AW20" i="9"/>
  <c r="AH18" i="9"/>
  <c r="AW19" i="9"/>
  <c r="AU19" i="9"/>
  <c r="AF18" i="9"/>
  <c r="AC18" i="9"/>
  <c r="AH16" i="9"/>
  <c r="AC19" i="9"/>
  <c r="AF19" i="9"/>
  <c r="AG19" i="9"/>
  <c r="Z19" i="9"/>
  <c r="AH19" i="9"/>
  <c r="AI19" i="9"/>
  <c r="Z18" i="9"/>
  <c r="AK19" i="9"/>
  <c r="AM19" i="9"/>
  <c r="AM13" i="9"/>
  <c r="Z16" i="9"/>
  <c r="AF16" i="9"/>
  <c r="AM16" i="9"/>
  <c r="AC17" i="9"/>
  <c r="AF17" i="9"/>
  <c r="AG17" i="9"/>
  <c r="Z17" i="9"/>
  <c r="AH17" i="9"/>
  <c r="AI17" i="9"/>
  <c r="AK17" i="9"/>
  <c r="AM17" i="9"/>
  <c r="AG16" i="9"/>
  <c r="AU17" i="9"/>
  <c r="AW17" i="9"/>
  <c r="AH14" i="9"/>
  <c r="AI14" i="9"/>
  <c r="AC14" i="9"/>
  <c r="AU6" i="9"/>
  <c r="AU14" i="9"/>
  <c r="AU15" i="9"/>
  <c r="AW15" i="9"/>
  <c r="Z14" i="9"/>
  <c r="AK14" i="9"/>
  <c r="AM14" i="9"/>
  <c r="AG14" i="9"/>
  <c r="AK15" i="9"/>
  <c r="AM15" i="9"/>
  <c r="AC15" i="9"/>
  <c r="AI15" i="9"/>
  <c r="AF15" i="9"/>
  <c r="AG15" i="9"/>
  <c r="Z15" i="9"/>
  <c r="AH15" i="9"/>
  <c r="AH12" i="9"/>
  <c r="AF12" i="9"/>
  <c r="AI12" i="9"/>
  <c r="Z12" i="9"/>
  <c r="AC12" i="9"/>
  <c r="AU10" i="9"/>
  <c r="AC13" i="9"/>
  <c r="AF13" i="9"/>
  <c r="AG13" i="9"/>
  <c r="Z13" i="9"/>
  <c r="AH13" i="9"/>
  <c r="AI13" i="9"/>
  <c r="AW13" i="9"/>
  <c r="AU13" i="9"/>
  <c r="AM9" i="9"/>
  <c r="AW12" i="9"/>
  <c r="AM10" i="9"/>
  <c r="AK10" i="9"/>
  <c r="AM6" i="9"/>
  <c r="Z10" i="9"/>
  <c r="AK11" i="9"/>
  <c r="AM11" i="9"/>
  <c r="AI10" i="9"/>
  <c r="AK12" i="9"/>
  <c r="AM12" i="9"/>
  <c r="AG10" i="9"/>
  <c r="AF10" i="9"/>
  <c r="AC10" i="9"/>
  <c r="AW11" i="9"/>
  <c r="AU11" i="9"/>
  <c r="AC11" i="9"/>
  <c r="AF11" i="9"/>
  <c r="AG11" i="9"/>
  <c r="AI11" i="9"/>
  <c r="Z11" i="9"/>
  <c r="AH11" i="9"/>
  <c r="AI8" i="9"/>
  <c r="Z8" i="9"/>
  <c r="AH8" i="9"/>
  <c r="AF8" i="9"/>
  <c r="AG8" i="9"/>
  <c r="AW8" i="9"/>
  <c r="AC9" i="9"/>
  <c r="AH9" i="9"/>
  <c r="AI9" i="9"/>
  <c r="AF9" i="9"/>
  <c r="Z9" i="9"/>
  <c r="AG9" i="9"/>
  <c r="AW9" i="9"/>
  <c r="AU9" i="9"/>
  <c r="Z6" i="9"/>
  <c r="AG6" i="9"/>
  <c r="AK7" i="9"/>
  <c r="AM7" i="9"/>
  <c r="AK8" i="9"/>
  <c r="AM8" i="9"/>
  <c r="AI6" i="9"/>
  <c r="AU4" i="9"/>
  <c r="AH6" i="9"/>
  <c r="AC7" i="9"/>
  <c r="AF7" i="9"/>
  <c r="AG7" i="9"/>
  <c r="Z7" i="9"/>
  <c r="AH7" i="9"/>
  <c r="AI7" i="9"/>
  <c r="AF6" i="9"/>
  <c r="AW7" i="9"/>
  <c r="AU7" i="9"/>
  <c r="M4" i="14"/>
  <c r="F3" i="9"/>
  <c r="A4" i="9" s="1"/>
  <c r="AI4" i="9"/>
  <c r="AH4" i="9"/>
  <c r="Z4" i="9"/>
  <c r="AG4" i="9"/>
  <c r="AM4" i="9"/>
  <c r="AC5" i="9"/>
  <c r="AF5" i="9"/>
  <c r="AG5" i="9"/>
  <c r="Z5" i="9"/>
  <c r="AH5" i="9"/>
  <c r="AI5" i="9"/>
  <c r="AW5" i="9"/>
  <c r="AU5" i="9"/>
  <c r="AF4" i="9"/>
  <c r="AK5" i="9"/>
  <c r="AM5" i="9"/>
  <c r="AF2" i="9"/>
  <c r="AM2" i="9"/>
  <c r="AG2" i="9"/>
  <c r="AI2" i="9"/>
  <c r="AW3" i="9"/>
  <c r="AU3" i="9"/>
  <c r="AW2" i="9"/>
  <c r="AC3" i="9"/>
  <c r="AF3" i="9"/>
  <c r="AG3" i="9"/>
  <c r="Z3" i="9"/>
  <c r="AH3" i="9"/>
  <c r="AI3" i="9"/>
  <c r="AK3" i="9"/>
  <c r="AM3" i="9"/>
  <c r="A2" i="9"/>
  <c r="K2" i="27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E4" i="31"/>
  <c r="A7" i="9" l="1"/>
  <c r="A6" i="9"/>
  <c r="A5" i="9"/>
  <c r="A3" i="9"/>
  <c r="C4" i="9" s="1"/>
  <c r="E4" i="9" s="1"/>
  <c r="C2" i="9"/>
  <c r="E2" i="9" s="1"/>
  <c r="K2" i="9" s="1"/>
  <c r="M3" i="19"/>
  <c r="H3" i="19"/>
  <c r="M2" i="14"/>
  <c r="T2" i="19"/>
  <c r="D12" i="21"/>
  <c r="D16" i="21"/>
  <c r="D23" i="21"/>
  <c r="D11" i="21"/>
  <c r="J8" i="31"/>
  <c r="C7" i="9" l="1"/>
  <c r="E7" i="9" s="1"/>
  <c r="K7" i="9" s="1"/>
  <c r="C6" i="9"/>
  <c r="E6" i="9" s="1"/>
  <c r="C3" i="9"/>
  <c r="E3" i="9" s="1"/>
  <c r="R6" i="9" s="1"/>
  <c r="AX6" i="9" s="1"/>
  <c r="C5" i="9"/>
  <c r="E5" i="9" s="1"/>
  <c r="K4" i="9"/>
  <c r="R10" i="9"/>
  <c r="AX10" i="9" s="1"/>
  <c r="R7" i="9"/>
  <c r="AX7" i="9" s="1"/>
  <c r="R8" i="9"/>
  <c r="AX8" i="9" s="1"/>
  <c r="R9" i="9"/>
  <c r="AX9" i="9" s="1"/>
  <c r="J9" i="31"/>
  <c r="R13" i="9" l="1"/>
  <c r="AX13" i="9" s="1"/>
  <c r="R12" i="9"/>
  <c r="AX12" i="9" s="1"/>
  <c r="K6" i="9"/>
  <c r="R16" i="9"/>
  <c r="AX16" i="9" s="1"/>
  <c r="R14" i="9"/>
  <c r="AX14" i="9" s="1"/>
  <c r="R15" i="9"/>
  <c r="AX15" i="9" s="1"/>
  <c r="K5" i="9"/>
  <c r="R11" i="9"/>
  <c r="AX11" i="9" s="1"/>
  <c r="R3" i="9"/>
  <c r="AX3" i="9" s="1"/>
  <c r="K3" i="9"/>
  <c r="R5" i="9"/>
  <c r="AX5" i="9" s="1"/>
  <c r="R4" i="9"/>
  <c r="AX4" i="9" s="1"/>
  <c r="J10" i="31"/>
  <c r="J11" i="31" l="1"/>
  <c r="A2" i="26"/>
  <c r="J12" i="31" l="1"/>
  <c r="A3" i="26"/>
  <c r="A4" i="26" s="1"/>
  <c r="A5" i="26" s="1"/>
  <c r="J13" i="31" l="1"/>
  <c r="A6" i="26"/>
  <c r="J14" i="31" l="1"/>
  <c r="A7" i="26"/>
  <c r="D33" i="21"/>
  <c r="C33" i="21"/>
  <c r="D32" i="21"/>
  <c r="C32" i="21"/>
  <c r="J15" i="31" l="1"/>
  <c r="A8" i="26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A9" i="26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E18" i="26"/>
  <c r="E2" i="26"/>
  <c r="E35" i="26"/>
  <c r="E34" i="26"/>
  <c r="E26" i="26"/>
  <c r="E42" i="26"/>
  <c r="E19" i="26"/>
  <c r="E29" i="26"/>
  <c r="E30" i="26"/>
  <c r="E7" i="26"/>
  <c r="F7" i="26" s="1"/>
  <c r="E43" i="26"/>
  <c r="F43" i="26" s="1"/>
  <c r="G43" i="26" s="1"/>
  <c r="H43" i="26" s="1"/>
  <c r="E24" i="26"/>
  <c r="E14" i="26"/>
  <c r="E37" i="26"/>
  <c r="E38" i="26"/>
  <c r="E15" i="26"/>
  <c r="E9" i="26"/>
  <c r="E4" i="26"/>
  <c r="E6" i="26"/>
  <c r="E32" i="26"/>
  <c r="E22" i="26"/>
  <c r="E40" i="26"/>
  <c r="E11" i="26"/>
  <c r="E3" i="26"/>
  <c r="E23" i="26"/>
  <c r="E33" i="26"/>
  <c r="E12" i="26"/>
  <c r="E36" i="26"/>
  <c r="E13" i="26"/>
  <c r="E27" i="26"/>
  <c r="E10" i="26"/>
  <c r="E44" i="26"/>
  <c r="F44" i="26" s="1"/>
  <c r="G44" i="26" s="1"/>
  <c r="H44" i="26" s="1"/>
  <c r="E25" i="26"/>
  <c r="E31" i="26"/>
  <c r="E8" i="26"/>
  <c r="F8" i="26" s="1"/>
  <c r="E20" i="26"/>
  <c r="E17" i="26"/>
  <c r="E41" i="26"/>
  <c r="E39" i="26"/>
  <c r="E16" i="26"/>
  <c r="E28" i="26"/>
  <c r="E5" i="26"/>
  <c r="E21" i="26"/>
  <c r="D31" i="21"/>
  <c r="J17" i="31"/>
  <c r="A10" i="26"/>
  <c r="D42" i="21"/>
  <c r="D43" i="21"/>
  <c r="D25" i="21"/>
  <c r="D41" i="21"/>
  <c r="D7" i="21"/>
  <c r="D10" i="21"/>
  <c r="D6" i="21"/>
  <c r="D40" i="21"/>
  <c r="D24" i="21"/>
  <c r="D3" i="21"/>
  <c r="D38" i="21"/>
  <c r="D5" i="21"/>
  <c r="E1" i="25" l="1"/>
  <c r="B8" i="25" s="1"/>
  <c r="F5" i="26"/>
  <c r="G5" i="26" s="1"/>
  <c r="H5" i="26" s="1"/>
  <c r="F4" i="26"/>
  <c r="G4" i="26" s="1"/>
  <c r="H4" i="26" s="1"/>
  <c r="F6" i="26"/>
  <c r="G6" i="26" s="1"/>
  <c r="H6" i="26" s="1"/>
  <c r="F3" i="26"/>
  <c r="G3" i="26" s="1"/>
  <c r="H3" i="26" s="1"/>
  <c r="F2" i="26"/>
  <c r="G2" i="26" s="1"/>
  <c r="H2" i="26" s="1"/>
  <c r="G7" i="26"/>
  <c r="H7" i="26" s="1"/>
  <c r="G8" i="26"/>
  <c r="H8" i="26" s="1"/>
  <c r="J18" i="31"/>
  <c r="F9" i="26"/>
  <c r="A11" i="26"/>
  <c r="G9" i="26" l="1"/>
  <c r="H9" i="26" s="1"/>
  <c r="J19" i="31"/>
  <c r="F10" i="26"/>
  <c r="A12" i="26"/>
  <c r="G10" i="26" l="1"/>
  <c r="H10" i="26" s="1"/>
  <c r="J20" i="31"/>
  <c r="F11" i="26"/>
  <c r="A13" i="26"/>
  <c r="G11" i="26" l="1"/>
  <c r="H11" i="26" s="1"/>
  <c r="J21" i="31"/>
  <c r="F12" i="26"/>
  <c r="A14" i="26"/>
  <c r="G12" i="26" l="1"/>
  <c r="H12" i="26" s="1"/>
  <c r="J22" i="31"/>
  <c r="F13" i="26"/>
  <c r="A15" i="26"/>
  <c r="G13" i="26" l="1"/>
  <c r="H13" i="26" s="1"/>
  <c r="J23" i="31"/>
  <c r="F14" i="26"/>
  <c r="A16" i="26"/>
  <c r="G14" i="26" l="1"/>
  <c r="H14" i="26" s="1"/>
  <c r="J24" i="31"/>
  <c r="F15" i="26"/>
  <c r="A17" i="26"/>
  <c r="G15" i="26" l="1"/>
  <c r="H15" i="26" s="1"/>
  <c r="J25" i="31"/>
  <c r="F16" i="26"/>
  <c r="A18" i="26"/>
  <c r="G16" i="26" l="1"/>
  <c r="H16" i="26" s="1"/>
  <c r="J26" i="31"/>
  <c r="F17" i="26"/>
  <c r="A19" i="26"/>
  <c r="G17" i="26" l="1"/>
  <c r="H17" i="26" s="1"/>
  <c r="J27" i="31"/>
  <c r="F18" i="26"/>
  <c r="A20" i="26"/>
  <c r="G18" i="26" l="1"/>
  <c r="H18" i="26" s="1"/>
  <c r="J28" i="31"/>
  <c r="F19" i="26"/>
  <c r="A21" i="26"/>
  <c r="G19" i="26" l="1"/>
  <c r="H19" i="26" s="1"/>
  <c r="J29" i="31"/>
  <c r="F20" i="26"/>
  <c r="A22" i="26"/>
  <c r="G20" i="26" l="1"/>
  <c r="H20" i="26" s="1"/>
  <c r="J30" i="31"/>
  <c r="F21" i="26"/>
  <c r="A23" i="26"/>
  <c r="G21" i="26" l="1"/>
  <c r="H21" i="26" s="1"/>
  <c r="J31" i="31"/>
  <c r="F22" i="26"/>
  <c r="A24" i="26"/>
  <c r="E2" i="31"/>
  <c r="G22" i="26" l="1"/>
  <c r="H22" i="26" s="1"/>
  <c r="J32" i="31"/>
  <c r="F23" i="26"/>
  <c r="A25" i="26"/>
  <c r="G23" i="26" l="1"/>
  <c r="H23" i="26" s="1"/>
  <c r="J33" i="31"/>
  <c r="F24" i="26"/>
  <c r="A26" i="26"/>
  <c r="G24" i="26" l="1"/>
  <c r="H24" i="26" s="1"/>
  <c r="J34" i="31"/>
  <c r="F25" i="26"/>
  <c r="A27" i="26"/>
  <c r="G25" i="26" l="1"/>
  <c r="H25" i="26" s="1"/>
  <c r="J35" i="31"/>
  <c r="F26" i="26"/>
  <c r="A28" i="26"/>
  <c r="G26" i="26" l="1"/>
  <c r="H26" i="26" s="1"/>
  <c r="J36" i="31"/>
  <c r="F27" i="26"/>
  <c r="A29" i="26"/>
  <c r="G27" i="26" l="1"/>
  <c r="H27" i="26" s="1"/>
  <c r="J37" i="31"/>
  <c r="F28" i="26"/>
  <c r="A30" i="26"/>
  <c r="G28" i="26" l="1"/>
  <c r="H28" i="26" s="1"/>
  <c r="J38" i="31"/>
  <c r="F29" i="26"/>
  <c r="A31" i="26"/>
  <c r="G29" i="26" l="1"/>
  <c r="H29" i="26" s="1"/>
  <c r="J39" i="31"/>
  <c r="F30" i="26"/>
  <c r="A32" i="26"/>
  <c r="G30" i="26" l="1"/>
  <c r="H30" i="26" s="1"/>
  <c r="J40" i="31"/>
  <c r="F31" i="26"/>
  <c r="A33" i="26"/>
  <c r="G31" i="26" l="1"/>
  <c r="H31" i="26" s="1"/>
  <c r="J41" i="31"/>
  <c r="F32" i="26"/>
  <c r="A34" i="26"/>
  <c r="G32" i="26" l="1"/>
  <c r="H32" i="26" s="1"/>
  <c r="J42" i="31"/>
  <c r="F33" i="26"/>
  <c r="A35" i="26"/>
  <c r="G33" i="26" l="1"/>
  <c r="H33" i="26" s="1"/>
  <c r="J43" i="31"/>
  <c r="F34" i="26"/>
  <c r="A36" i="26"/>
  <c r="G34" i="26" l="1"/>
  <c r="H34" i="26" s="1"/>
  <c r="J44" i="31"/>
  <c r="F35" i="26"/>
  <c r="A37" i="26"/>
  <c r="G35" i="26" l="1"/>
  <c r="H35" i="26" s="1"/>
  <c r="J45" i="31"/>
  <c r="F36" i="26"/>
  <c r="A38" i="26"/>
  <c r="G36" i="26" l="1"/>
  <c r="H36" i="26" s="1"/>
  <c r="J46" i="31"/>
  <c r="F37" i="26"/>
  <c r="A39" i="26"/>
  <c r="G37" i="26" l="1"/>
  <c r="H37" i="26" s="1"/>
  <c r="J47" i="31"/>
  <c r="F38" i="26"/>
  <c r="A40" i="26"/>
  <c r="G38" i="26" l="1"/>
  <c r="H38" i="26" s="1"/>
  <c r="J48" i="31"/>
  <c r="F39" i="26"/>
  <c r="A41" i="26"/>
  <c r="G39" i="26" l="1"/>
  <c r="H39" i="26" s="1"/>
  <c r="J49" i="31"/>
  <c r="F40" i="26"/>
  <c r="A42" i="26"/>
  <c r="A43" i="26" s="1"/>
  <c r="A44" i="26" s="1"/>
  <c r="G40" i="26" l="1"/>
  <c r="H40" i="26" s="1"/>
  <c r="J50" i="31"/>
  <c r="F42" i="26"/>
  <c r="F41" i="26"/>
  <c r="G42" i="26" l="1"/>
  <c r="H42" i="26" s="1"/>
  <c r="G41" i="26"/>
  <c r="H41" i="26" s="1"/>
  <c r="J51" i="3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O5" i="25"/>
  <c r="B9" i="25"/>
  <c r="L5" i="25"/>
  <c r="E5" i="25"/>
  <c r="K5" i="25"/>
  <c r="I5" i="25"/>
  <c r="F5" i="25"/>
  <c r="M5" i="25"/>
  <c r="H5" i="25"/>
  <c r="C5" i="25"/>
  <c r="D5" i="25"/>
  <c r="E5" i="31"/>
  <c r="G5" i="25"/>
  <c r="J5" i="25"/>
  <c r="P5" i="25"/>
  <c r="N5" i="25"/>
  <c r="Q5" i="25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K37" i="31"/>
  <c r="K60" i="31"/>
  <c r="K43" i="31"/>
  <c r="K16" i="31"/>
  <c r="K31" i="31"/>
  <c r="K50" i="31"/>
  <c r="K13" i="31"/>
  <c r="K12" i="31"/>
  <c r="K35" i="31"/>
  <c r="K41" i="31"/>
  <c r="K52" i="31"/>
  <c r="K56" i="31"/>
  <c r="K21" i="31"/>
  <c r="K7" i="31"/>
  <c r="K49" i="31"/>
  <c r="K5" i="31"/>
  <c r="K20" i="31"/>
  <c r="K11" i="31"/>
  <c r="K8" i="31"/>
  <c r="K23" i="31"/>
  <c r="K42" i="31"/>
  <c r="K3" i="31"/>
  <c r="K53" i="31"/>
  <c r="K15" i="31"/>
  <c r="K6" i="31"/>
  <c r="K19" i="31"/>
  <c r="K25" i="31"/>
  <c r="K48" i="31"/>
  <c r="K38" i="31"/>
  <c r="K61" i="31"/>
  <c r="K18" i="31"/>
  <c r="K17" i="31"/>
  <c r="K40" i="31"/>
  <c r="K55" i="31"/>
  <c r="K30" i="31"/>
  <c r="K29" i="31"/>
  <c r="K36" i="31"/>
  <c r="K59" i="31"/>
  <c r="K10" i="31"/>
  <c r="K32" i="31"/>
  <c r="K47" i="31"/>
  <c r="K27" i="31"/>
  <c r="K9" i="31"/>
  <c r="K4" i="31"/>
  <c r="K2" i="31"/>
  <c r="L2" i="31" s="1"/>
  <c r="M2" i="31" s="1"/>
  <c r="R9" i="25"/>
  <c r="J62" i="31"/>
  <c r="K62" i="31" s="1"/>
  <c r="O9" i="25"/>
  <c r="P9" i="25"/>
  <c r="N9" i="25"/>
  <c r="L9" i="25"/>
  <c r="M9" i="25"/>
  <c r="Q9" i="25"/>
  <c r="I9" i="25"/>
  <c r="K9" i="25"/>
  <c r="D9" i="25"/>
  <c r="E9" i="25"/>
  <c r="J9" i="25"/>
  <c r="B10" i="25"/>
  <c r="H9" i="25"/>
  <c r="G9" i="25"/>
  <c r="P2" i="31"/>
  <c r="L4" i="31" l="1"/>
  <c r="M4" i="31" s="1"/>
  <c r="L17" i="3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9" i="31"/>
  <c r="M9" i="31" s="1"/>
  <c r="L10" i="31"/>
  <c r="M10" i="31" s="1"/>
  <c r="L8" i="31"/>
  <c r="M8" i="31" s="1"/>
  <c r="L7" i="31"/>
  <c r="M7" i="31" s="1"/>
  <c r="L6" i="31"/>
  <c r="M6" i="31" s="1"/>
  <c r="L5" i="31"/>
  <c r="M5" i="31" s="1"/>
  <c r="L3" i="31"/>
  <c r="M3" i="31" s="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4" i="31"/>
  <c r="N17" i="31"/>
  <c r="P16" i="31"/>
  <c r="Q10" i="25"/>
  <c r="N10" i="25"/>
  <c r="M10" i="25"/>
  <c r="L10" i="25"/>
  <c r="O10" i="25"/>
  <c r="P10" i="25"/>
  <c r="N15" i="31"/>
  <c r="P14" i="31"/>
  <c r="P13" i="31"/>
  <c r="N12" i="31"/>
  <c r="P11" i="31"/>
  <c r="P9" i="31"/>
  <c r="P10" i="31"/>
  <c r="P8" i="31"/>
  <c r="P7" i="31"/>
  <c r="N6" i="31"/>
  <c r="P5" i="31"/>
  <c r="N3" i="31"/>
  <c r="I10" i="25"/>
  <c r="K10" i="25"/>
  <c r="E10" i="25"/>
  <c r="C10" i="25"/>
  <c r="G10" i="25"/>
  <c r="H10" i="25"/>
  <c r="J10" i="25"/>
  <c r="D10" i="25"/>
  <c r="B11" i="25"/>
  <c r="P6" i="31"/>
  <c r="P3" i="31"/>
  <c r="P12" i="31"/>
  <c r="N39" i="31"/>
  <c r="N46" i="31"/>
  <c r="N14" i="31"/>
  <c r="P33" i="31"/>
  <c r="N13" i="31"/>
  <c r="P19" i="31"/>
  <c r="P25" i="31"/>
  <c r="N34" i="31"/>
  <c r="N5" i="31"/>
  <c r="N11" i="31"/>
  <c r="N16" i="31"/>
  <c r="N42" i="31"/>
  <c r="P53" i="31"/>
  <c r="N37" i="31"/>
  <c r="N26" i="31"/>
  <c r="N8" i="31"/>
  <c r="N30" i="31"/>
  <c r="P17" i="31"/>
  <c r="N9" i="31"/>
  <c r="N45" i="31"/>
  <c r="P50" i="31"/>
  <c r="P24" i="31"/>
  <c r="P35" i="31"/>
  <c r="P47" i="31"/>
  <c r="N48" i="31"/>
  <c r="N23" i="31"/>
  <c r="N2" i="31"/>
  <c r="P20" i="31"/>
  <c r="P40" i="31"/>
  <c r="P36" i="31"/>
  <c r="P51" i="31"/>
  <c r="N10" i="31"/>
  <c r="N56" i="31"/>
  <c r="P41" i="31"/>
  <c r="N4" i="31"/>
  <c r="N28" i="31"/>
  <c r="P38" i="31"/>
  <c r="P43" i="31"/>
  <c r="P31" i="31"/>
  <c r="N7" i="31"/>
  <c r="N52" i="31"/>
  <c r="P21" i="31"/>
  <c r="P27" i="31"/>
  <c r="P18" i="31"/>
  <c r="P15" i="31"/>
  <c r="P22" i="31"/>
  <c r="N59" i="31"/>
  <c r="P54" i="31"/>
  <c r="P60" i="31"/>
  <c r="P57" i="31"/>
  <c r="N55" i="31"/>
  <c r="P58" i="31"/>
  <c r="N61" i="31"/>
  <c r="N29" i="31"/>
  <c r="P44" i="31"/>
  <c r="N32" i="31"/>
  <c r="P49" i="31"/>
  <c r="O17" i="31" l="1"/>
  <c r="O15" i="31"/>
  <c r="O12" i="31"/>
  <c r="O6" i="31"/>
  <c r="O3" i="31"/>
  <c r="O2" i="31"/>
  <c r="O9" i="27" s="1"/>
  <c r="O10" i="31"/>
  <c r="O16" i="31"/>
  <c r="O8" i="31"/>
  <c r="O14" i="31"/>
  <c r="O4" i="31"/>
  <c r="O7" i="31"/>
  <c r="O5" i="31"/>
  <c r="O9" i="31"/>
  <c r="O13" i="31"/>
  <c r="O11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11" i="25"/>
  <c r="L11" i="25"/>
  <c r="Q11" i="25"/>
  <c r="N11" i="25"/>
  <c r="O11" i="25"/>
  <c r="M11" i="25"/>
  <c r="I11" i="25"/>
  <c r="D11" i="25"/>
  <c r="E11" i="25"/>
  <c r="B12" i="25"/>
  <c r="C11" i="25"/>
  <c r="H11" i="25"/>
  <c r="K11" i="25"/>
  <c r="J11" i="25"/>
  <c r="P39" i="31"/>
  <c r="N51" i="31"/>
  <c r="N35" i="31"/>
  <c r="N33" i="31"/>
  <c r="P59" i="31"/>
  <c r="P34" i="31"/>
  <c r="N53" i="31"/>
  <c r="N54" i="31"/>
  <c r="P55" i="31"/>
  <c r="P45" i="31"/>
  <c r="P48" i="31"/>
  <c r="N25" i="31"/>
  <c r="N31" i="31"/>
  <c r="P46" i="31"/>
  <c r="P42" i="31"/>
  <c r="N19" i="31"/>
  <c r="N60" i="31"/>
  <c r="N58" i="31"/>
  <c r="N49" i="31"/>
  <c r="N24" i="31"/>
  <c r="P23" i="31"/>
  <c r="N40" i="31"/>
  <c r="N27" i="31"/>
  <c r="P30" i="31"/>
  <c r="N18" i="31"/>
  <c r="N22" i="31"/>
  <c r="P56" i="31"/>
  <c r="N47" i="31"/>
  <c r="P61" i="31"/>
  <c r="N36" i="31"/>
  <c r="N43" i="31"/>
  <c r="N20" i="31"/>
  <c r="N44" i="31"/>
  <c r="P32" i="31"/>
  <c r="N50" i="31"/>
  <c r="P26" i="31"/>
  <c r="N57" i="31"/>
  <c r="P37" i="31"/>
  <c r="N62" i="31"/>
  <c r="N41" i="31"/>
  <c r="P52" i="31"/>
  <c r="P29" i="31"/>
  <c r="P28" i="31"/>
  <c r="N38" i="31"/>
  <c r="N21" i="31"/>
  <c r="O7" i="27" l="1"/>
  <c r="O8" i="27"/>
  <c r="O5" i="27"/>
  <c r="O6" i="27"/>
  <c r="O3" i="27"/>
  <c r="O4" i="27"/>
  <c r="O21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12" i="25"/>
  <c r="Q12" i="25"/>
  <c r="M12" i="25"/>
  <c r="O12" i="25"/>
  <c r="P12" i="25"/>
  <c r="L12" i="25"/>
  <c r="K12" i="25"/>
  <c r="E12" i="25"/>
  <c r="H12" i="25"/>
  <c r="C12" i="25"/>
  <c r="B13" i="25"/>
  <c r="J12" i="25"/>
  <c r="I12" i="25"/>
  <c r="D12" i="25"/>
  <c r="N63" i="31"/>
  <c r="P62" i="31"/>
  <c r="R13" i="25" l="1"/>
  <c r="O63" i="31"/>
  <c r="M64" i="31"/>
  <c r="L65" i="31"/>
  <c r="J66" i="31"/>
  <c r="K66" i="31" s="1"/>
  <c r="P13" i="25"/>
  <c r="N13" i="25"/>
  <c r="O13" i="25"/>
  <c r="L13" i="25"/>
  <c r="M13" i="25"/>
  <c r="Q13" i="25"/>
  <c r="B14" i="25"/>
  <c r="C13" i="25"/>
  <c r="J13" i="25"/>
  <c r="I13" i="25"/>
  <c r="K13" i="25"/>
  <c r="D13" i="25"/>
  <c r="H13" i="25"/>
  <c r="E13" i="25"/>
  <c r="P63" i="31"/>
  <c r="P64" i="31"/>
  <c r="R14" i="25" l="1"/>
  <c r="M65" i="31"/>
  <c r="L66" i="31"/>
  <c r="J67" i="31"/>
  <c r="K67" i="31" s="1"/>
  <c r="Q14" i="25"/>
  <c r="O14" i="25"/>
  <c r="P14" i="25"/>
  <c r="M14" i="25"/>
  <c r="N14" i="25"/>
  <c r="L14" i="25"/>
  <c r="E14" i="25"/>
  <c r="H14" i="25"/>
  <c r="D14" i="25"/>
  <c r="B15" i="25"/>
  <c r="J14" i="25"/>
  <c r="I14" i="25"/>
  <c r="K14" i="25"/>
  <c r="C14" i="25"/>
  <c r="N64" i="31"/>
  <c r="N65" i="31"/>
  <c r="R15" i="25" l="1"/>
  <c r="O64" i="31"/>
  <c r="O65" i="31"/>
  <c r="M66" i="31"/>
  <c r="L67" i="31"/>
  <c r="J68" i="31"/>
  <c r="K68" i="31" s="1"/>
  <c r="Q15" i="25"/>
  <c r="P15" i="25"/>
  <c r="L15" i="25"/>
  <c r="O15" i="25"/>
  <c r="N15" i="25"/>
  <c r="M15" i="25"/>
  <c r="K15" i="25"/>
  <c r="C15" i="25"/>
  <c r="E15" i="25"/>
  <c r="H15" i="25"/>
  <c r="I15" i="25"/>
  <c r="J15" i="25"/>
  <c r="D15" i="25"/>
  <c r="B16" i="25"/>
  <c r="P65" i="31"/>
  <c r="N66" i="31"/>
  <c r="R16" i="25" l="1"/>
  <c r="O66" i="31"/>
  <c r="M67" i="31"/>
  <c r="L68" i="31"/>
  <c r="J69" i="31"/>
  <c r="K69" i="31" s="1"/>
  <c r="L16" i="25"/>
  <c r="O16" i="25"/>
  <c r="N16" i="25"/>
  <c r="P16" i="25"/>
  <c r="M16" i="25"/>
  <c r="Q16" i="25"/>
  <c r="K16" i="25"/>
  <c r="H16" i="25"/>
  <c r="J16" i="25"/>
  <c r="G16" i="25"/>
  <c r="D16" i="25"/>
  <c r="B17" i="25"/>
  <c r="E16" i="25"/>
  <c r="I16" i="25"/>
  <c r="C16" i="25"/>
  <c r="P66" i="31"/>
  <c r="N67" i="31"/>
  <c r="R17" i="25" l="1"/>
  <c r="O67" i="31"/>
  <c r="M68" i="31"/>
  <c r="L69" i="31"/>
  <c r="J70" i="31"/>
  <c r="K70" i="31" s="1"/>
  <c r="J17" i="25"/>
  <c r="P17" i="25"/>
  <c r="K17" i="25"/>
  <c r="L17" i="25"/>
  <c r="Q17" i="25"/>
  <c r="M17" i="25"/>
  <c r="N17" i="25"/>
  <c r="O17" i="25"/>
  <c r="I17" i="25"/>
  <c r="D17" i="25"/>
  <c r="H17" i="25"/>
  <c r="E17" i="25"/>
  <c r="B18" i="25"/>
  <c r="C17" i="25"/>
  <c r="P67" i="31"/>
  <c r="N68" i="31"/>
  <c r="R18" i="25" l="1"/>
  <c r="O68" i="31"/>
  <c r="M69" i="31"/>
  <c r="L70" i="31"/>
  <c r="J71" i="31"/>
  <c r="K71" i="31" s="1"/>
  <c r="O18" i="25"/>
  <c r="K18" i="25"/>
  <c r="J18" i="25"/>
  <c r="N18" i="25"/>
  <c r="Q18" i="25"/>
  <c r="L18" i="25"/>
  <c r="P18" i="25"/>
  <c r="M18" i="25"/>
  <c r="H18" i="25"/>
  <c r="I18" i="25"/>
  <c r="G18" i="25"/>
  <c r="C18" i="25"/>
  <c r="B19" i="25"/>
  <c r="D18" i="25"/>
  <c r="E18" i="25"/>
  <c r="N69" i="31"/>
  <c r="P68" i="31"/>
  <c r="R19" i="25" l="1"/>
  <c r="O69" i="31"/>
  <c r="M70" i="31"/>
  <c r="L71" i="31"/>
  <c r="J72" i="31"/>
  <c r="K72" i="31" s="1"/>
  <c r="L19" i="25"/>
  <c r="M19" i="25"/>
  <c r="K19" i="25"/>
  <c r="N19" i="25"/>
  <c r="J19" i="25"/>
  <c r="P19" i="25"/>
  <c r="Q19" i="25"/>
  <c r="O19" i="25"/>
  <c r="H19" i="25"/>
  <c r="I19" i="25"/>
  <c r="C19" i="25"/>
  <c r="B20" i="25"/>
  <c r="D19" i="25"/>
  <c r="E19" i="25"/>
  <c r="N70" i="31"/>
  <c r="P69" i="31"/>
  <c r="R20" i="25" l="1"/>
  <c r="O70" i="31"/>
  <c r="M71" i="31"/>
  <c r="L72" i="31"/>
  <c r="J73" i="31"/>
  <c r="K73" i="31" s="1"/>
  <c r="J20" i="25"/>
  <c r="Q20" i="25"/>
  <c r="L20" i="25"/>
  <c r="O20" i="25"/>
  <c r="N20" i="25"/>
  <c r="M20" i="25"/>
  <c r="K20" i="25"/>
  <c r="P20" i="25"/>
  <c r="I20" i="25"/>
  <c r="H20" i="25"/>
  <c r="G20" i="25"/>
  <c r="C20" i="25"/>
  <c r="D20" i="25"/>
  <c r="B21" i="25"/>
  <c r="E20" i="25"/>
  <c r="P70" i="31"/>
  <c r="N71" i="31"/>
  <c r="R21" i="25" l="1"/>
  <c r="O71" i="31"/>
  <c r="M72" i="31"/>
  <c r="L73" i="31"/>
  <c r="J74" i="31"/>
  <c r="K74" i="31" s="1"/>
  <c r="J21" i="25"/>
  <c r="P21" i="25"/>
  <c r="M21" i="25"/>
  <c r="Q21" i="25"/>
  <c r="O21" i="25"/>
  <c r="K21" i="25"/>
  <c r="N21" i="25"/>
  <c r="L21" i="25"/>
  <c r="I21" i="25"/>
  <c r="H21" i="25"/>
  <c r="B22" i="25"/>
  <c r="E21" i="25"/>
  <c r="D21" i="25"/>
  <c r="C21" i="25"/>
  <c r="P71" i="31"/>
  <c r="N72" i="31"/>
  <c r="R22" i="25" l="1"/>
  <c r="O72" i="31"/>
  <c r="M73" i="31"/>
  <c r="L74" i="31"/>
  <c r="J75" i="31"/>
  <c r="K75" i="31" s="1"/>
  <c r="P22" i="25"/>
  <c r="L22" i="25"/>
  <c r="O22" i="25"/>
  <c r="N22" i="25"/>
  <c r="K22" i="25"/>
  <c r="J22" i="25"/>
  <c r="M22" i="25"/>
  <c r="Q22" i="25"/>
  <c r="H22" i="25"/>
  <c r="I22" i="25"/>
  <c r="B23" i="25"/>
  <c r="E22" i="25"/>
  <c r="C22" i="25"/>
  <c r="G22" i="25"/>
  <c r="D22" i="25"/>
  <c r="N73" i="31"/>
  <c r="P72" i="31"/>
  <c r="R23" i="25" l="1"/>
  <c r="O73" i="31"/>
  <c r="M74" i="31"/>
  <c r="L75" i="31"/>
  <c r="J76" i="31"/>
  <c r="K76" i="31" s="1"/>
  <c r="N23" i="25"/>
  <c r="Q23" i="25"/>
  <c r="O23" i="25"/>
  <c r="K23" i="25"/>
  <c r="M23" i="25"/>
  <c r="L23" i="25"/>
  <c r="J23" i="25"/>
  <c r="P23" i="25"/>
  <c r="I23" i="25"/>
  <c r="H23" i="25"/>
  <c r="B24" i="25"/>
  <c r="D23" i="25"/>
  <c r="C23" i="25"/>
  <c r="E23" i="25"/>
  <c r="N74" i="31"/>
  <c r="P73" i="31"/>
  <c r="R24" i="25" l="1"/>
  <c r="O74" i="31"/>
  <c r="M75" i="31"/>
  <c r="L76" i="31"/>
  <c r="J77" i="31"/>
  <c r="K77" i="31" s="1"/>
  <c r="N24" i="25"/>
  <c r="Q24" i="25"/>
  <c r="K24" i="25"/>
  <c r="P24" i="25"/>
  <c r="M24" i="25"/>
  <c r="J24" i="25"/>
  <c r="L24" i="25"/>
  <c r="O24" i="25"/>
  <c r="H24" i="25"/>
  <c r="I24" i="25"/>
  <c r="E24" i="25"/>
  <c r="C24" i="25"/>
  <c r="B25" i="25"/>
  <c r="D24" i="25"/>
  <c r="P74" i="31"/>
  <c r="N75" i="31"/>
  <c r="R25" i="25" l="1"/>
  <c r="O75" i="31"/>
  <c r="M76" i="31"/>
  <c r="L77" i="31"/>
  <c r="J78" i="31"/>
  <c r="K78" i="31" s="1"/>
  <c r="M25" i="25"/>
  <c r="O25" i="25"/>
  <c r="N25" i="25"/>
  <c r="L25" i="25"/>
  <c r="K25" i="25"/>
  <c r="Q25" i="25"/>
  <c r="J25" i="25"/>
  <c r="P25" i="25"/>
  <c r="H25" i="25"/>
  <c r="I25" i="25"/>
  <c r="G25" i="25"/>
  <c r="B26" i="25"/>
  <c r="E25" i="25"/>
  <c r="D25" i="25"/>
  <c r="N76" i="31"/>
  <c r="P75" i="31"/>
  <c r="R26" i="25" l="1"/>
  <c r="O76" i="31"/>
  <c r="M77" i="31"/>
  <c r="L78" i="31"/>
  <c r="J79" i="31"/>
  <c r="K79" i="31" s="1"/>
  <c r="K26" i="25"/>
  <c r="Q26" i="25"/>
  <c r="M26" i="25"/>
  <c r="L26" i="25"/>
  <c r="P26" i="25"/>
  <c r="J26" i="25"/>
  <c r="N26" i="25"/>
  <c r="O26" i="25"/>
  <c r="I26" i="25"/>
  <c r="H26" i="25"/>
  <c r="D26" i="25"/>
  <c r="B27" i="25"/>
  <c r="E26" i="25"/>
  <c r="N77" i="31"/>
  <c r="P76" i="31"/>
  <c r="R27" i="25" l="1"/>
  <c r="O77" i="31"/>
  <c r="M78" i="31"/>
  <c r="L79" i="31"/>
  <c r="J80" i="31"/>
  <c r="K80" i="31" s="1"/>
  <c r="J27" i="25"/>
  <c r="Q27" i="25"/>
  <c r="K27" i="25"/>
  <c r="N27" i="25"/>
  <c r="M27" i="25"/>
  <c r="O27" i="25"/>
  <c r="P27" i="25"/>
  <c r="L27" i="25"/>
  <c r="B28" i="25"/>
  <c r="E27" i="25"/>
  <c r="H27" i="25"/>
  <c r="I27" i="25"/>
  <c r="D27" i="25"/>
  <c r="P77" i="31"/>
  <c r="N78" i="31"/>
  <c r="R28" i="25" l="1"/>
  <c r="O78" i="31"/>
  <c r="M79" i="31"/>
  <c r="L80" i="31"/>
  <c r="J81" i="31"/>
  <c r="K81" i="31" s="1"/>
  <c r="O28" i="25"/>
  <c r="P28" i="25"/>
  <c r="K28" i="25"/>
  <c r="N28" i="25"/>
  <c r="J28" i="25"/>
  <c r="L28" i="25"/>
  <c r="Q28" i="25"/>
  <c r="M28" i="25"/>
  <c r="E28" i="25"/>
  <c r="B29" i="25"/>
  <c r="H28" i="25"/>
  <c r="I28" i="25"/>
  <c r="D28" i="25"/>
  <c r="P78" i="31"/>
  <c r="N79" i="31"/>
  <c r="R29" i="25" l="1"/>
  <c r="O79" i="31"/>
  <c r="M80" i="31"/>
  <c r="L81" i="31"/>
  <c r="J82" i="31"/>
  <c r="K82" i="31" s="1"/>
  <c r="H29" i="25"/>
  <c r="P29" i="25"/>
  <c r="L29" i="25"/>
  <c r="O29" i="25"/>
  <c r="E29" i="25"/>
  <c r="M29" i="25"/>
  <c r="D29" i="25"/>
  <c r="J29" i="25"/>
  <c r="B30" i="25"/>
  <c r="C29" i="25"/>
  <c r="K29" i="25"/>
  <c r="I29" i="25"/>
  <c r="N29" i="25"/>
  <c r="Q29" i="25"/>
  <c r="P79" i="31"/>
  <c r="N80" i="31"/>
  <c r="R30" i="25" l="1"/>
  <c r="O80" i="31"/>
  <c r="M81" i="31"/>
  <c r="L82" i="31"/>
  <c r="J83" i="31"/>
  <c r="K83" i="31" s="1"/>
  <c r="I30" i="25"/>
  <c r="B31" i="25"/>
  <c r="N30" i="25"/>
  <c r="P30" i="25"/>
  <c r="E30" i="25"/>
  <c r="H30" i="25"/>
  <c r="D30" i="25"/>
  <c r="M30" i="25"/>
  <c r="L30" i="25"/>
  <c r="Q30" i="25"/>
  <c r="C30" i="25"/>
  <c r="O30" i="25"/>
  <c r="K30" i="25"/>
  <c r="J30" i="25"/>
  <c r="N81" i="31"/>
  <c r="P80" i="31"/>
  <c r="R31" i="25" l="1"/>
  <c r="O81" i="31"/>
  <c r="M82" i="31"/>
  <c r="L83" i="31"/>
  <c r="J84" i="31"/>
  <c r="K84" i="31" s="1"/>
  <c r="M31" i="25"/>
  <c r="B32" i="25"/>
  <c r="E31" i="25"/>
  <c r="L31" i="25"/>
  <c r="C31" i="25"/>
  <c r="N31" i="25"/>
  <c r="H31" i="25"/>
  <c r="I31" i="25"/>
  <c r="K31" i="25"/>
  <c r="Q31" i="25"/>
  <c r="P31" i="25"/>
  <c r="J31" i="25"/>
  <c r="D31" i="25"/>
  <c r="O31" i="25"/>
  <c r="N82" i="31"/>
  <c r="P81" i="31"/>
  <c r="R32" i="25" l="1"/>
  <c r="O82" i="31"/>
  <c r="M83" i="31"/>
  <c r="L84" i="31"/>
  <c r="J85" i="31"/>
  <c r="K85" i="31" s="1"/>
  <c r="B33" i="25"/>
  <c r="I32" i="25"/>
  <c r="N32" i="25"/>
  <c r="J32" i="25"/>
  <c r="L32" i="25"/>
  <c r="P32" i="25"/>
  <c r="E32" i="25"/>
  <c r="D32" i="25"/>
  <c r="M32" i="25"/>
  <c r="K32" i="25"/>
  <c r="O32" i="25"/>
  <c r="Q32" i="25"/>
  <c r="H32" i="25"/>
  <c r="C32" i="25"/>
  <c r="N83" i="31"/>
  <c r="P82" i="31"/>
  <c r="R33" i="25" l="1"/>
  <c r="O83" i="31"/>
  <c r="M84" i="31"/>
  <c r="L85" i="31"/>
  <c r="J86" i="31"/>
  <c r="K86" i="31" s="1"/>
  <c r="D33" i="25"/>
  <c r="B34" i="25"/>
  <c r="L33" i="25"/>
  <c r="P33" i="25"/>
  <c r="O33" i="25"/>
  <c r="C33" i="25"/>
  <c r="M33" i="25"/>
  <c r="H33" i="25"/>
  <c r="E33" i="25"/>
  <c r="I33" i="25"/>
  <c r="K33" i="25"/>
  <c r="Q33" i="25"/>
  <c r="N33" i="25"/>
  <c r="J33" i="25"/>
  <c r="C25" i="25"/>
  <c r="N84" i="31"/>
  <c r="P83" i="31"/>
  <c r="R34" i="25" l="1"/>
  <c r="O84" i="31"/>
  <c r="M85" i="31"/>
  <c r="L86" i="31"/>
  <c r="J87" i="31"/>
  <c r="K87" i="31" s="1"/>
  <c r="J34" i="25"/>
  <c r="N34" i="25"/>
  <c r="L34" i="25"/>
  <c r="M34" i="25"/>
  <c r="E34" i="25"/>
  <c r="Q34" i="25"/>
  <c r="O34" i="25"/>
  <c r="K34" i="25"/>
  <c r="C34" i="25"/>
  <c r="B35" i="25"/>
  <c r="P34" i="25"/>
  <c r="H34" i="25"/>
  <c r="D34" i="25"/>
  <c r="I34" i="25"/>
  <c r="C26" i="25"/>
  <c r="P84" i="31"/>
  <c r="N85" i="31"/>
  <c r="R35" i="25" l="1"/>
  <c r="O85" i="31"/>
  <c r="M86" i="31"/>
  <c r="L87" i="31"/>
  <c r="J88" i="31"/>
  <c r="K88" i="31" s="1"/>
  <c r="P35" i="25"/>
  <c r="M35" i="25"/>
  <c r="I35" i="25"/>
  <c r="H35" i="25"/>
  <c r="D35" i="25"/>
  <c r="B36" i="25"/>
  <c r="C35" i="25"/>
  <c r="L35" i="25"/>
  <c r="J35" i="25"/>
  <c r="E35" i="25"/>
  <c r="N35" i="25"/>
  <c r="Q35" i="25"/>
  <c r="O35" i="25"/>
  <c r="K35" i="25"/>
  <c r="C27" i="25"/>
  <c r="C28" i="25"/>
  <c r="N86" i="31"/>
  <c r="P85" i="31"/>
  <c r="R36" i="25" l="1"/>
  <c r="O86" i="31"/>
  <c r="M87" i="31"/>
  <c r="L88" i="31"/>
  <c r="J89" i="31"/>
  <c r="K89" i="31" s="1"/>
  <c r="D36" i="25"/>
  <c r="O36" i="25"/>
  <c r="C36" i="25"/>
  <c r="K36" i="25"/>
  <c r="N36" i="25"/>
  <c r="L36" i="25"/>
  <c r="B37" i="25"/>
  <c r="H36" i="25"/>
  <c r="P36" i="25"/>
  <c r="Q36" i="25"/>
  <c r="I36" i="25"/>
  <c r="M36" i="25"/>
  <c r="J36" i="25"/>
  <c r="E36" i="25"/>
  <c r="N87" i="31"/>
  <c r="P86" i="31"/>
  <c r="R37" i="25" l="1"/>
  <c r="O87" i="31"/>
  <c r="M88" i="31"/>
  <c r="L89" i="31"/>
  <c r="J90" i="31"/>
  <c r="K90" i="31" s="1"/>
  <c r="H37" i="25"/>
  <c r="Q37" i="25"/>
  <c r="N37" i="25"/>
  <c r="O37" i="25"/>
  <c r="L37" i="25"/>
  <c r="J37" i="25"/>
  <c r="M37" i="25"/>
  <c r="D37" i="25"/>
  <c r="E37" i="25"/>
  <c r="I37" i="25"/>
  <c r="K37" i="25"/>
  <c r="C37" i="25"/>
  <c r="B38" i="25"/>
  <c r="P37" i="25"/>
  <c r="P87" i="31"/>
  <c r="N88" i="31"/>
  <c r="R38" i="25" l="1"/>
  <c r="O88" i="31"/>
  <c r="M89" i="31"/>
  <c r="L90" i="31"/>
  <c r="J91" i="31"/>
  <c r="K91" i="31" s="1"/>
  <c r="H38" i="25"/>
  <c r="D38" i="25"/>
  <c r="N38" i="25"/>
  <c r="J38" i="25"/>
  <c r="Q38" i="25"/>
  <c r="K38" i="25"/>
  <c r="P38" i="25"/>
  <c r="B39" i="25"/>
  <c r="O38" i="25"/>
  <c r="I38" i="25"/>
  <c r="E38" i="25"/>
  <c r="M38" i="25"/>
  <c r="C38" i="25"/>
  <c r="L38" i="25"/>
  <c r="P88" i="31"/>
  <c r="N89" i="31"/>
  <c r="R39" i="25" l="1"/>
  <c r="O89" i="31"/>
  <c r="M90" i="31"/>
  <c r="L91" i="31"/>
  <c r="J92" i="31"/>
  <c r="K92" i="31" s="1"/>
  <c r="D39" i="25"/>
  <c r="N39" i="25"/>
  <c r="B40" i="25"/>
  <c r="C39" i="25"/>
  <c r="P39" i="25"/>
  <c r="Q39" i="25"/>
  <c r="O39" i="25"/>
  <c r="H39" i="25"/>
  <c r="L39" i="25"/>
  <c r="I39" i="25"/>
  <c r="E39" i="25"/>
  <c r="M39" i="25"/>
  <c r="K39" i="25"/>
  <c r="J39" i="25"/>
  <c r="P89" i="31"/>
  <c r="N90" i="31"/>
  <c r="R40" i="25" l="1"/>
  <c r="O90" i="31"/>
  <c r="M91" i="31"/>
  <c r="L92" i="31"/>
  <c r="J93" i="31"/>
  <c r="K93" i="31" s="1"/>
  <c r="E40" i="25"/>
  <c r="D40" i="25"/>
  <c r="Q40" i="25"/>
  <c r="H40" i="25"/>
  <c r="K40" i="25"/>
  <c r="L40" i="25"/>
  <c r="B41" i="25"/>
  <c r="P40" i="25"/>
  <c r="O40" i="25"/>
  <c r="M40" i="25"/>
  <c r="J40" i="25"/>
  <c r="C40" i="25"/>
  <c r="N40" i="25"/>
  <c r="I40" i="25"/>
  <c r="N91" i="31"/>
  <c r="P90" i="31"/>
  <c r="R41" i="25" l="1"/>
  <c r="O91" i="31"/>
  <c r="M92" i="31"/>
  <c r="L93" i="31"/>
  <c r="J94" i="31"/>
  <c r="K94" i="31" s="1"/>
  <c r="N41" i="25"/>
  <c r="I41" i="25"/>
  <c r="C41" i="25"/>
  <c r="E41" i="25"/>
  <c r="P41" i="25"/>
  <c r="J41" i="25"/>
  <c r="L41" i="25"/>
  <c r="Q41" i="25"/>
  <c r="H41" i="25"/>
  <c r="M41" i="25"/>
  <c r="D41" i="25"/>
  <c r="K41" i="25"/>
  <c r="O41" i="25"/>
  <c r="B42" i="25"/>
  <c r="N92" i="31"/>
  <c r="P91" i="31"/>
  <c r="R42" i="25" l="1"/>
  <c r="O92" i="31"/>
  <c r="M93" i="31"/>
  <c r="L94" i="31"/>
  <c r="J95" i="31"/>
  <c r="K95" i="31" s="1"/>
  <c r="E42" i="25"/>
  <c r="L42" i="25"/>
  <c r="C42" i="25"/>
  <c r="B43" i="25"/>
  <c r="K42" i="25"/>
  <c r="Q42" i="25"/>
  <c r="H42" i="25"/>
  <c r="M42" i="25"/>
  <c r="J42" i="25"/>
  <c r="I42" i="25"/>
  <c r="O42" i="25"/>
  <c r="N42" i="25"/>
  <c r="D42" i="25"/>
  <c r="P42" i="25"/>
  <c r="N93" i="31"/>
  <c r="P92" i="31"/>
  <c r="R43" i="25" l="1"/>
  <c r="O93" i="31"/>
  <c r="M94" i="31"/>
  <c r="L95" i="31"/>
  <c r="J96" i="31"/>
  <c r="K96" i="31" s="1"/>
  <c r="J43" i="25"/>
  <c r="N43" i="25"/>
  <c r="P43" i="25"/>
  <c r="O43" i="25"/>
  <c r="B44" i="25"/>
  <c r="K43" i="25"/>
  <c r="C43" i="25"/>
  <c r="H43" i="25"/>
  <c r="E43" i="25"/>
  <c r="M43" i="25"/>
  <c r="Q43" i="25"/>
  <c r="D43" i="25"/>
  <c r="I43" i="25"/>
  <c r="L43" i="25"/>
  <c r="N94" i="31"/>
  <c r="P93" i="31"/>
  <c r="R44" i="25" l="1"/>
  <c r="O94" i="31"/>
  <c r="M95" i="31"/>
  <c r="L96" i="31"/>
  <c r="J97" i="31"/>
  <c r="K97" i="31" s="1"/>
  <c r="O44" i="25"/>
  <c r="P44" i="25"/>
  <c r="L44" i="25"/>
  <c r="N44" i="25"/>
  <c r="D44" i="25"/>
  <c r="J44" i="25"/>
  <c r="E44" i="25"/>
  <c r="M44" i="25"/>
  <c r="H44" i="25"/>
  <c r="C44" i="25"/>
  <c r="K44" i="25"/>
  <c r="Q44" i="25"/>
  <c r="I44" i="25"/>
  <c r="B45" i="25"/>
  <c r="N95" i="31"/>
  <c r="P94" i="31"/>
  <c r="R45" i="25" l="1"/>
  <c r="O95" i="31"/>
  <c r="M96" i="31"/>
  <c r="L97" i="31"/>
  <c r="J98" i="31"/>
  <c r="K98" i="31" s="1"/>
  <c r="C45" i="25"/>
  <c r="K45" i="25"/>
  <c r="N45" i="25"/>
  <c r="M45" i="25"/>
  <c r="E45" i="25"/>
  <c r="H45" i="25"/>
  <c r="I45" i="25"/>
  <c r="B46" i="25"/>
  <c r="P45" i="25"/>
  <c r="L45" i="25"/>
  <c r="O45" i="25"/>
  <c r="J45" i="25"/>
  <c r="D45" i="25"/>
  <c r="Q45" i="25"/>
  <c r="N96" i="31"/>
  <c r="P95" i="31"/>
  <c r="R46" i="25" l="1"/>
  <c r="O96" i="31"/>
  <c r="M97" i="31"/>
  <c r="L98" i="31"/>
  <c r="J99" i="31"/>
  <c r="K99" i="31" s="1"/>
  <c r="C46" i="25"/>
  <c r="Q46" i="25"/>
  <c r="N46" i="25"/>
  <c r="L46" i="25"/>
  <c r="M46" i="25"/>
  <c r="I46" i="25"/>
  <c r="O46" i="25"/>
  <c r="P46" i="25"/>
  <c r="D46" i="25"/>
  <c r="K46" i="25"/>
  <c r="B47" i="25"/>
  <c r="J46" i="25"/>
  <c r="E46" i="25"/>
  <c r="H46" i="25"/>
  <c r="N97" i="31"/>
  <c r="P96" i="31"/>
  <c r="R47" i="25" l="1"/>
  <c r="O97" i="31"/>
  <c r="M98" i="31"/>
  <c r="L99" i="31"/>
  <c r="J100" i="31"/>
  <c r="K100" i="31" s="1"/>
  <c r="N47" i="25"/>
  <c r="J47" i="25"/>
  <c r="K47" i="25"/>
  <c r="Q47" i="25"/>
  <c r="O47" i="25"/>
  <c r="M47" i="25"/>
  <c r="D47" i="25"/>
  <c r="L47" i="25"/>
  <c r="B48" i="25"/>
  <c r="E47" i="25"/>
  <c r="P47" i="25"/>
  <c r="C47" i="25"/>
  <c r="I47" i="25"/>
  <c r="H47" i="25"/>
  <c r="P97" i="31"/>
  <c r="N98" i="31"/>
  <c r="R48" i="25" l="1"/>
  <c r="O98" i="31"/>
  <c r="M99" i="31"/>
  <c r="L100" i="31"/>
  <c r="J101" i="31"/>
  <c r="K101" i="31" s="1"/>
  <c r="D48" i="25"/>
  <c r="E48" i="25"/>
  <c r="K48" i="25"/>
  <c r="M48" i="25"/>
  <c r="N48" i="25"/>
  <c r="J48" i="25"/>
  <c r="Q48" i="25"/>
  <c r="H48" i="25"/>
  <c r="L48" i="25"/>
  <c r="P48" i="25"/>
  <c r="O48" i="25"/>
  <c r="I48" i="25"/>
  <c r="C48" i="25"/>
  <c r="B49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J49" i="25"/>
  <c r="L49" i="25"/>
  <c r="M49" i="25"/>
  <c r="K49" i="25"/>
  <c r="I49" i="25"/>
  <c r="H49" i="25"/>
  <c r="E49" i="25"/>
  <c r="D49" i="25"/>
  <c r="B50" i="25"/>
  <c r="C49" i="25"/>
  <c r="P99" i="31"/>
  <c r="N100" i="31"/>
  <c r="K50" i="25" l="1"/>
  <c r="R50" i="25"/>
  <c r="M50" i="25"/>
  <c r="P50" i="25"/>
  <c r="N50" i="25"/>
  <c r="O50" i="25"/>
  <c r="Q50" i="25"/>
  <c r="J50" i="25"/>
  <c r="L50" i="25"/>
  <c r="O100" i="31"/>
  <c r="M101" i="31"/>
  <c r="L102" i="31"/>
  <c r="J103" i="31"/>
  <c r="K103" i="31" s="1"/>
  <c r="I50" i="25"/>
  <c r="H50" i="25"/>
  <c r="B51" i="25"/>
  <c r="E50" i="25"/>
  <c r="D50" i="25"/>
  <c r="C50" i="25"/>
  <c r="P100" i="31"/>
  <c r="N101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I51" i="25"/>
  <c r="H51" i="25"/>
  <c r="B52" i="25"/>
  <c r="D51" i="25"/>
  <c r="E51" i="25"/>
  <c r="C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I52" i="25"/>
  <c r="H52" i="25"/>
  <c r="E52" i="25"/>
  <c r="C52" i="25"/>
  <c r="D52" i="25"/>
  <c r="B53" i="25"/>
  <c r="N103" i="31"/>
  <c r="P102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H53" i="25"/>
  <c r="I53" i="25"/>
  <c r="B54" i="25"/>
  <c r="C53" i="25"/>
  <c r="D53" i="25"/>
  <c r="E53" i="25"/>
  <c r="N104" i="31"/>
  <c r="P103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I54" i="25"/>
  <c r="H54" i="25"/>
  <c r="C54" i="25"/>
  <c r="G54" i="25"/>
  <c r="E54" i="25"/>
  <c r="D54" i="25"/>
  <c r="B55" i="25"/>
  <c r="P104" i="31"/>
  <c r="N105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H55" i="25"/>
  <c r="I55" i="25"/>
  <c r="C55" i="25"/>
  <c r="E55" i="25"/>
  <c r="D55" i="25"/>
  <c r="B56" i="25"/>
  <c r="P105" i="31"/>
  <c r="N106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I56" i="25"/>
  <c r="H56" i="25"/>
  <c r="C56" i="25"/>
  <c r="D56" i="25"/>
  <c r="E56" i="25"/>
  <c r="B57" i="25"/>
  <c r="P106" i="31"/>
  <c r="N107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H57" i="25"/>
  <c r="C57" i="25"/>
  <c r="E57" i="25"/>
  <c r="D57" i="25"/>
  <c r="B58" i="25"/>
  <c r="P107" i="31"/>
  <c r="N108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H58" i="25"/>
  <c r="I58" i="25"/>
  <c r="B59" i="25"/>
  <c r="D58" i="25"/>
  <c r="E58" i="25"/>
  <c r="C58" i="25"/>
  <c r="P108" i="31"/>
  <c r="N109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H59" i="25"/>
  <c r="B60" i="25"/>
  <c r="E59" i="25"/>
  <c r="D59" i="25"/>
  <c r="C59" i="25"/>
  <c r="P109" i="31"/>
  <c r="N110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P110" i="31"/>
  <c r="N111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P111" i="31"/>
  <c r="N112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N113" i="31"/>
  <c r="P112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P113" i="31"/>
  <c r="N114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N115" i="31"/>
  <c r="P114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P115" i="31"/>
  <c r="N116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P116" i="31"/>
  <c r="N117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N118" i="31"/>
  <c r="P117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P118" i="31"/>
  <c r="N119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P119" i="31"/>
  <c r="N120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N121" i="31"/>
  <c r="P120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P121" i="31"/>
  <c r="N122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P122" i="31"/>
  <c r="N123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N124" i="31"/>
  <c r="P123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N125" i="31"/>
  <c r="P124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P125" i="31"/>
  <c r="N126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N127" i="31"/>
  <c r="P126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N128" i="31"/>
  <c r="P127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P128" i="31"/>
  <c r="N129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P129" i="31"/>
  <c r="N130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P130" i="31"/>
  <c r="N131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N132" i="31"/>
  <c r="P131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P132" i="31"/>
  <c r="N133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P133" i="31"/>
  <c r="N134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N135" i="31"/>
  <c r="P134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N136" i="31"/>
  <c r="P135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N137" i="31"/>
  <c r="P136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P137" i="31"/>
  <c r="N138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P138" i="31"/>
  <c r="N139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P139" i="31"/>
  <c r="N140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N141" i="31"/>
  <c r="P140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N142" i="31"/>
  <c r="P141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N143" i="31"/>
  <c r="P142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P143" i="31"/>
  <c r="N144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P144" i="31"/>
  <c r="N145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P145" i="31"/>
  <c r="N146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6" i="31"/>
  <c r="P147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8" i="31"/>
  <c r="N147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N149" i="31"/>
  <c r="P148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N150" i="31"/>
  <c r="P149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P150" i="31"/>
  <c r="N151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P151" i="31"/>
  <c r="N152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N153" i="31"/>
  <c r="P152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P153" i="31"/>
  <c r="N154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P154" i="31"/>
  <c r="N155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P155" i="31"/>
  <c r="N156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P156" i="31"/>
  <c r="N157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P157" i="31"/>
  <c r="N158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P158" i="31"/>
  <c r="N159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N160" i="31"/>
  <c r="P159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N161" i="31"/>
  <c r="P160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P161" i="31"/>
  <c r="N162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P162" i="31"/>
  <c r="N163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P163" i="31"/>
  <c r="N164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N165" i="31"/>
  <c r="P164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P165" i="31"/>
  <c r="N166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N167" i="31"/>
  <c r="P166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P167" i="31"/>
  <c r="N168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P168" i="31"/>
  <c r="N169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N170" i="31"/>
  <c r="P169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P170" i="31"/>
  <c r="N171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P171" i="31"/>
  <c r="N172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P172" i="31"/>
  <c r="N173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N174" i="31"/>
  <c r="P173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N175" i="31"/>
  <c r="P174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P175" i="31"/>
  <c r="N176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P176" i="31"/>
  <c r="N177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P177" i="31"/>
  <c r="N178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P178" i="31"/>
  <c r="N179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P179" i="31"/>
  <c r="N180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N181" i="31"/>
  <c r="P180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P181" i="31"/>
  <c r="N182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P182" i="31"/>
  <c r="N183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P183" i="31"/>
  <c r="N184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P184" i="31"/>
  <c r="N185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N186" i="31"/>
  <c r="P185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N187" i="31"/>
  <c r="P186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N188" i="31"/>
  <c r="P187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P188" i="31"/>
  <c r="N189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N190" i="31"/>
  <c r="P189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P190" i="31"/>
  <c r="N191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N192" i="31"/>
  <c r="P191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N193" i="31"/>
  <c r="P192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P193" i="31"/>
  <c r="N194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P194" i="31"/>
  <c r="N195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N196" i="31"/>
  <c r="P195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N197" i="31"/>
  <c r="P196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P197" i="31"/>
  <c r="N198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N199" i="31"/>
  <c r="P198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P199" i="31"/>
  <c r="N200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P200" i="31"/>
  <c r="N201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N202" i="31"/>
  <c r="P201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N203" i="31"/>
  <c r="P202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N204" i="31"/>
  <c r="P203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P204" i="31"/>
  <c r="N205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N206" i="31"/>
  <c r="P205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P206" i="31"/>
  <c r="N207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P207" i="31"/>
  <c r="N208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P208" i="31"/>
  <c r="N209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P209" i="31"/>
  <c r="N210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P210" i="31"/>
  <c r="N211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P211" i="31"/>
  <c r="N212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N213" i="31"/>
  <c r="P212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P213" i="31"/>
  <c r="N214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4" i="31"/>
  <c r="P215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5" i="31"/>
  <c r="N216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P216" i="31"/>
  <c r="N217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C9" i="25"/>
  <c r="P217" i="31"/>
  <c r="N218" i="31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N221" i="31"/>
  <c r="P220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P221" i="31"/>
  <c r="N222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P222" i="31"/>
  <c r="N223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N224" i="31"/>
  <c r="P223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P224" i="31"/>
  <c r="N225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N226" i="31"/>
  <c r="P225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N227" i="31"/>
  <c r="P226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P227" i="31"/>
  <c r="N228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P228" i="31"/>
  <c r="N229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P229" i="31"/>
  <c r="N230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P230" i="31"/>
  <c r="N231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P231" i="31"/>
  <c r="N232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2" i="31"/>
  <c r="P233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3" i="31"/>
  <c r="N234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P234" i="31"/>
  <c r="N235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P235" i="31"/>
  <c r="N236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N237" i="31"/>
  <c r="P236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P237" i="31"/>
  <c r="N238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P238" i="31"/>
  <c r="N239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P239" i="31"/>
  <c r="N240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P240" i="31"/>
  <c r="N241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P241" i="31"/>
  <c r="N242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P242" i="31"/>
  <c r="N243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P243" i="31"/>
  <c r="N244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P244" i="31"/>
  <c r="N245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P245" i="31"/>
  <c r="N246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P246" i="31"/>
  <c r="N247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P247" i="31"/>
  <c r="N248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9" i="31"/>
  <c r="P248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49" i="31"/>
  <c r="N250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P250" i="31"/>
  <c r="N251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P251" i="31"/>
  <c r="N252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N253" i="31"/>
  <c r="P252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P253" i="31"/>
  <c r="N254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P254" i="31"/>
  <c r="N255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N256" i="31"/>
  <c r="P255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N258" i="31"/>
  <c r="P257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N303" i="31"/>
  <c r="P302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N311" i="31"/>
  <c r="P310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N384" i="31"/>
  <c r="P383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N393" i="31"/>
  <c r="P392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N399" i="31"/>
  <c r="P398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N437" i="31"/>
  <c r="P436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N464" i="31"/>
  <c r="P463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N475" i="31"/>
  <c r="P474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G11" i="25"/>
  <c r="G13" i="25"/>
  <c r="G12" i="25"/>
  <c r="G14" i="25"/>
  <c r="G15" i="25"/>
  <c r="F11" i="25"/>
  <c r="P500" i="31"/>
  <c r="N501" i="31"/>
  <c r="O501" i="31" l="1"/>
  <c r="F49" i="25"/>
  <c r="F51" i="25"/>
  <c r="G58" i="25"/>
  <c r="G60" i="25"/>
  <c r="G51" i="25"/>
  <c r="F56" i="25"/>
  <c r="F57" i="25"/>
  <c r="F59" i="25"/>
  <c r="G61" i="25"/>
  <c r="F54" i="25"/>
  <c r="G50" i="25"/>
  <c r="F52" i="25"/>
  <c r="G57" i="25"/>
  <c r="F53" i="25"/>
  <c r="G56" i="25"/>
  <c r="F58" i="25"/>
  <c r="F55" i="25"/>
  <c r="G59" i="25"/>
  <c r="F60" i="25"/>
  <c r="F50" i="25"/>
  <c r="G52" i="25"/>
  <c r="G55" i="25"/>
  <c r="G53" i="25"/>
  <c r="G49" i="25"/>
  <c r="G32" i="25"/>
  <c r="F35" i="25"/>
  <c r="G33" i="25"/>
  <c r="G30" i="25"/>
  <c r="G40" i="25"/>
  <c r="F44" i="25"/>
  <c r="F38" i="25"/>
  <c r="G44" i="25"/>
  <c r="G35" i="25"/>
  <c r="G46" i="25"/>
  <c r="G45" i="25"/>
  <c r="F46" i="25"/>
  <c r="G31" i="25"/>
  <c r="F45" i="25"/>
  <c r="F31" i="25"/>
  <c r="G37" i="25"/>
  <c r="F32" i="25"/>
  <c r="F33" i="25"/>
  <c r="F29" i="25"/>
  <c r="F47" i="25"/>
  <c r="G36" i="25"/>
  <c r="G41" i="25"/>
  <c r="G39" i="25"/>
  <c r="F48" i="25"/>
  <c r="F30" i="25"/>
  <c r="F43" i="25"/>
  <c r="F39" i="25"/>
  <c r="G29" i="25"/>
  <c r="G38" i="25"/>
  <c r="F36" i="25"/>
  <c r="G42" i="25"/>
  <c r="F42" i="25"/>
  <c r="G48" i="25"/>
  <c r="F41" i="25"/>
  <c r="F34" i="25"/>
  <c r="G34" i="25"/>
  <c r="F40" i="25"/>
  <c r="G47" i="25"/>
  <c r="F37" i="25"/>
  <c r="G43" i="25"/>
  <c r="G28" i="25"/>
  <c r="G27" i="25"/>
  <c r="F28" i="25"/>
  <c r="F27" i="25"/>
  <c r="F21" i="25"/>
  <c r="G19" i="25"/>
  <c r="F25" i="25"/>
  <c r="F20" i="25"/>
  <c r="G23" i="25"/>
  <c r="G24" i="25"/>
  <c r="F22" i="25"/>
  <c r="F24" i="25"/>
  <c r="G26" i="25"/>
  <c r="G21" i="25"/>
  <c r="F26" i="25"/>
  <c r="F18" i="25"/>
  <c r="F23" i="25"/>
  <c r="F19" i="25"/>
  <c r="G17" i="25"/>
  <c r="F17" i="25"/>
  <c r="F16" i="25"/>
  <c r="F9" i="25"/>
  <c r="F14" i="25"/>
  <c r="F15" i="25"/>
  <c r="F10" i="25"/>
  <c r="F12" i="25"/>
  <c r="F13" i="25"/>
  <c r="P501" i="31"/>
</calcChain>
</file>

<file path=xl/sharedStrings.xml><?xml version="1.0" encoding="utf-8"?>
<sst xmlns="http://schemas.openxmlformats.org/spreadsheetml/2006/main" count="1631" uniqueCount="915">
  <si>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</si>
  <si>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</si>
  <si>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</si>
  <si>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</si>
  <si>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</si>
  <si>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</si>
  <si>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</si>
  <si>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</si>
  <si>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</si>
  <si>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</si>
  <si>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</si>
  <si>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</si>
  <si>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</si>
  <si>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</si>
  <si>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</si>
  <si>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</si>
  <si>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</si>
  <si>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</si>
  <si>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</si>
  <si>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</si>
  <si>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</si>
  <si>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</si>
  <si>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</si>
  <si>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</si>
  <si>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</si>
  <si>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</si>
  <si>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</si>
  <si>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</si>
  <si>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</si>
  <si>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</si>
  <si>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</si>
  <si>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</si>
  <si>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</si>
  <si>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</si>
  <si>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</si>
  <si>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</si>
  <si>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</si>
  <si>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</si>
  <si>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</si>
  <si>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</si>
  <si>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</si>
  <si>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</si>
  <si>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</si>
  <si>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</si>
  <si>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</si>
  <si>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</si>
  <si>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</si>
  <si>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</si>
  <si>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</si>
  <si>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</si>
  <si>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</si>
  <si>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</si>
  <si>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</si>
  <si>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</si>
  <si>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</si>
  <si>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</si>
  <si>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</si>
  <si>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</si>
  <si>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</si>
  <si>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</si>
  <si>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</si>
  <si>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</si>
  <si>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</si>
  <si>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</si>
  <si>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</si>
  <si>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</si>
  <si>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</si>
  <si>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</si>
  <si>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</si>
  <si>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</si>
  <si>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</si>
  <si>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</si>
  <si>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</si>
  <si>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</si>
  <si>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</si>
  <si>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</si>
  <si>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</si>
  <si>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</si>
  <si>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</si>
  <si>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</si>
  <si>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</si>
  <si>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</si>
  <si>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</si>
  <si>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</si>
  <si>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</si>
  <si>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</si>
  <si>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</si>
  <si>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</si>
  <si>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</si>
  <si>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</si>
  <si>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</si>
  <si>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</si>
  <si>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</si>
  <si>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</si>
  <si>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</si>
  <si>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</si>
  <si>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</si>
  <si>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</si>
  <si>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</si>
  <si>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</si>
  <si>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</si>
  <si>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</si>
  <si>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</si>
  <si>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</si>
  <si>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</si>
  <si>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</si>
  <si>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</si>
  <si>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</si>
  <si>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</si>
  <si>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</si>
  <si>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</si>
  <si>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</si>
  <si>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</si>
  <si>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</si>
  <si>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</si>
  <si>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</si>
  <si>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</si>
  <si>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</si>
  <si>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</si>
  <si>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</si>
  <si>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</si>
  <si>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</si>
  <si>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</si>
  <si>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</si>
  <si>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</si>
  <si>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</si>
  <si>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</si>
  <si>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</si>
  <si>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</si>
  <si>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</si>
  <si>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</si>
  <si>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</si>
  <si>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</si>
  <si>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</si>
  <si>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</si>
  <si>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</si>
  <si>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</si>
  <si>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</si>
  <si>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</si>
  <si>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</si>
  <si>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</si>
  <si>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</si>
  <si>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</si>
  <si>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</si>
  <si>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</si>
  <si>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</si>
  <si>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</si>
  <si>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</si>
  <si>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</si>
  <si>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</si>
  <si>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</si>
  <si>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</si>
  <si>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</si>
  <si>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</si>
  <si>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</si>
  <si>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</si>
  <si>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</si>
  <si>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</si>
  <si>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</si>
  <si>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</si>
  <si>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</si>
  <si>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</si>
  <si>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</si>
  <si>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</si>
  <si>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</si>
  <si>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</si>
  <si>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</si>
  <si>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</si>
  <si>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</si>
  <si>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</si>
  <si>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</si>
  <si>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</si>
  <si>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</si>
  <si>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</si>
  <si>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</si>
  <si>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</si>
  <si>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</si>
  <si>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</si>
  <si>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</si>
  <si>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</si>
  <si>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</si>
  <si>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</si>
  <si>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</si>
  <si>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</si>
  <si>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</si>
  <si>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</si>
  <si>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</si>
  <si>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</si>
  <si>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</si>
  <si>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</si>
  <si>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</si>
  <si>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</si>
  <si>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</si>
  <si>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</si>
  <si>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</si>
  <si>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</si>
  <si>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</si>
  <si>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</si>
  <si>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</si>
  <si>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</si>
  <si>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</si>
  <si>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</si>
  <si>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</si>
  <si>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</si>
  <si>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</si>
  <si>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</si>
  <si>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</si>
  <si>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</si>
  <si>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</si>
  <si>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</si>
  <si>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</si>
  <si>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</si>
  <si>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</si>
  <si>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</si>
  <si>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</si>
  <si>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</si>
  <si>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</si>
  <si>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</si>
  <si>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</si>
  <si>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</si>
  <si>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</si>
  <si>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</si>
  <si>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</si>
  <si>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</si>
  <si>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</si>
  <si>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</si>
  <si>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</si>
  <si>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</si>
  <si>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</si>
  <si>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</si>
  <si>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</si>
  <si>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</si>
  <si>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</si>
  <si>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</si>
  <si>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</si>
  <si>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</si>
  <si>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</si>
  <si>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</si>
  <si>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</si>
  <si>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</si>
  <si>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</si>
  <si>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</si>
  <si>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</si>
  <si>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</si>
  <si>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</si>
  <si>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</si>
  <si>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</si>
  <si>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</si>
  <si>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</si>
  <si>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</si>
  <si>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</si>
  <si>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</si>
  <si>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</si>
  <si>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</si>
  <si>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</si>
  <si>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</si>
  <si>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</si>
  <si>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</si>
  <si>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</si>
  <si>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</si>
  <si>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</si>
  <si>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</si>
  <si>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</si>
  <si>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</si>
  <si>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</si>
  <si>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</si>
  <si>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</si>
  <si>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</si>
  <si>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</si>
  <si>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</si>
  <si>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</si>
  <si>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</si>
  <si>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</si>
  <si>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</si>
  <si>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</si>
  <si>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</si>
  <si>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</si>
  <si>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</si>
  <si>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</si>
  <si>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</si>
  <si>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</si>
  <si>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</si>
  <si>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</si>
  <si>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</si>
  <si>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</si>
  <si>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</si>
  <si>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</si>
  <si>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</si>
  <si>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</si>
  <si>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</si>
  <si>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</si>
  <si>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</si>
  <si>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</si>
  <si>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</si>
  <si>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</si>
  <si>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</si>
  <si>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</si>
  <si>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</si>
  <si>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</si>
  <si>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</si>
  <si>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</si>
  <si>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</si>
  <si>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</si>
  <si>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</si>
  <si>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</si>
  <si>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</si>
  <si>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</si>
  <si>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</si>
  <si>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</si>
  <si>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</si>
  <si>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</si>
  <si>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</si>
  <si>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</si>
  <si>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</si>
  <si>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</si>
  <si>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</si>
  <si>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</si>
  <si>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</si>
  <si>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</si>
  <si>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</si>
  <si>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</si>
  <si>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</si>
  <si>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</si>
  <si>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</si>
  <si>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</si>
  <si>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</si>
  <si>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</si>
  <si>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</si>
  <si>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</si>
  <si>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</si>
  <si>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</si>
  <si>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</si>
  <si>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</si>
  <si>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</si>
  <si>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</si>
  <si>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</si>
  <si>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</si>
  <si>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</si>
  <si>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</si>
  <si>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</si>
  <si>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</si>
  <si>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</si>
  <si>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</si>
  <si>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</si>
  <si>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</si>
  <si>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</si>
  <si>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</si>
  <si>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</si>
  <si>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</si>
  <si>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</si>
  <si>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</si>
  <si>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</si>
  <si>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</si>
  <si>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</si>
  <si>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</si>
  <si>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</si>
  <si>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</si>
  <si>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</si>
  <si>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</si>
  <si>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</si>
  <si>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</si>
  <si>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</si>
  <si>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</si>
  <si>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</si>
  <si>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</si>
  <si>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</si>
  <si>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</si>
  <si>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</si>
  <si>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</si>
  <si>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</si>
  <si>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</si>
  <si>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</si>
  <si>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</si>
  <si>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</si>
  <si>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</si>
  <si>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</si>
  <si>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</si>
  <si>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</si>
  <si>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</si>
  <si>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</si>
  <si>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</si>
  <si>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</si>
  <si>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</si>
  <si>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</si>
  <si>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</si>
  <si>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</si>
  <si>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</si>
  <si>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</si>
  <si>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</si>
  <si>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</si>
  <si>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</si>
  <si>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</si>
  <si>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</si>
  <si>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</si>
  <si>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</si>
  <si>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</si>
  <si>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</si>
  <si>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</si>
  <si>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</si>
  <si>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</si>
  <si>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</si>
  <si>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</si>
  <si>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</si>
  <si>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</si>
  <si>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</si>
  <si>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</si>
  <si>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</si>
  <si>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</si>
  <si>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</si>
  <si>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</si>
  <si>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</si>
  <si>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</si>
  <si>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</si>
  <si>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</si>
  <si>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</si>
  <si>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</si>
  <si>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</si>
  <si>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</si>
  <si>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</si>
  <si>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</si>
  <si>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</si>
  <si>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</si>
  <si>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</si>
  <si>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</si>
  <si>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</si>
  <si>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</si>
  <si>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</si>
  <si>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</si>
  <si>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</si>
  <si>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</si>
  <si>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</si>
  <si>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</si>
  <si>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</si>
  <si>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</si>
  <si>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</si>
  <si>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</si>
  <si>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</si>
  <si>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</si>
  <si>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</si>
  <si>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</si>
  <si>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</si>
  <si>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</si>
  <si>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</si>
  <si>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</si>
  <si>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</si>
  <si>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</si>
  <si>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</si>
  <si>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</si>
  <si>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</si>
  <si>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</si>
  <si>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</si>
  <si>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</si>
  <si>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</si>
  <si>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</si>
  <si>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</si>
  <si>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</si>
  <si>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</si>
  <si>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</si>
  <si>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</si>
  <si>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</si>
  <si>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</si>
  <si>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</si>
  <si>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</si>
  <si>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</si>
  <si>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</si>
  <si>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</si>
  <si>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</si>
  <si>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</si>
  <si>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</si>
  <si>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</si>
  <si>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</si>
  <si>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</si>
  <si>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</si>
  <si>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</si>
  <si>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</si>
  <si>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</si>
  <si>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</si>
  <si>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</si>
  <si>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</si>
  <si>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</si>
  <si>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</si>
  <si>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</si>
  <si>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</si>
  <si>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</si>
  <si>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</si>
  <si>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</si>
  <si>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</si>
  <si>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</si>
  <si>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</si>
  <si>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</si>
  <si>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</si>
  <si>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</si>
  <si>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</si>
  <si>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</si>
  <si>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</si>
  <si>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</si>
  <si>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</si>
  <si>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</si>
  <si>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</si>
  <si>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</si>
  <si>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</si>
  <si>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</si>
  <si>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</si>
  <si>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</si>
  <si>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</si>
  <si>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</si>
  <si>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</si>
  <si>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</si>
  <si>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</si>
  <si>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</si>
  <si>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</si>
  <si>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</si>
  <si>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</si>
  <si>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</si>
  <si>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</si>
  <si>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</si>
  <si>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</si>
  <si>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</si>
  <si>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</si>
  <si>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</si>
  <si>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</si>
  <si>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</si>
  <si>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</si>
  <si>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</si>
  <si>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</si>
  <si>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</si>
  <si>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</si>
  <si>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</si>
  <si>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</si>
  <si>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</si>
  <si>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</si>
  <si>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</si>
  <si>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</si>
  <si>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</si>
  <si>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</si>
  <si>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</si>
  <si>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</si>
  <si>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</si>
  <si>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</si>
  <si>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</si>
  <si>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</si>
  <si>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</si>
  <si>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</si>
  <si>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</si>
  <si>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</si>
  <si>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</si>
  <si>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</si>
  <si>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</si>
  <si>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</si>
  <si>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</si>
  <si>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</si>
  <si>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</si>
  <si>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</si>
  <si>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</si>
  <si>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</si>
  <si>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</si>
  <si>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</si>
  <si>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</si>
  <si>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</si>
  <si>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</si>
  <si>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</si>
  <si>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</si>
  <si>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</si>
  <si>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</si>
  <si>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</si>
  <si>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</si>
  <si>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</si>
  <si>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</si>
  <si>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</si>
  <si>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</si>
  <si>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</si>
  <si>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</si>
  <si>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</si>
  <si>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</si>
  <si>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</si>
  <si>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</si>
  <si>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</si>
  <si>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</si>
  <si>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</si>
  <si>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</si>
  <si>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</si>
  <si>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</si>
  <si>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</si>
  <si>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</si>
  <si>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</si>
  <si>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</si>
  <si>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</si>
  <si>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</si>
  <si>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</si>
  <si>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</si>
  <si>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</si>
  <si>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</si>
  <si>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</si>
  <si>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</si>
  <si>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</si>
  <si>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</si>
  <si>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</si>
  <si>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</si>
  <si>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</si>
  <si>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</si>
  <si>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</si>
  <si>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</si>
  <si>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</si>
  <si>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</si>
  <si>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</si>
  <si>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</si>
  <si>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</si>
  <si>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</si>
  <si>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</si>
  <si>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</si>
  <si>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</si>
  <si>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</si>
  <si>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</si>
  <si>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</si>
  <si>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</si>
  <si>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</si>
  <si>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</si>
  <si>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</si>
  <si>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</si>
  <si>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</si>
  <si>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</si>
  <si>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</si>
  <si>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</si>
  <si>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</si>
  <si>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</si>
  <si>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</si>
  <si>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</si>
  <si>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</si>
  <si>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</si>
  <si>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</si>
  <si>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</si>
  <si>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</si>
  <si>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</si>
  <si>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</si>
  <si>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</si>
  <si>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</si>
  <si>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</si>
  <si>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</si>
  <si>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</si>
  <si>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</si>
  <si>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</si>
  <si>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</si>
  <si>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</si>
  <si>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</si>
  <si>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</si>
  <si>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</si>
  <si>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</si>
  <si>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</si>
  <si>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</si>
  <si>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</si>
  <si>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</si>
  <si>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</si>
  <si>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</si>
  <si>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</si>
  <si>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</si>
  <si>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</si>
  <si>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</si>
  <si>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</si>
  <si>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</si>
  <si>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</si>
  <si>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</si>
  <si>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</si>
  <si>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</si>
  <si>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</si>
  <si>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</si>
  <si>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</si>
  <si>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</si>
  <si>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</si>
  <si>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</si>
  <si>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</si>
  <si>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</si>
  <si>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</si>
  <si>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</si>
  <si>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</si>
  <si>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</si>
  <si>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</si>
  <si>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</si>
  <si>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</si>
  <si>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</si>
  <si>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</si>
  <si>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</si>
  <si>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</si>
  <si>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</si>
  <si>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</si>
  <si>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</si>
  <si>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</si>
  <si>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</si>
  <si>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</si>
  <si>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</si>
  <si>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</si>
  <si>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</si>
  <si>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</si>
  <si>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</si>
  <si>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</si>
  <si>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</si>
  <si>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</si>
  <si>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</si>
  <si>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</si>
  <si>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</si>
  <si>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</si>
  <si>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</si>
  <si>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</si>
  <si>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</si>
  <si>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</si>
  <si>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</si>
  <si>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</si>
  <si>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</si>
  <si>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</si>
  <si>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</si>
  <si>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</si>
  <si>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</si>
  <si>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</si>
  <si>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</si>
  <si>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</si>
  <si>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</si>
  <si>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</si>
  <si>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</si>
  <si>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</si>
  <si>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</si>
  <si>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</si>
  <si>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</si>
  <si>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</si>
  <si>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</si>
  <si>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</si>
  <si>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</si>
  <si>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</si>
  <si>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</si>
  <si>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</si>
  <si>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</si>
  <si>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</si>
  <si>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</si>
  <si>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</si>
  <si>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</si>
  <si>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</si>
  <si>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</si>
  <si>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</si>
  <si>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</si>
  <si>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</si>
  <si>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</si>
  <si>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</si>
  <si>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</si>
  <si>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</si>
  <si>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</si>
  <si>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</si>
  <si>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</si>
  <si>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</si>
  <si>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</si>
  <si>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</si>
  <si>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</si>
  <si>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</si>
  <si>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</si>
  <si>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</si>
  <si>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</si>
  <si>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</si>
  <si>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</si>
  <si>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</si>
  <si>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</si>
  <si>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</si>
  <si>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</si>
  <si>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</si>
  <si>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</si>
  <si>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</si>
  <si>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</si>
  <si>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</si>
  <si>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</si>
  <si>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</si>
  <si>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</si>
  <si>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</si>
  <si>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</si>
  <si>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</si>
  <si>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</si>
  <si>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</si>
  <si>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</si>
  <si>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</si>
  <si>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</si>
  <si>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</si>
  <si>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</si>
  <si>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</si>
  <si>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</si>
  <si>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</si>
  <si>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</si>
  <si>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</si>
  <si>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</si>
  <si>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</si>
  <si>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</si>
  <si>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</si>
  <si>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</si>
  <si>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</si>
  <si>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</si>
  <si>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</si>
  <si>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</si>
  <si>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</si>
  <si>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</si>
  <si>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</si>
  <si>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</si>
  <si>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</si>
  <si>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</si>
  <si>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</si>
  <si>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</si>
  <si>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</si>
  <si>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</si>
  <si>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</si>
  <si>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</si>
  <si>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categories</t>
  </si>
  <si>
    <t>user_categories</t>
  </si>
  <si>
    <t>counters</t>
  </si>
  <si>
    <t>counter_user</t>
  </si>
  <si>
    <t>customers</t>
  </si>
  <si>
    <t>tokens</t>
  </si>
  <si>
    <t>token_counter</t>
  </si>
  <si>
    <t>string</t>
  </si>
  <si>
    <t>index()</t>
  </si>
  <si>
    <t>nullable()</t>
  </si>
  <si>
    <t>token_prefix</t>
  </si>
  <si>
    <t>token_suffix</t>
  </si>
  <si>
    <t>digit_length</t>
  </si>
  <si>
    <t>smallInteger</t>
  </si>
  <si>
    <t>default(4)</t>
  </si>
  <si>
    <t>foreignCascade</t>
  </si>
  <si>
    <t>foreign_user_cascade</t>
  </si>
  <si>
    <t>foreign_category_cascade</t>
  </si>
  <si>
    <t>category</t>
  </si>
  <si>
    <t>display_name</t>
  </si>
  <si>
    <t>status</t>
  </si>
  <si>
    <t>enum</t>
  </si>
  <si>
    <t>['Active','Inactive']</t>
  </si>
  <si>
    <t>default('Active')</t>
  </si>
  <si>
    <t>foreign_counter_cascade</t>
  </si>
  <si>
    <t>counter</t>
  </si>
  <si>
    <t>phone</t>
  </si>
  <si>
    <t>email</t>
  </si>
  <si>
    <t>datetime</t>
  </si>
  <si>
    <t>dateTime</t>
  </si>
  <si>
    <t>foreign_customer_nullable</t>
  </si>
  <si>
    <t>foreignNullable</t>
  </si>
  <si>
    <t>customer</t>
  </si>
  <si>
    <t>code</t>
  </si>
  <si>
    <t>start_time</t>
  </si>
  <si>
    <t>end_time</t>
  </si>
  <si>
    <t>foreign_token_nullable</t>
  </si>
  <si>
    <t>token</t>
  </si>
  <si>
    <t>Category</t>
  </si>
  <si>
    <t>UserCategory</t>
  </si>
  <si>
    <t>Counter</t>
  </si>
  <si>
    <t>CounterUser</t>
  </si>
  <si>
    <t>Customer</t>
  </si>
  <si>
    <t>Token</t>
  </si>
  <si>
    <t>TokenCounter</t>
  </si>
  <si>
    <t>Categories</t>
  </si>
  <si>
    <t>User Categories</t>
  </si>
  <si>
    <t>Counters</t>
  </si>
  <si>
    <t>Counter Users</t>
  </si>
  <si>
    <t>Customers</t>
  </si>
  <si>
    <t>Tokens</t>
  </si>
  <si>
    <t>Token Counter</t>
  </si>
  <si>
    <t>bigIncrements</t>
  </si>
  <si>
    <t>CreateCategory</t>
  </si>
  <si>
    <t>Category/CreateCategory</t>
  </si>
  <si>
    <t>text</t>
  </si>
  <si>
    <t>Token Prefix</t>
  </si>
  <si>
    <t>Token Suffix</t>
  </si>
  <si>
    <t>Digit Length</t>
  </si>
  <si>
    <t>UserCategories</t>
  </si>
  <si>
    <t>belongsToMany</t>
  </si>
  <si>
    <t>CategoryUsers</t>
  </si>
  <si>
    <t>UserCounters</t>
  </si>
  <si>
    <t>CounterUsers</t>
  </si>
  <si>
    <t>CustomerTokens</t>
  </si>
  <si>
    <t>hasMany</t>
  </si>
  <si>
    <t>TokenCustomer</t>
  </si>
  <si>
    <t>belongsTo</t>
  </si>
  <si>
    <t>CategoryTokens</t>
  </si>
  <si>
    <t>TokenCategory</t>
  </si>
  <si>
    <t>hasOne</t>
  </si>
  <si>
    <t>actions_availability</t>
  </si>
  <si>
    <t>actions</t>
  </si>
  <si>
    <t>service_users</t>
  </si>
  <si>
    <t>Users responsible to give service</t>
  </si>
  <si>
    <t>Service Users</t>
  </si>
  <si>
    <t>Have access to service tokens</t>
  </si>
  <si>
    <t>CreateServiceUser</t>
  </si>
  <si>
    <t>User/CreateServiceUser</t>
  </si>
  <si>
    <t>login</t>
  </si>
  <si>
    <t>Phone</t>
  </si>
  <si>
    <t>Login</t>
  </si>
  <si>
    <t>Email</t>
  </si>
  <si>
    <t>CreateCounter</t>
  </si>
  <si>
    <t>Counter/CreateCounter</t>
  </si>
  <si>
    <t>select</t>
  </si>
  <si>
    <t>Display Name</t>
  </si>
  <si>
    <t>Status</t>
  </si>
  <si>
    <t>Enum</t>
  </si>
  <si>
    <t>CreateCustomer</t>
  </si>
  <si>
    <t>Customer/CreateCustomer</t>
  </si>
  <si>
    <t>CreateToken</t>
  </si>
  <si>
    <t>Token/CreateToken</t>
  </si>
  <si>
    <t>Datetime</t>
  </si>
  <si>
    <t>Yes</t>
  </si>
  <si>
    <t>CategoryList</t>
  </si>
  <si>
    <t>(Forms) User/CreateServiceUser</t>
  </si>
  <si>
    <t>CreateServiceUserAction</t>
  </si>
  <si>
    <t>CreateCategoryAction</t>
  </si>
  <si>
    <t>(Forms) Category/CreateCategory</t>
  </si>
  <si>
    <t>(Forms) Counter/CreateCounter</t>
  </si>
  <si>
    <t>(Forms) Customer/CreateCustomer</t>
  </si>
  <si>
    <t>(Forms) Token/CreateToken</t>
  </si>
  <si>
    <t>CreateCounterAction</t>
  </si>
  <si>
    <t>CreateCustomerAction</t>
  </si>
  <si>
    <t>CreateTokenAction</t>
  </si>
  <si>
    <t>ListCategoryAction</t>
  </si>
  <si>
    <t>(Lists) Category/CategoryList</t>
  </si>
  <si>
    <t>New</t>
  </si>
  <si>
    <t>CounterList</t>
  </si>
  <si>
    <t>ListCounterAction</t>
  </si>
  <si>
    <t>(Lists) Counter/CounterList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</si>
</sst>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3" fillId="0" borderId="0" xfId="0" applyFont="1" applyBorder="1"/>
    <xf numFmtId="0" fontId="13" fillId="0" borderId="0" xfId="0" applyNumberFormat="1" applyFont="1"/>
    <xf numFmtId="0" fontId="13" fillId="0" borderId="0" xfId="0" applyFont="1"/>
    <xf numFmtId="0" fontId="13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5" fillId="3" borderId="0" xfId="0" applyFont="1" applyFill="1"/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3" fillId="0" borderId="0" xfId="0" applyNumberFormat="1" applyFont="1" applyBorder="1"/>
    <xf numFmtId="0" fontId="13" fillId="2" borderId="0" xfId="0" applyNumberFormat="1" applyFont="1" applyFill="1"/>
    <xf numFmtId="0" fontId="13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/>
    </xf>
  </cellXfs>
  <cellStyles count="1">
    <cellStyle name="Normal" xfId="0" builtinId="0"/>
  </cellStyles>
  <dxfs count="46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3" totalsRowShown="0" dataDxfId="467">
  <autoFilter ref="A1:J53"/>
  <tableColumns count="10">
    <tableColumn id="2" name="Name" dataDxfId="466"/>
    <tableColumn id="10" name="Table" dataDxfId="465">
      <calculatedColumnFormula>Tables[Name]</calculatedColumnFormula>
    </tableColumn>
    <tableColumn id="5" name="Singular Name" dataDxfId="464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SUBSTITUTE(PROPER(Tables[Singular Name]),"_","")</calculatedColumnFormula>
    </tableColumn>
    <tableColumn id="1" name="Migration Artisan" dataDxfId="461">
      <calculatedColumnFormula>"php artisan make:migration create_"&amp;Tables[Table]&amp;"_table --create="&amp;Tables[Table]</calculatedColumnFormula>
    </tableColumn>
    <tableColumn id="6" name="Model Artisan" dataDxfId="460">
      <calculatedColumnFormula>"php artisan make:model "&amp;Tables[Class Name]</calculatedColumnFormula>
    </tableColumn>
    <tableColumn id="3" name="Model Statement" dataDxfId="459">
      <calculatedColumnFormula>"protected $table = '"&amp;Tables[Table]&amp;"';"</calculatedColumnFormula>
    </tableColumn>
    <tableColumn id="7" name="Seeder Artisan" dataDxfId="458">
      <calculatedColumnFormula>"php artisan make:seed "&amp;Tables[Class Name]&amp;"TableSeeder"</calculatedColumnFormula>
    </tableColumn>
    <tableColumn id="9" name="Seeder Class" dataDxfId="45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9" totalsRowShown="0" headerRowDxfId="377" dataDxfId="376">
  <autoFilter ref="A1:Y9"/>
  <tableColumns count="25">
    <tableColumn id="10" name="Primary" dataDxfId="375">
      <calculatedColumnFormula>'Table Seed Map'!$A$34&amp;"-"&amp;(COUNTA($E$1:ResourceAction[[#This Row],[Resource]])-2)</calculatedColumnFormula>
    </tableColumn>
    <tableColumn id="13" name="Display" dataDxfId="374">
      <calculatedColumnFormula>ResourceAction[[#This Row],[Resource Name]]&amp;"/"&amp;ResourceAction[[#This Row],[Name]]</calculatedColumnFormula>
    </tableColumn>
    <tableColumn id="2" name="Resource Name" dataDxfId="373"/>
    <tableColumn id="11" name="No" dataDxfId="372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71">
      <calculatedColumnFormula>IFERROR(VLOOKUP(ResourceAction[[#This Row],[Resource Name]],ResourceTable[[RName]:[No]],3,0),"resource")</calculatedColumnFormula>
    </tableColumn>
    <tableColumn id="4" name="Name" dataDxfId="370"/>
    <tableColumn id="6" name="Description" dataDxfId="369"/>
    <tableColumn id="7" name="Title" dataDxfId="368"/>
    <tableColumn id="8" name="Type" dataDxfId="367"/>
    <tableColumn id="9" name="Menu" dataDxfId="366"/>
    <tableColumn id="20" name="Primary Method" dataDxfId="365">
      <calculatedColumnFormula>'Table Seed Map'!$A$35&amp;"-"&amp;(COUNTA($E$1:ResourceAction[[#This Row],[Resource]])-2)</calculatedColumnFormula>
    </tableColumn>
    <tableColumn id="12" name="Method ID" dataDxfId="364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63">
      <calculatedColumnFormula>IF(ResourceAction[[#This Row],[No]]="id","resource_action",ResourceAction[[#This Row],[No]])</calculatedColumnFormula>
    </tableColumn>
    <tableColumn id="15" name="Method Type" dataDxfId="362"/>
    <tableColumn id="16" name="IDN 1" dataDxfId="361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60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59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58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57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56"/>
    <tableColumn id="22" name="IDN2" dataDxfId="355"/>
    <tableColumn id="24" name="IDN3" dataDxfId="354"/>
    <tableColumn id="25" name="IDN4" dataDxfId="353"/>
    <tableColumn id="23" name="IDN5" dataDxfId="352"/>
    <tableColumn id="1" name="AID" dataDxfId="351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" totalsRowShown="0" headerRowDxfId="350" dataDxfId="349">
  <autoFilter ref="AA1:AL2"/>
  <tableColumns count="12">
    <tableColumn id="1" name="Action Name" dataDxfId="348"/>
    <tableColumn id="3" name="Action" dataDxfId="347">
      <calculatedColumnFormula>VLOOKUP(ActionListNData[[#This Row],[Action Name]],ResourceAction[[Display]:[No]],3,0)</calculatedColumnFormula>
    </tableColumn>
    <tableColumn id="5" name="Resource List" dataDxfId="346"/>
    <tableColumn id="6" name="Resource Data" dataDxfId="345"/>
    <tableColumn id="9" name="Primary List" dataDxfId="344">
      <calculatedColumnFormula>'Table Seed Map'!$A$37&amp;"-"&amp;-1+COUNTA($AC$1:ActionListNData[[#This Row],[Resource List]])</calculatedColumnFormula>
    </tableColumn>
    <tableColumn id="10" name="List ID" dataDxfId="343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42">
      <calculatedColumnFormula>ActionListNData[[#This Row],[Action]]</calculatedColumnFormula>
    </tableColumn>
    <tableColumn id="4" name="List" dataDxfId="341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40">
      <calculatedColumnFormula>'Table Seed Map'!$A$38&amp;"-"&amp;-1+COUNTA($AD$1:ActionListNData[[#This Row],[Resource Data]])</calculatedColumnFormula>
    </tableColumn>
    <tableColumn id="12" name="Data ID" dataDxfId="339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38">
      <calculatedColumnFormula>ActionListNData[[#This Row],[Action]]</calculatedColumnFormula>
    </tableColumn>
    <tableColumn id="2" name="Data" dataDxfId="337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36" dataDxfId="335">
  <autoFilter ref="AN1:AS2"/>
  <tableColumns count="6">
    <tableColumn id="1" name="Action Name for Attr" dataDxfId="334"/>
    <tableColumn id="5" name="Primary" dataDxfId="333">
      <calculatedColumnFormula>'Table Seed Map'!$A$36&amp;"-"&amp;(COUNTA($AN$2:ActionAttr[[#This Row],[Action Name for Attr]]))</calculatedColumnFormula>
    </tableColumn>
    <tableColumn id="6" name="No" dataDxfId="332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31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30"/>
    <tableColumn id="3" name="Value" dataDxfId="329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7" totalsRowShown="0" headerRowDxfId="14" dataDxfId="13">
  <autoFilter ref="A1:K7"/>
  <tableColumns count="11">
    <tableColumn id="1" name="Primary" dataDxfId="12">
      <calculatedColumnFormula>'Table Seed Map'!$A$11&amp;"-"&amp;(COUNTA($F$1:ResourceForms[[#This Row],[Resource]])-2)</calculatedColumnFormula>
    </tableColumn>
    <tableColumn id="11" name="FormName" dataDxfId="11">
      <calculatedColumnFormula>ResourceForms[[#This Row],[Resource Name]]&amp;"/"&amp;ResourceForms[[#This Row],[Name]]</calculatedColumnFormula>
    </tableColumn>
    <tableColumn id="10" name="No" dataDxfId="10">
      <calculatedColumnFormula>COUNTA($A$1:ResourceForms[[#This Row],[Primary]])-2</calculatedColumnFormula>
    </tableColumn>
    <tableColumn id="2" name="Resource Name" dataDxfId="9"/>
    <tableColumn id="12" name="ID" dataDxfId="8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7">
      <calculatedColumnFormula>IFERROR(VLOOKUP(ResourceForms[[#This Row],[Resource Name]],ResourceTable[[RName]:[No]],3,0),"resource")</calculatedColumnFormula>
    </tableColumn>
    <tableColumn id="4" name="Name" dataDxfId="6"/>
    <tableColumn id="5" name="Description" dataDxfId="5"/>
    <tableColumn id="6" name="Title" dataDxfId="4"/>
    <tableColumn id="7" name="Action Text" dataDxfId="3"/>
    <tableColumn id="8" name="Form ID" dataDxfId="2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20" headerRowDxfId="328" dataDxfId="327">
  <autoFilter ref="M1:BA20"/>
  <tableColumns count="41">
    <tableColumn id="23" name="Primary" dataDxfId="326">
      <calculatedColumnFormula>'Table Seed Map'!$A$12&amp;"-"&amp;FormFields[[#This Row],[No]]</calculatedColumnFormula>
    </tableColumn>
    <tableColumn id="1" name="Form Name" totalsRowLabel="Total" dataDxfId="325"/>
    <tableColumn id="44" name="No" dataDxfId="324">
      <calculatedColumnFormula>COUNTA($N$1:FormFields[[#This Row],[Form Name]])-1</calculatedColumnFormula>
    </tableColumn>
    <tableColumn id="24" name="Field Name" dataDxfId="323">
      <calculatedColumnFormula>FormFields[[#This Row],[Form Name]]&amp;"/"&amp;FormFields[[#This Row],[Name]]</calculatedColumnFormula>
    </tableColumn>
    <tableColumn id="11" name="ID" dataDxfId="32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21">
      <calculatedColumnFormula>IFERROR(VLOOKUP(FormFields[[#This Row],[Form Name]],ResourceForms[[FormName]:[ID]],4,0),"resource_form")</calculatedColumnFormula>
    </tableColumn>
    <tableColumn id="3" name="Name" dataDxfId="320"/>
    <tableColumn id="4" name="Type" dataDxfId="319"/>
    <tableColumn id="5" name="Label" dataDxfId="318"/>
    <tableColumn id="6" name="Rel" dataDxfId="317"/>
    <tableColumn id="7" name="Rel1" dataDxfId="316"/>
    <tableColumn id="8" name="Rel2" dataDxfId="315"/>
    <tableColumn id="9" name="Rel3" dataDxfId="314"/>
    <tableColumn id="45" name="Primary FD" dataDxfId="313">
      <calculatedColumnFormula>'Table Seed Map'!$A$13&amp;"-"&amp;FormFields[[#This Row],[NO2]]</calculatedColumnFormula>
    </tableColumn>
    <tableColumn id="46" name="NO2" dataDxfId="312">
      <calculatedColumnFormula>COUNTIFS($AB$1:FormFields[[#This Row],[Exists]],1)-1</calculatedColumnFormula>
    </tableColumn>
    <tableColumn id="49" name="Exists" dataDxfId="311">
      <calculatedColumnFormula>IF(AND(FormFields[[#This Row],[Attribute]]="",FormFields[[#This Row],[Rel]]=""),0,1)</calculatedColumnFormula>
    </tableColumn>
    <tableColumn id="47" name="NO3" dataDxfId="31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09">
      <calculatedColumnFormula>IF(FormFields[[#This Row],[ID]]="id","form_field",FormFields[[#This Row],[ID]])</calculatedColumnFormula>
    </tableColumn>
    <tableColumn id="40" name="Attribute" dataDxfId="308">
      <calculatedColumnFormula>IF(FormFields[[#This Row],[No]]=0,"attribute",FormFields[[#This Row],[Name]])</calculatedColumnFormula>
    </tableColumn>
    <tableColumn id="12" name="Relation" dataDxfId="30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0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0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04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303">
      <calculatedColumnFormula>IF(OR(FormFields[[#This Row],[Option Type]]="",FormFields[[#This Row],[Option Type]]="type"),0,1)</calculatedColumnFormula>
    </tableColumn>
    <tableColumn id="50" name="Primary FO" dataDxfId="302">
      <calculatedColumnFormula>'Table Seed Map'!$A$14&amp;"-"&amp;FormFields[[#This Row],[NO4]]</calculatedColumnFormula>
    </tableColumn>
    <tableColumn id="51" name="NO4" dataDxfId="301">
      <calculatedColumnFormula>COUNTIF($AJ$2:FormFields[[#This Row],[Exists FO]],1)</calculatedColumnFormula>
    </tableColumn>
    <tableColumn id="53" name="NO5" dataDxfId="30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99">
      <calculatedColumnFormula>IF(FormFields[[#This Row],[ID]]="id","form_field",FormFields[[#This Row],[ID]])</calculatedColumnFormula>
    </tableColumn>
    <tableColumn id="18" name="Option Type" dataDxfId="298"/>
    <tableColumn id="19" name="Detail" dataDxfId="297"/>
    <tableColumn id="20" name="Value Attr" dataDxfId="296"/>
    <tableColumn id="21" name="Label Attr" dataDxfId="295"/>
    <tableColumn id="22" name="Preload" dataDxfId="294"/>
    <tableColumn id="67" name="Exists FL" dataDxfId="293">
      <calculatedColumnFormula>IF(OR(FormFields[[#This Row],[Colspan]]="",FormFields[[#This Row],[Colspan]]="colspan"),0,1)</calculatedColumnFormula>
    </tableColumn>
    <tableColumn id="68" name="Primary FL" dataDxfId="292">
      <calculatedColumnFormula>'Table Seed Map'!$A$19&amp;"-"&amp;FormFields[[#This Row],[NO8]]</calculatedColumnFormula>
    </tableColumn>
    <tableColumn id="69" name="NO8" dataDxfId="291">
      <calculatedColumnFormula>COUNTIF($AT$1:FormFields[[#This Row],[Exists FL]],1)</calculatedColumnFormula>
    </tableColumn>
    <tableColumn id="70" name="FL ID" dataDxfId="29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89">
      <calculatedColumnFormula>FormFields[Form]</calculatedColumnFormula>
    </tableColumn>
    <tableColumn id="42" name="Layout Field ID" dataDxfId="288">
      <calculatedColumnFormula>IF(FormFields[[#This Row],[ID]]="id","form_field",FormFields[[#This Row],[ID]])</calculatedColumnFormula>
    </tableColumn>
    <tableColumn id="43" name="Colspan" dataDxfId="287"/>
    <tableColumn id="16" name="Field ID" dataDxfId="286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2" totalsRowShown="0" headerRowDxfId="285" dataDxfId="284">
  <autoFilter ref="BC1:BH2"/>
  <tableColumns count="6">
    <tableColumn id="1" name="ATTR Field" dataDxfId="283"/>
    <tableColumn id="5" name="Primary" dataDxfId="282">
      <calculatedColumnFormula>'Table Seed Map'!$A$15&amp;"-"&amp;(-1+COUNTA($BC$1:FieldAttrs[[#This Row],[ATTR Field]]))</calculatedColumnFormula>
    </tableColumn>
    <tableColumn id="6" name="No" dataDxfId="281">
      <calculatedColumnFormula>IF(FieldAttrs[[#This Row],[ATTR Field]]="","id",-1+COUNTA($BC$1:FieldAttrs[[#This Row],[ATTR Field]])+VLOOKUP('Table Seed Map'!$A$15,SeedMap[],9,0))</calculatedColumnFormula>
    </tableColumn>
    <tableColumn id="4" name="Field" dataDxfId="280">
      <calculatedColumnFormula>IFERROR(VLOOKUP(FieldAttrs[ATTR Field],FormFields[[Field Name]:[ID]],2,0),"form_field")</calculatedColumnFormula>
    </tableColumn>
    <tableColumn id="2" name="Name" dataDxfId="279"/>
    <tableColumn id="3" name="Value" dataDxfId="27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2" totalsRowShown="0" headerRowDxfId="277" dataDxfId="276">
  <autoFilter ref="BJ1:BS2"/>
  <tableColumns count="10">
    <tableColumn id="1" name="Validation Field" dataDxfId="275"/>
    <tableColumn id="10" name="ID No" dataDxfId="274">
      <calculatedColumnFormula>COUNTA($BJ$2:FieldValidations[[#This Row],[Validation Field]])</calculatedColumnFormula>
    </tableColumn>
    <tableColumn id="8" name="Primary" dataDxfId="273">
      <calculatedColumnFormula>'Table Seed Map'!$A$17&amp;"-"&amp;FieldValidations[[#This Row],[ID No]]</calculatedColumnFormula>
    </tableColumn>
    <tableColumn id="9" name="No" dataDxfId="272">
      <calculatedColumnFormula>IF(FieldValidations[[#This Row],[ID No]]=0,"id",FieldValidations[[#This Row],[ID No]]+VLOOKUP('Table Seed Map'!$A$17,SeedMap[],9,0))</calculatedColumnFormula>
    </tableColumn>
    <tableColumn id="7" name="Field" dataDxfId="271">
      <calculatedColumnFormula>VLOOKUP(FieldValidations[Validation Field],FormFields[[Field Name]:[ID]],2,0)</calculatedColumnFormula>
    </tableColumn>
    <tableColumn id="2" name="Rule" dataDxfId="270"/>
    <tableColumn id="3" name="Message" dataDxfId="269"/>
    <tableColumn id="4" name="Arg 1" dataDxfId="268"/>
    <tableColumn id="5" name="Arg 2" dataDxfId="267"/>
    <tableColumn id="6" name="Arg 3" dataDxfId="266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65">
  <autoFilter ref="CF1:CZ2"/>
  <tableColumns count="21">
    <tableColumn id="21" name="No" dataDxfId="264">
      <calculatedColumnFormula>COUNTA($CH$1:FormDefault[[#This Row],[Form for Default]])-1</calculatedColumnFormula>
    </tableColumn>
    <tableColumn id="1" name="Primary" dataDxfId="263">
      <calculatedColumnFormula>'Table Seed Map'!$A$21&amp;"-"&amp;FormDefault[[#This Row],[No]]</calculatedColumnFormula>
    </tableColumn>
    <tableColumn id="2" name="Form for Default" dataDxfId="262"/>
    <tableColumn id="3" name="ID" dataDxfId="26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60">
      <calculatedColumnFormula>IFERROR(VLOOKUP(FormDefault[[#This Row],[Form for Default]],ResourceForms[[FormName]:[ID]],4,0),"resource_form")</calculatedColumnFormula>
    </tableColumn>
    <tableColumn id="4" name="Name" dataDxfId="259"/>
    <tableColumn id="5" name="Value" dataDxfId="258"/>
    <tableColumn id="6" name="Relation" dataDxfId="257">
      <calculatedColumnFormula>IFERROR(VLOOKUP(FormDefault[[#This Row],[R]],RelationTable[[Display]:[RELID]],2,0),"")</calculatedColumnFormula>
    </tableColumn>
    <tableColumn id="7" name="Attribute" dataDxfId="256"/>
    <tableColumn id="20" name="REL1" dataDxfId="255">
      <calculatedColumnFormula>IFERROR(VLOOKUP(FormDefault[[#This Row],[R1]],RelationTable[[Display]:[RELID]],2,0),"")</calculatedColumnFormula>
    </tableColumn>
    <tableColumn id="19" name="REL2" dataDxfId="254">
      <calculatedColumnFormula>IFERROR(VLOOKUP(FormDefault[[#This Row],[R2]],RelationTable[[Display]:[RELID]],2,0),"")</calculatedColumnFormula>
    </tableColumn>
    <tableColumn id="18" name="REL3" dataDxfId="253">
      <calculatedColumnFormula>IFERROR(VLOOKUP(FormDefault[[#This Row],[R3]],RelationTable[[Display]:[RELID]],2,0),"")</calculatedColumnFormula>
    </tableColumn>
    <tableColumn id="13" name="Method" dataDxfId="252"/>
    <tableColumn id="17" name="R" dataDxfId="251"/>
    <tableColumn id="14" name="R1" dataDxfId="250"/>
    <tableColumn id="15" name="R2" dataDxfId="249"/>
    <tableColumn id="16" name="R3" dataDxfId="248"/>
    <tableColumn id="8" name="R12" dataDxfId="247"/>
    <tableColumn id="9" name="R22" dataDxfId="246"/>
    <tableColumn id="10" name="R32" dataDxfId="245"/>
    <tableColumn id="11" name="Method2" dataDxfId="244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43" dataDxfId="242">
  <autoFilter ref="BU1:CD2"/>
  <tableColumns count="10">
    <tableColumn id="1" name="Primary" dataDxfId="241">
      <calculatedColumnFormula>'Table Seed Map'!$A$22&amp;"-"&amp;COUNTA($BV$1:FormCollection[[#This Row],[Main Form for Collection]])-1</calculatedColumnFormula>
    </tableColumn>
    <tableColumn id="2" name="Main Form for Collection" dataDxfId="240"/>
    <tableColumn id="3" name="Collection Form" dataDxfId="239"/>
    <tableColumn id="4" name="Relation" dataDxfId="238"/>
    <tableColumn id="5" name="Foreign Field" dataDxfId="237"/>
    <tableColumn id="6" name="No" dataDxfId="23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35">
      <calculatedColumnFormula>IFERROR(VLOOKUP(FormCollection[Main Form for Collection],ResourceForms[[FormName]:[ID]],4,0),"resource_form")</calculatedColumnFormula>
    </tableColumn>
    <tableColumn id="8" name="Collection Form2" dataDxfId="234">
      <calculatedColumnFormula>IFERROR(VLOOKUP(FormCollection[Collection Form],ResourceForms[[FormName]:[ID]],4,0),"collection_form")</calculatedColumnFormula>
    </tableColumn>
    <tableColumn id="9" name="Relation3" dataDxfId="233">
      <calculatedColumnFormula>IFERROR(VLOOKUP(FormCollection[Relation],RelationTable[[Display]:[RELID]],2,0),"")</calculatedColumnFormula>
    </tableColumn>
    <tableColumn id="10" name="Foreign" dataDxfId="232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231" dataDxfId="230">
  <autoFilter ref="DB1:DL2"/>
  <tableColumns count="11">
    <tableColumn id="1" name="Field for Depend" dataDxfId="229"/>
    <tableColumn id="9" name="Primary" dataDxfId="228">
      <calculatedColumnFormula>'Table Seed Map'!$A$18&amp;"-"&amp;COUNTA($DB$2:FieldDepends[[#This Row],[Field for Depend]])</calculatedColumnFormula>
    </tableColumn>
    <tableColumn id="10" name="ID" dataDxfId="22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26">
      <calculatedColumnFormula>IFERROR(VLOOKUP(FieldDepends[[#This Row],[Field for Depend]],FormFields[[Field Name]:[ID]],2,0),"form_field")</calculatedColumnFormula>
    </tableColumn>
    <tableColumn id="2" name="Field name - depends on" dataDxfId="225"/>
    <tableColumn id="3" name="Database Field" dataDxfId="224"/>
    <tableColumn id="4" name="Operator" dataDxfId="223"/>
    <tableColumn id="5" name="Compare Method" dataDxfId="222"/>
    <tableColumn id="11" name="Method" dataDxfId="221"/>
    <tableColumn id="6" name="Value DB Field" dataDxfId="220"/>
    <tableColumn id="7" name="Ignore Null" dataDxfId="219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1" totalsRowShown="0" dataDxfId="456">
  <autoFilter ref="A1:J21"/>
  <tableColumns count="10">
    <tableColumn id="1" name="Column" dataDxfId="455"/>
    <tableColumn id="2" name="Type" dataDxfId="454"/>
    <tableColumn id="3" name="Name" dataDxfId="453"/>
    <tableColumn id="4" name="Length/Enum" dataDxfId="452"/>
    <tableColumn id="5" name="Method1" dataDxfId="451"/>
    <tableColumn id="6" name="Method2" dataDxfId="450"/>
    <tableColumn id="7" name="Method3" dataDxfId="449"/>
    <tableColumn id="8" name="Method4" dataDxfId="448"/>
    <tableColumn id="9" name="Method5" dataDxfId="447"/>
    <tableColumn id="10" name="Usage" dataDxfId="44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218" dataDxfId="217">
  <autoFilter ref="DN1:DW2"/>
  <tableColumns count="10">
    <tableColumn id="1" name="Field for Dynamic" dataDxfId="216"/>
    <tableColumn id="9" name="Primary" dataDxfId="215">
      <calculatedColumnFormula>'Table Seed Map'!$A$16&amp;"-"&amp;COUNTA($DN$2:FieldDynamic[[#This Row],[Field for Dynamic]])</calculatedColumnFormula>
    </tableColumn>
    <tableColumn id="10" name="ID" dataDxfId="21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13">
      <calculatedColumnFormula>IFERROR(VLOOKUP(FieldDynamic[[#This Row],[Field for Dynamic]],FormFields[[Field Name]:[ID]],2,0),"form_field")</calculatedColumnFormula>
    </tableColumn>
    <tableColumn id="2" name="Type" dataDxfId="212"/>
    <tableColumn id="3" name="Depend Field" dataDxfId="211"/>
    <tableColumn id="4" name="Alter On" dataDxfId="210"/>
    <tableColumn id="5" name="Value" dataDxfId="209"/>
    <tableColumn id="11" name="Values" dataDxfId="208"/>
    <tableColumn id="6" name="Operator" dataDxfId="207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206" dataDxfId="205">
  <autoFilter ref="DY1:ES2"/>
  <tableColumns count="21">
    <tableColumn id="1" name="Form for Data Mapping" dataDxfId="204"/>
    <tableColumn id="2" name="Resource Data" dataDxfId="203"/>
    <tableColumn id="3" name="Form Field" dataDxfId="202"/>
    <tableColumn id="4" name="Primary" dataDxfId="201">
      <calculatedColumnFormula>'Table Seed Map'!$A$20&amp;"-"&amp;-1+COUNTA($DY$1:FormDataMapping[[#This Row],[Form for Data Mapping]])</calculatedColumnFormula>
    </tableColumn>
    <tableColumn id="5" name="ID" dataDxfId="20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99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98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97">
      <calculatedColumnFormula>IF(FormDataMapping[[#This Row],[Form for Data Mapping]]="","form_field",VLOOKUP(FormDataMapping[Form Field],FormFields[[Field Name]:[ID]],2,0))</calculatedColumnFormula>
    </tableColumn>
    <tableColumn id="9" name="Attribute" dataDxfId="196"/>
    <tableColumn id="10" name="R0" dataDxfId="195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94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93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92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91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90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89"/>
    <tableColumn id="17" name="Rel1" dataDxfId="188"/>
    <tableColumn id="18" name="Rel2" dataDxfId="187"/>
    <tableColumn id="19" name="Rel3" dataDxfId="186"/>
    <tableColumn id="20" name="Rel4" dataDxfId="185"/>
    <tableColumn id="21" name="Rel5" dataDxfId="184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83">
  <autoFilter ref="A1:H44"/>
  <tableColumns count="8">
    <tableColumn id="1" name="No" dataDxfId="182">
      <calculatedColumnFormula>IFERROR($A1+1,1)</calculatedColumnFormula>
    </tableColumn>
    <tableColumn id="2" name="Filename" dataDxfId="181"/>
    <tableColumn id="9" name="Table" dataDxfId="180">
      <calculatedColumnFormula>MID(MigrationRenamer[Filename],26,LEN(MigrationRenamer[Filename])-35)</calculatedColumnFormula>
    </tableColumn>
    <tableColumn id="3" name="Date Part" dataDxfId="179">
      <calculatedColumnFormula>"2019_01_24_"</calculatedColumnFormula>
    </tableColumn>
    <tableColumn id="4" name="Sequence" dataDxfId="178">
      <calculatedColumnFormula>TEXT(MATCH(MigrationRenamer[[#This Row],[Table]],Tables[Table],0),"000000")</calculatedColumnFormula>
    </tableColumn>
    <tableColumn id="5" name="Name Part" dataDxfId="177">
      <calculatedColumnFormula>RIGHT(MigrationRenamer[Filename],LEN(MigrationRenamer[Filename])-LEN(MigrationRenamer[Date Part])-LEN(MigrationRenamer[Sequence]))</calculatedColumnFormula>
    </tableColumn>
    <tableColumn id="6" name="New Name" dataDxfId="176">
      <calculatedColumnFormula>MigrationRenamer[Date Part]&amp;MigrationRenamer[Sequence]&amp;MigrationRenamer[Name Part]</calculatedColumnFormula>
    </tableColumn>
    <tableColumn id="7" name="CMD" dataDxfId="175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4" totalsRowShown="0" dataDxfId="174">
  <autoFilter ref="A1:K4"/>
  <tableColumns count="11">
    <tableColumn id="1" name="Primary" dataDxfId="173">
      <calculatedColumnFormula>'Table Seed Map'!$A$24&amp;"-"&amp;COUNTA($B$1:ResourceList[[#This Row],[Resource Name]])-1</calculatedColumnFormula>
    </tableColumn>
    <tableColumn id="2" name="Resource Name" dataDxfId="172"/>
    <tableColumn id="8" name="ListDisplayName" dataDxfId="171">
      <calculatedColumnFormula>ResourceList[[#This Row],[Resource Name]]&amp;"/"&amp;ResourceList[[#This Row],[Name]]</calculatedColumnFormula>
    </tableColumn>
    <tableColumn id="3" name="No" dataDxfId="17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69">
      <calculatedColumnFormula>IFERROR(VLOOKUP(ResourceList[[#This Row],[Resource Name]],ResourceTable[[RName]:[No]],3,0),"resource")</calculatedColumnFormula>
    </tableColumn>
    <tableColumn id="4" name="Name" dataDxfId="168"/>
    <tableColumn id="5" name="Description" dataDxfId="167"/>
    <tableColumn id="6" name="Title" dataDxfId="166"/>
    <tableColumn id="11" name="Identity" dataDxfId="165"/>
    <tableColumn id="10" name="Page" dataDxfId="164"/>
    <tableColumn id="9" name="ID" dataDxfId="163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" totalsRowShown="0" headerRowDxfId="162" dataDxfId="161">
  <autoFilter ref="M1:AD2"/>
  <tableColumns count="18">
    <tableColumn id="1" name="List Name" dataDxfId="160"/>
    <tableColumn id="2" name="LID" dataDxfId="159">
      <calculatedColumnFormula>VLOOKUP(ListExtras[[#This Row],[List Name]],ResourceList[[ListDisplayName]:[No]],2,0)</calculatedColumnFormula>
    </tableColumn>
    <tableColumn id="3" name="Scope Name" dataDxfId="158"/>
    <tableColumn id="4" name="Relation Name" dataDxfId="157"/>
    <tableColumn id="5" name="R1 Name" dataDxfId="156"/>
    <tableColumn id="6" name="R2 Name" dataDxfId="155"/>
    <tableColumn id="7" name="R3 Name" dataDxfId="154"/>
    <tableColumn id="8" name="Scope Primary" dataDxfId="153">
      <calculatedColumnFormula>'Table Seed Map'!$A$25&amp;"-"&amp;COUNT($W$1:ListExtras[[#This Row],[Scope ID]])</calculatedColumnFormula>
    </tableColumn>
    <tableColumn id="9" name="Scope Table ID" dataDxfId="15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51">
      <calculatedColumnFormula>IF(ListExtras[[#This Row],[LID]]=0,"resource_list",ListExtras[[#This Row],[LID]])</calculatedColumnFormula>
    </tableColumn>
    <tableColumn id="11" name="Scope ID" dataDxfId="15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49">
      <calculatedColumnFormula>'Table Seed Map'!$A$26&amp;"-"&amp;COUNT($AA$1:ListExtras[[#This Row],[Relation]])</calculatedColumnFormula>
    </tableColumn>
    <tableColumn id="13" name="Relation Table ID" dataDxfId="14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47">
      <calculatedColumnFormula>IF(ListExtras[[#This Row],[LID]]=0,"resource_list",ListExtras[[#This Row],[LID]])</calculatedColumnFormula>
    </tableColumn>
    <tableColumn id="15" name="Relation" dataDxfId="146">
      <calculatedColumnFormula>IFERROR(VLOOKUP(ListExtras[[#This Row],[Relation Name]],RelationTable[[Display]:[RELID]],2,0),IF(ListExtras[[#This Row],[LID]]=0,"relation",""))</calculatedColumnFormula>
    </tableColumn>
    <tableColumn id="16" name="R1" dataDxfId="145">
      <calculatedColumnFormula>IFERROR(VLOOKUP(ListExtras[[#This Row],[R1 Name]],RelationTable[[Display]:[RELID]],2,0),IF(ListExtras[[#This Row],[LID]]=0,"nest_relation1",""))</calculatedColumnFormula>
    </tableColumn>
    <tableColumn id="17" name="R2" dataDxfId="144">
      <calculatedColumnFormula>IFERROR(VLOOKUP(ListExtras[[#This Row],[R2 Name]],RelationTable[[Display]:[RELID]],2,0),IF(ListExtras[[#This Row],[LID]]=0,"nest_relation2",""))</calculatedColumnFormula>
    </tableColumn>
    <tableColumn id="18" name="R3" dataDxfId="14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42" dataDxfId="141">
  <autoFilter ref="AF1:AR2"/>
  <tableColumns count="13">
    <tableColumn id="13" name="Primary" dataDxfId="140">
      <calculatedColumnFormula>'Table Seed Map'!$A$28&amp;"-"&amp;COUNTA($AH$1:ListSearch[[#This Row],[No]])-2</calculatedColumnFormula>
    </tableColumn>
    <tableColumn id="1" name="List Name for Search" dataDxfId="139"/>
    <tableColumn id="2" name="No" dataDxfId="13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37">
      <calculatedColumnFormula>IFERROR(VLOOKUP(ListSearch[[#This Row],[List Name for Search]],ResourceList[[ListDisplayName]:[No]],2,0),"resource_list")</calculatedColumnFormula>
    </tableColumn>
    <tableColumn id="4" name="Field" dataDxfId="136"/>
    <tableColumn id="5" name="REL" dataDxfId="13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3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3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3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31"/>
    <tableColumn id="10" name="Relation 1" dataDxfId="130"/>
    <tableColumn id="11" name="Relation 2" dataDxfId="129"/>
    <tableColumn id="12" name="Relation 3" dataDxfId="12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" totalsRowShown="0" headerRowDxfId="127" dataDxfId="126">
  <autoFilter ref="AT1:BE2"/>
  <tableColumns count="12">
    <tableColumn id="13" name="Primary" dataDxfId="125">
      <calculatedColumnFormula>'Table Seed Map'!$A$27&amp;"-"&amp;COUNTA($AV$1:ListLayout[[#This Row],[No]])-2</calculatedColumnFormula>
    </tableColumn>
    <tableColumn id="1" name="List Name for Layout" dataDxfId="124"/>
    <tableColumn id="2" name="No" dataDxfId="12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22">
      <calculatedColumnFormula>IFERROR(VLOOKUP(ListLayout[[#This Row],[List Name for Layout]],ResourceList[[ListDisplayName]:[No]],2,0),"resource_list")</calculatedColumnFormula>
    </tableColumn>
    <tableColumn id="14" name="Label" dataDxfId="121"/>
    <tableColumn id="4" name="Field" dataDxfId="120"/>
    <tableColumn id="5" name="REL" dataDxfId="11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1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1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16"/>
    <tableColumn id="10" name="Relation 1" dataDxfId="115"/>
    <tableColumn id="11" name="Relation 2" dataDxfId="11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2" totalsRowShown="0" dataDxfId="113">
  <autoFilter ref="A1:J2"/>
  <tableColumns count="10">
    <tableColumn id="1" name="Primary" dataDxfId="112">
      <calculatedColumnFormula>'Table Seed Map'!$A$29&amp;"-"&amp;COUNTA($E$1:ResourceData[[#This Row],[Resource]])-2</calculatedColumnFormula>
    </tableColumn>
    <tableColumn id="2" name="Resource Name" dataDxfId="111"/>
    <tableColumn id="8" name="DataDisplayName" dataDxfId="110">
      <calculatedColumnFormula>ResourceData[[#This Row],[Resource Name]]&amp;"/"&amp;ResourceData[[#This Row],[Name]]</calculatedColumnFormula>
    </tableColumn>
    <tableColumn id="3" name="No" dataDxfId="10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08">
      <calculatedColumnFormula>IFERROR(VLOOKUP(ResourceData[[#This Row],[Resource Name]],ResourceTable[[RName]:[No]],3,0),"resource")</calculatedColumnFormula>
    </tableColumn>
    <tableColumn id="4" name="Name" dataDxfId="107"/>
    <tableColumn id="5" name="Description" dataDxfId="106"/>
    <tableColumn id="6" name="Title Field" dataDxfId="105"/>
    <tableColumn id="9" name="Method" dataDxfId="104"/>
    <tableColumn id="10" name="ID" dataDxfId="103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102" dataDxfId="101">
  <autoFilter ref="L1:AC2"/>
  <tableColumns count="18">
    <tableColumn id="1" name="Data Name" dataDxfId="100"/>
    <tableColumn id="2" name="DID" dataDxfId="99">
      <calculatedColumnFormula>VLOOKUP(DataExtra[[#This Row],[Data Name]],ResourceData[[DataDisplayName]:[No]],2,0)</calculatedColumnFormula>
    </tableColumn>
    <tableColumn id="3" name="Scope Name" dataDxfId="98"/>
    <tableColumn id="4" name="Relation Name" dataDxfId="97"/>
    <tableColumn id="5" name="R1 Name" dataDxfId="96"/>
    <tableColumn id="6" name="R2 Name" dataDxfId="95"/>
    <tableColumn id="7" name="R3 Name" dataDxfId="94"/>
    <tableColumn id="8" name="Scope Primary" dataDxfId="93">
      <calculatedColumnFormula>'Table Seed Map'!$A$30&amp;"-"&amp;COUNT($V$1:DataExtra[[#This Row],[Scope ID]])</calculatedColumnFormula>
    </tableColumn>
    <tableColumn id="9" name="Scope Table ID" dataDxfId="9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91">
      <calculatedColumnFormula>IF(DataExtra[[#This Row],[DID]]=0,"resource_data",DataExtra[[#This Row],[DID]])</calculatedColumnFormula>
    </tableColumn>
    <tableColumn id="11" name="Scope ID" dataDxfId="9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89">
      <calculatedColumnFormula>'Table Seed Map'!$A$31&amp;"-"&amp;COUNT($Z$1:DataExtra[[#This Row],[Relation]])</calculatedColumnFormula>
    </tableColumn>
    <tableColumn id="13" name="Relation Table ID" dataDxfId="8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87">
      <calculatedColumnFormula>IF(DataExtra[[#This Row],[DID]]=0,"resource_data",DataExtra[[#This Row],[DID]])</calculatedColumnFormula>
    </tableColumn>
    <tableColumn id="15" name="Relation" dataDxfId="86">
      <calculatedColumnFormula>IFERROR(VLOOKUP(DataExtra[[#This Row],[Relation Name]],RelationTable[[Display]:[RELID]],2,0),IF(DataExtra[[#This Row],[DID]]=0,"relation",""))</calculatedColumnFormula>
    </tableColumn>
    <tableColumn id="16" name="R1" dataDxfId="85">
      <calculatedColumnFormula>IFERROR(VLOOKUP(DataExtra[[#This Row],[R1 Name]],RelationTable[[Display]:[RELID]],2,0),IF(DataExtra[[#This Row],[DID]]=0,"nest_relation1",""))</calculatedColumnFormula>
    </tableColumn>
    <tableColumn id="17" name="R2" dataDxfId="84">
      <calculatedColumnFormula>IFERROR(VLOOKUP(DataExtra[[#This Row],[R2 Name]],RelationTable[[Display]:[RELID]],2,0),IF(DataExtra[[#This Row],[DID]]=0,"nest_relation2",""))</calculatedColumnFormula>
    </tableColumn>
    <tableColumn id="18" name="R3" dataDxfId="8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82" dataDxfId="81">
  <autoFilter ref="AE1:AN2"/>
  <tableColumns count="10">
    <tableColumn id="13" name="Primary" dataDxfId="80">
      <calculatedColumnFormula>'Table Seed Map'!$A$32&amp;"-"&amp;COUNTA($AF$1:DataViewSection[[#This Row],[Data Name for Layout]])-1</calculatedColumnFormula>
    </tableColumn>
    <tableColumn id="1" name="Data Name for Layout" dataDxfId="79"/>
    <tableColumn id="17" name="DataSectionDisplayName" dataDxfId="7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7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76">
      <calculatedColumnFormula>IFERROR(VLOOKUP(DataViewSection[[#This Row],[Data Name for Layout]],ResourceData[[DataDisplayName]:[No]],2,0),"resource_data")</calculatedColumnFormula>
    </tableColumn>
    <tableColumn id="14" name="Title" dataDxfId="75"/>
    <tableColumn id="15" name="Title Field" dataDxfId="74"/>
    <tableColumn id="16" name="Rel" dataDxfId="73">
      <calculatedColumnFormula>IFERROR(VLOOKUP(DataViewSection[[#This Row],[Relation]],RelationTable[[Display]:[RELID]],2,0),"")</calculatedColumnFormula>
    </tableColumn>
    <tableColumn id="4" name="Colspan" dataDxfId="72"/>
    <tableColumn id="9" name="Relation" dataDxfId="7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" totalsRowShown="0" dataDxfId="41">
  <autoFilter ref="A1:K41">
    <filterColumn colId="0">
      <filters>
        <filter val="token_counter"/>
      </filters>
    </filterColumn>
  </autoFilter>
  <tableColumns count="11">
    <tableColumn id="2" name="Table" dataDxfId="40"/>
    <tableColumn id="3" name="Field" dataDxfId="39"/>
    <tableColumn id="5" name="Type" dataDxfId="38">
      <calculatedColumnFormula>VLOOKUP(TableFields[Field],Columns[],2,0)&amp;"("</calculatedColumnFormula>
    </tableColumn>
    <tableColumn id="4" name="Name" dataDxfId="37">
      <calculatedColumnFormula>IF(VLOOKUP(TableFields[Field],Columns[],3,0)&lt;&gt;"","'"&amp;VLOOKUP(TableFields[Field],Columns[],3,0)&amp;"'","")</calculatedColumnFormula>
    </tableColumn>
    <tableColumn id="6" name="Arg2" dataDxfId="36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35">
      <calculatedColumnFormula>IF(VLOOKUP(TableFields[Field],Columns[],5,0)=0,"","-&gt;"&amp;VLOOKUP(TableFields[Field],Columns[],5,0))</calculatedColumnFormula>
    </tableColumn>
    <tableColumn id="8" name="Method2" dataDxfId="34">
      <calculatedColumnFormula>IF(VLOOKUP(TableFields[Field],Columns[],6,0)=0,"","-&gt;"&amp;VLOOKUP(TableFields[Field],Columns[],6,0))</calculatedColumnFormula>
    </tableColumn>
    <tableColumn id="9" name="Method3" dataDxfId="33">
      <calculatedColumnFormula>IF(VLOOKUP(TableFields[Field],Columns[],7,0)=0,"","-&gt;"&amp;VLOOKUP(TableFields[Field],Columns[],7,0))</calculatedColumnFormula>
    </tableColumn>
    <tableColumn id="10" name="Method4" dataDxfId="32">
      <calculatedColumnFormula>IF(VLOOKUP(TableFields[Field],Columns[],8,0)=0,"","-&gt;"&amp;VLOOKUP(TableFields[Field],Columns[],8,0))</calculatedColumnFormula>
    </tableColumn>
    <tableColumn id="11" name="Method5" dataDxfId="31">
      <calculatedColumnFormula>IF(VLOOKUP(TableFields[Field],Columns[],9,0)=0,"","-&gt;"&amp;VLOOKUP(TableFields[Field],Columns[],9,0))</calculatedColumnFormula>
    </tableColumn>
    <tableColumn id="12" name="Statement" dataDxfId="30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70" dataDxfId="69">
  <autoFilter ref="AP1:AW2"/>
  <tableColumns count="8">
    <tableColumn id="13" name="Primary" dataDxfId="68">
      <calculatedColumnFormula>'Table Seed Map'!$A$33&amp;"-"&amp;-1+COUNTA($AQ$1:DataViewSectionItem[[#This Row],[Data Section for Items]])</calculatedColumnFormula>
    </tableColumn>
    <tableColumn id="1" name="Data Section for Items" dataDxfId="67"/>
    <tableColumn id="2" name="No" dataDxfId="6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6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64"/>
    <tableColumn id="4" name="Attribute" dataDxfId="63"/>
    <tableColumn id="5" name="REL" dataDxfId="6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6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60" dataDxfId="59">
  <autoFilter ref="A1:H6"/>
  <tableColumns count="8">
    <tableColumn id="1" name="Type" dataDxfId="58"/>
    <tableColumn id="2" name="Table Name" dataDxfId="57"/>
    <tableColumn id="3" name="Count Field" dataDxfId="56"/>
    <tableColumn id="4" name="Count Reduce" dataDxfId="55"/>
    <tableColumn id="5" name="Records" dataDxfId="5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53"/>
    <tableColumn id="8" name="Name Field Position" dataDxfId="52"/>
    <tableColumn id="9" name="ID Field Position" dataDxfId="5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50" dataDxfId="49">
  <autoFilter ref="J1:P501"/>
  <tableColumns count="7">
    <tableColumn id="1" name="No" dataDxfId="48">
      <calculatedColumnFormula>IFERROR($J1+1,1)</calculatedColumnFormula>
    </tableColumn>
    <tableColumn id="2" name="Type" dataDxfId="47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6">
      <calculatedColumnFormula>IF(IDNMaps[[#This Row],[Type]]="","",COUNTIF($K$1:IDNMaps[[#This Row],[Type]],IDNMaps[[#This Row],[Type]]))</calculatedColumnFormula>
    </tableColumn>
    <tableColumn id="4" name="Primary" dataDxfId="45">
      <calculatedColumnFormula>IFERROR(VLOOKUP(IDNMaps[[#This Row],[Type]],RecordCount[],6,0)&amp;"-"&amp;IDNMaps[[#This Row],[Type Count]],"")</calculatedColumnFormula>
    </tableColumn>
    <tableColumn id="5" name="Name" dataDxfId="4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43">
      <calculatedColumnFormula>IF(IDNMaps[[#This Row],[Name]]="","","("&amp;IDNMaps[[#This Row],[Type]]&amp;") "&amp;IDNMaps[[#This Row],[Name]])</calculatedColumnFormula>
    </tableColumn>
    <tableColumn id="7" name="ID" dataDxfId="4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17" totalsRowShown="0" headerRowDxfId="445" dataDxfId="444">
  <autoFilter ref="A1:R17"/>
  <tableColumns count="18">
    <tableColumn id="19" name="TRCode" dataDxfId="443">
      <calculatedColumnFormula>TableData[Table Name]&amp;"-"&amp;(COUNTIF($B$1:TableData[[#This Row],[Table Name]],TableData[[#This Row],[Table Name]])-1)</calculatedColumnFormula>
    </tableColumn>
    <tableColumn id="1" name="Table Name" dataDxfId="442"/>
    <tableColumn id="2" name="Record No" dataDxfId="15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41"/>
    <tableColumn id="4" name="2" dataDxfId="440"/>
    <tableColumn id="5" name="3" dataDxfId="439"/>
    <tableColumn id="6" name="4" dataDxfId="438"/>
    <tableColumn id="7" name="5" dataDxfId="437"/>
    <tableColumn id="8" name="6" dataDxfId="436"/>
    <tableColumn id="9" name="7" dataDxfId="435"/>
    <tableColumn id="10" name="8" dataDxfId="434"/>
    <tableColumn id="11" name="9" dataDxfId="433"/>
    <tableColumn id="12" name="10" dataDxfId="432"/>
    <tableColumn id="13" name="11" dataDxfId="431"/>
    <tableColumn id="14" name="12" dataDxfId="430"/>
    <tableColumn id="15" name="13" dataDxfId="429"/>
    <tableColumn id="16" name="14" dataDxfId="428"/>
    <tableColumn id="17" name="15" dataDxfId="42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3" totalsRowShown="0" dataDxfId="426">
  <autoFilter ref="A1:K43"/>
  <tableColumns count="11">
    <tableColumn id="1" name="Name" dataDxfId="425"/>
    <tableColumn id="3" name="Table Name" dataDxfId="424"/>
    <tableColumn id="20" name="NS" dataDxfId="423">
      <calculatedColumnFormula>VLOOKUP(SeedMap[Table Name],Tables[],4,0)</calculatedColumnFormula>
    </tableColumn>
    <tableColumn id="21" name="Model" dataDxfId="422">
      <calculatedColumnFormula>VLOOKUP(SeedMap[Table Name],Tables[],5,0)</calculatedColumnFormula>
    </tableColumn>
    <tableColumn id="6" name="Data Table" dataDxfId="421"/>
    <tableColumn id="7" name="Data Range" dataDxfId="420"/>
    <tableColumn id="8" name="Skip Columns" dataDxfId="419"/>
    <tableColumn id="4" name="Query Method" dataDxfId="418"/>
    <tableColumn id="2" name="Last ID" dataDxfId="417"/>
    <tableColumn id="5" name="AI Change Query" dataDxfId="416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5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10" totalsRowShown="0" dataDxfId="29">
  <autoFilter ref="A1:M10"/>
  <tableColumns count="13">
    <tableColumn id="11" name="Primary" dataDxfId="28">
      <calculatedColumnFormula>Page&amp;"-"&amp;(COUNTA($E$1:ResourceTable[[#This Row],[Name]])-2)</calculatedColumnFormula>
    </tableColumn>
    <tableColumn id="12" name="RName" dataDxfId="27">
      <calculatedColumnFormula>ResourceTable[[#This Row],[Name]]</calculatedColumnFormula>
    </tableColumn>
    <tableColumn id="13" name="RID" dataDxfId="26">
      <calculatedColumnFormula>COUNTA($A$1:ResourceTable[[#This Row],[Primary]])-2</calculatedColumnFormula>
    </tableColumn>
    <tableColumn id="1" name="No" dataDxfId="25">
      <calculatedColumnFormula>IF(ResourceTable[[#This Row],[RID]]=0,"id",ResourceTable[[#This Row],[RID]]+IF(ISNUMBER(VLOOKUP(Page,SeedMap[],9,0)),VLOOKUP(Page,SeedMap[],9,0),0))</calculatedColumnFormula>
    </tableColumn>
    <tableColumn id="2" name="Name" dataDxfId="24"/>
    <tableColumn id="3" name="Description" dataDxfId="23"/>
    <tableColumn id="4" name="Title" dataDxfId="22"/>
    <tableColumn id="5" name="NS" dataDxfId="21">
      <calculatedColumnFormula>"Milestone\Appframe\Model"</calculatedColumnFormula>
    </tableColumn>
    <tableColumn id="6" name="Table" dataDxfId="20"/>
    <tableColumn id="8" name="Controller" dataDxfId="19"/>
    <tableColumn id="9" name="Controller NS" dataDxfId="18"/>
    <tableColumn id="7" name="Development" dataDxfId="17"/>
    <tableColumn id="10" name="RID2" dataDxfId="1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414">
  <autoFilter ref="O1:Z2"/>
  <tableColumns count="12">
    <tableColumn id="1" name="Select Resource for Default" dataDxfId="413"/>
    <tableColumn id="2" name="List" dataDxfId="412"/>
    <tableColumn id="3" name="Form" dataDxfId="411"/>
    <tableColumn id="4" name="Data" dataDxfId="410"/>
    <tableColumn id="5" name="FormWithData" dataDxfId="409"/>
    <tableColumn id="6" name="Primary" dataDxfId="408">
      <calculatedColumnFormula>'Table Seed Map'!$A$39&amp;"-"&amp;COUNTA($O$2:ResourceDefaultsTable[[#This Row],[Select Resource for Default]])</calculatedColumnFormula>
    </tableColumn>
    <tableColumn id="12" name="ID" dataDxfId="407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406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405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404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403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402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1" totalsRowShown="0" dataDxfId="401">
  <autoFilter ref="A1:N11"/>
  <tableColumns count="14">
    <tableColumn id="11" name="Primary" dataDxfId="400">
      <calculatedColumnFormula>Page&amp;"-"&amp;(COUNTA($E$1:RelationTable[[#This Row],[Resource]])-1)</calculatedColumnFormula>
    </tableColumn>
    <tableColumn id="1" name="No" dataDxfId="399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98">
      <calculatedColumnFormula>RelationTable[[#This Row],[Resource]]&amp;"/"&amp;RelationTable[[#This Row],[Method]]</calculatedColumnFormula>
    </tableColumn>
    <tableColumn id="14" name="RELID" dataDxfId="397">
      <calculatedColumnFormula>RelationTable[[#This Row],[No]]</calculatedColumnFormula>
    </tableColumn>
    <tableColumn id="3" name="Resource" dataDxfId="396"/>
    <tableColumn id="4" name="Relate Resource" dataDxfId="395"/>
    <tableColumn id="12" name="ID" dataDxfId="394">
      <calculatedColumnFormula>RelationTable[[#This Row],[No]]</calculatedColumnFormula>
    </tableColumn>
    <tableColumn id="2" name="Resource Id" dataDxfId="393">
      <calculatedColumnFormula>IF(RelationTable[[#This Row],[No]]="id","resource",VLOOKUP(RelationTable[Resource],CHOOSE({1,2},ResourceTable[Name],ResourceTable[No]),2,0))</calculatedColumnFormula>
    </tableColumn>
    <tableColumn id="5" name="Name" dataDxfId="392"/>
    <tableColumn id="6" name="Description" dataDxfId="391"/>
    <tableColumn id="7" name="Method" dataDxfId="390"/>
    <tableColumn id="8" name="Type" dataDxfId="389"/>
    <tableColumn id="10" name="Relate Id" dataDxfId="388">
      <calculatedColumnFormula>VLOOKUP(RelationTable[Relate Resource],CHOOSE({1,2},ResourceTable[Name],ResourceTable[No]),2,0)</calculatedColumnFormula>
    </tableColumn>
    <tableColumn id="9" name="RID" dataDxfId="387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" totalsRowShown="0" dataDxfId="386">
  <autoFilter ref="P1:W2"/>
  <tableColumns count="8">
    <tableColumn id="1" name="Primary" dataDxfId="385">
      <calculatedColumnFormula>'Table Seed Map'!$A$9&amp;"-"&amp;COUNTA($Q$1:ResourceScopes[[#This Row],[Resource for Scope]])-1</calculatedColumnFormula>
    </tableColumn>
    <tableColumn id="2" name="Resource for Scope" dataDxfId="384"/>
    <tableColumn id="8" name="ScopesDisplayNames" dataDxfId="383">
      <calculatedColumnFormula>ResourceScopes[[#This Row],[Resource for Scope]]&amp;"/"&amp;ResourceScopes[[#This Row],[Name]]</calculatedColumnFormula>
    </tableColumn>
    <tableColumn id="3" name="No" dataDxfId="382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81">
      <calculatedColumnFormula>IFERROR(VLOOKUP(ResourceScopes[[#This Row],[Resource for Scope]],CHOOSE({1,2},ResourceTable[Name],ResourceTable[No]),2,0),"resource")</calculatedColumnFormula>
    </tableColumn>
    <tableColumn id="4" name="Name" dataDxfId="380"/>
    <tableColumn id="5" name="Description" dataDxfId="379"/>
    <tableColumn id="6" name="Method" dataDxfId="37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H44" workbookViewId="0">
      <selection activeCell="J2" sqref="J2:J45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546</v>
      </c>
      <c r="E2" s="8" t="s">
        <v>74</v>
      </c>
      <c r="F2" s="8" t="s">
        <v>547</v>
      </c>
      <c r="G2" s="8" t="s">
        <v>548</v>
      </c>
      <c r="H2" s="8" t="s">
        <v>549</v>
      </c>
      <c r="I2" s="8" t="s">
        <v>550</v>
      </c>
      <c r="J2" s="8" t="s">
        <v>551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546</v>
      </c>
      <c r="E3" s="8" t="s">
        <v>96</v>
      </c>
      <c r="F3" s="8" t="s">
        <v>552</v>
      </c>
      <c r="G3" s="8" t="s">
        <v>553</v>
      </c>
      <c r="H3" s="8" t="s">
        <v>554</v>
      </c>
      <c r="I3" s="8" t="s">
        <v>555</v>
      </c>
      <c r="J3" s="8" t="s">
        <v>556</v>
      </c>
    </row>
    <row r="4" spans="1:10" x14ac:dyDescent="0.25">
      <c r="A4" s="5" t="s">
        <v>60</v>
      </c>
      <c r="B4" s="8" t="s">
        <v>557</v>
      </c>
      <c r="C4" s="8" t="s">
        <v>558</v>
      </c>
      <c r="D4" s="8" t="s">
        <v>546</v>
      </c>
      <c r="E4" s="8" t="s">
        <v>559</v>
      </c>
      <c r="F4" s="8" t="s">
        <v>560</v>
      </c>
      <c r="G4" s="8" t="s">
        <v>561</v>
      </c>
      <c r="H4" s="8" t="s">
        <v>562</v>
      </c>
      <c r="I4" s="8" t="s">
        <v>563</v>
      </c>
      <c r="J4" s="8" t="s">
        <v>564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546</v>
      </c>
      <c r="E5" s="8" t="s">
        <v>112</v>
      </c>
      <c r="F5" s="8" t="s">
        <v>565</v>
      </c>
      <c r="G5" s="8" t="s">
        <v>566</v>
      </c>
      <c r="H5" s="8" t="s">
        <v>567</v>
      </c>
      <c r="I5" s="8" t="s">
        <v>568</v>
      </c>
      <c r="J5" s="8" t="s">
        <v>569</v>
      </c>
    </row>
    <row r="6" spans="1:10" x14ac:dyDescent="0.25">
      <c r="A6" s="5" t="s">
        <v>62</v>
      </c>
      <c r="B6" s="8" t="s">
        <v>570</v>
      </c>
      <c r="C6" s="8" t="s">
        <v>571</v>
      </c>
      <c r="D6" s="8" t="s">
        <v>546</v>
      </c>
      <c r="E6" s="8" t="s">
        <v>572</v>
      </c>
      <c r="F6" s="8" t="s">
        <v>573</v>
      </c>
      <c r="G6" s="8" t="s">
        <v>574</v>
      </c>
      <c r="H6" s="8" t="s">
        <v>575</v>
      </c>
      <c r="I6" s="8" t="s">
        <v>576</v>
      </c>
      <c r="J6" s="8" t="s">
        <v>577</v>
      </c>
    </row>
    <row r="7" spans="1:10" x14ac:dyDescent="0.25">
      <c r="A7" s="1" t="s">
        <v>2</v>
      </c>
      <c r="B7" s="6" t="s">
        <v>87</v>
      </c>
      <c r="C7" s="6" t="s">
        <v>22</v>
      </c>
      <c r="D7" s="6" t="s">
        <v>546</v>
      </c>
      <c r="E7" s="8" t="s">
        <v>86</v>
      </c>
      <c r="F7" s="8" t="s">
        <v>578</v>
      </c>
      <c r="G7" s="8" t="s">
        <v>579</v>
      </c>
      <c r="H7" s="8" t="s">
        <v>580</v>
      </c>
      <c r="I7" s="8" t="s">
        <v>581</v>
      </c>
      <c r="J7" s="8" t="s">
        <v>582</v>
      </c>
    </row>
    <row r="8" spans="1:10" x14ac:dyDescent="0.25">
      <c r="A8" s="5" t="s">
        <v>89</v>
      </c>
      <c r="B8" s="8" t="s">
        <v>132</v>
      </c>
      <c r="C8" s="8" t="s">
        <v>583</v>
      </c>
      <c r="D8" s="8" t="s">
        <v>546</v>
      </c>
      <c r="E8" s="8" t="s">
        <v>131</v>
      </c>
      <c r="F8" s="8" t="s">
        <v>584</v>
      </c>
      <c r="G8" s="8" t="s">
        <v>585</v>
      </c>
      <c r="H8" s="8" t="s">
        <v>586</v>
      </c>
      <c r="I8" s="8" t="s">
        <v>587</v>
      </c>
      <c r="J8" s="8" t="s">
        <v>588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546</v>
      </c>
      <c r="E9" s="8" t="s">
        <v>206</v>
      </c>
      <c r="F9" s="8" t="s">
        <v>589</v>
      </c>
      <c r="G9" s="8" t="s">
        <v>590</v>
      </c>
      <c r="H9" s="8" t="s">
        <v>591</v>
      </c>
      <c r="I9" s="8" t="s">
        <v>592</v>
      </c>
      <c r="J9" s="8" t="s">
        <v>593</v>
      </c>
    </row>
    <row r="10" spans="1:10" x14ac:dyDescent="0.25">
      <c r="A10" s="2" t="s">
        <v>0</v>
      </c>
      <c r="B10" s="8" t="s">
        <v>190</v>
      </c>
      <c r="C10" s="8" t="s">
        <v>594</v>
      </c>
      <c r="D10" s="8" t="s">
        <v>546</v>
      </c>
      <c r="E10" s="8" t="s">
        <v>189</v>
      </c>
      <c r="F10" s="8" t="s">
        <v>595</v>
      </c>
      <c r="G10" s="8" t="s">
        <v>596</v>
      </c>
      <c r="H10" s="8" t="s">
        <v>597</v>
      </c>
      <c r="I10" s="8" t="s">
        <v>598</v>
      </c>
      <c r="J10" s="8" t="s">
        <v>599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546</v>
      </c>
      <c r="E11" s="8" t="s">
        <v>133</v>
      </c>
      <c r="F11" s="8" t="s">
        <v>600</v>
      </c>
      <c r="G11" s="8" t="s">
        <v>601</v>
      </c>
      <c r="H11" s="8" t="s">
        <v>602</v>
      </c>
      <c r="I11" s="8" t="s">
        <v>603</v>
      </c>
      <c r="J11" s="8" t="s">
        <v>604</v>
      </c>
    </row>
    <row r="12" spans="1:10" x14ac:dyDescent="0.25">
      <c r="A12" s="2" t="s">
        <v>48</v>
      </c>
      <c r="B12" s="8" t="s">
        <v>138</v>
      </c>
      <c r="C12" s="8" t="s">
        <v>605</v>
      </c>
      <c r="D12" s="8" t="s">
        <v>546</v>
      </c>
      <c r="E12" s="8" t="s">
        <v>136</v>
      </c>
      <c r="F12" s="8" t="s">
        <v>606</v>
      </c>
      <c r="G12" s="8" t="s">
        <v>607</v>
      </c>
      <c r="H12" s="8" t="s">
        <v>608</v>
      </c>
      <c r="I12" s="8" t="s">
        <v>609</v>
      </c>
      <c r="J12" s="8" t="s">
        <v>610</v>
      </c>
    </row>
    <row r="13" spans="1:10" x14ac:dyDescent="0.25">
      <c r="A13" s="2" t="s">
        <v>49</v>
      </c>
      <c r="B13" s="8" t="s">
        <v>167</v>
      </c>
      <c r="C13" s="8" t="s">
        <v>611</v>
      </c>
      <c r="D13" s="8" t="s">
        <v>546</v>
      </c>
      <c r="E13" s="8" t="s">
        <v>166</v>
      </c>
      <c r="F13" s="8" t="s">
        <v>612</v>
      </c>
      <c r="G13" s="8" t="s">
        <v>613</v>
      </c>
      <c r="H13" s="8" t="s">
        <v>614</v>
      </c>
      <c r="I13" s="8" t="s">
        <v>615</v>
      </c>
      <c r="J13" s="8" t="s">
        <v>616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546</v>
      </c>
      <c r="E14" s="8" t="s">
        <v>181</v>
      </c>
      <c r="F14" s="8" t="s">
        <v>617</v>
      </c>
      <c r="G14" s="8" t="s">
        <v>618</v>
      </c>
      <c r="H14" s="8" t="s">
        <v>619</v>
      </c>
      <c r="I14" s="8" t="s">
        <v>620</v>
      </c>
      <c r="J14" s="8" t="s">
        <v>621</v>
      </c>
    </row>
    <row r="15" spans="1:10" x14ac:dyDescent="0.25">
      <c r="A15" s="2" t="s">
        <v>51</v>
      </c>
      <c r="B15" s="8" t="s">
        <v>176</v>
      </c>
      <c r="C15" s="8" t="s">
        <v>622</v>
      </c>
      <c r="D15" s="8" t="s">
        <v>546</v>
      </c>
      <c r="E15" s="8" t="s">
        <v>175</v>
      </c>
      <c r="F15" s="8" t="s">
        <v>623</v>
      </c>
      <c r="G15" s="8" t="s">
        <v>624</v>
      </c>
      <c r="H15" s="8" t="s">
        <v>625</v>
      </c>
      <c r="I15" s="8" t="s">
        <v>626</v>
      </c>
      <c r="J15" s="8" t="s">
        <v>627</v>
      </c>
    </row>
    <row r="16" spans="1:10" x14ac:dyDescent="0.25">
      <c r="A16" s="2" t="s">
        <v>168</v>
      </c>
      <c r="B16" s="8" t="s">
        <v>174</v>
      </c>
      <c r="C16" s="8" t="s">
        <v>628</v>
      </c>
      <c r="D16" s="8" t="s">
        <v>546</v>
      </c>
      <c r="E16" s="8" t="s">
        <v>172</v>
      </c>
      <c r="F16" s="8" t="s">
        <v>629</v>
      </c>
      <c r="G16" s="8" t="s">
        <v>630</v>
      </c>
      <c r="H16" s="8" t="s">
        <v>631</v>
      </c>
      <c r="I16" s="8" t="s">
        <v>632</v>
      </c>
      <c r="J16" s="8" t="s">
        <v>633</v>
      </c>
    </row>
    <row r="17" spans="1:10" x14ac:dyDescent="0.25">
      <c r="A17" s="2" t="s">
        <v>237</v>
      </c>
      <c r="B17" s="8" t="s">
        <v>244</v>
      </c>
      <c r="C17" s="8" t="s">
        <v>634</v>
      </c>
      <c r="D17" s="8" t="s">
        <v>546</v>
      </c>
      <c r="E17" s="8" t="s">
        <v>243</v>
      </c>
      <c r="F17" s="8" t="s">
        <v>635</v>
      </c>
      <c r="G17" s="8" t="s">
        <v>636</v>
      </c>
      <c r="H17" s="8" t="s">
        <v>637</v>
      </c>
      <c r="I17" s="8" t="s">
        <v>638</v>
      </c>
      <c r="J17" s="8" t="s">
        <v>639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546</v>
      </c>
      <c r="E18" s="8" t="s">
        <v>268</v>
      </c>
      <c r="F18" s="8" t="s">
        <v>640</v>
      </c>
      <c r="G18" s="8" t="s">
        <v>641</v>
      </c>
      <c r="H18" s="8" t="s">
        <v>642</v>
      </c>
      <c r="I18" s="8" t="s">
        <v>643</v>
      </c>
      <c r="J18" s="8" t="s">
        <v>644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546</v>
      </c>
      <c r="E19" s="8" t="s">
        <v>213</v>
      </c>
      <c r="F19" s="8" t="s">
        <v>645</v>
      </c>
      <c r="G19" s="8" t="s">
        <v>646</v>
      </c>
      <c r="H19" s="8" t="s">
        <v>647</v>
      </c>
      <c r="I19" s="8" t="s">
        <v>648</v>
      </c>
      <c r="J19" s="8" t="s">
        <v>649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546</v>
      </c>
      <c r="E20" s="8" t="s">
        <v>226</v>
      </c>
      <c r="F20" s="8" t="s">
        <v>650</v>
      </c>
      <c r="G20" s="8" t="s">
        <v>651</v>
      </c>
      <c r="H20" s="8" t="s">
        <v>652</v>
      </c>
      <c r="I20" s="8" t="s">
        <v>653</v>
      </c>
      <c r="J20" s="8" t="s">
        <v>654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546</v>
      </c>
      <c r="E21" s="8" t="s">
        <v>291</v>
      </c>
      <c r="F21" s="8" t="s">
        <v>655</v>
      </c>
      <c r="G21" s="8" t="s">
        <v>656</v>
      </c>
      <c r="H21" s="8" t="s">
        <v>657</v>
      </c>
      <c r="I21" s="8" t="s">
        <v>658</v>
      </c>
      <c r="J21" s="8" t="s">
        <v>659</v>
      </c>
    </row>
    <row r="22" spans="1:10" x14ac:dyDescent="0.25">
      <c r="A22" s="2" t="s">
        <v>66</v>
      </c>
      <c r="B22" s="9" t="s">
        <v>180</v>
      </c>
      <c r="C22" s="9" t="s">
        <v>660</v>
      </c>
      <c r="D22" s="9" t="s">
        <v>546</v>
      </c>
      <c r="E22" s="8" t="s">
        <v>178</v>
      </c>
      <c r="F22" s="8" t="s">
        <v>661</v>
      </c>
      <c r="G22" s="8" t="s">
        <v>662</v>
      </c>
      <c r="H22" s="8" t="s">
        <v>663</v>
      </c>
      <c r="I22" s="8" t="s">
        <v>664</v>
      </c>
      <c r="J22" s="8" t="s">
        <v>665</v>
      </c>
    </row>
    <row r="23" spans="1:10" x14ac:dyDescent="0.25">
      <c r="A23" s="2" t="s">
        <v>5</v>
      </c>
      <c r="B23" s="9" t="s">
        <v>186</v>
      </c>
      <c r="C23" s="9" t="s">
        <v>43</v>
      </c>
      <c r="D23" s="9" t="s">
        <v>546</v>
      </c>
      <c r="E23" s="8" t="s">
        <v>185</v>
      </c>
      <c r="F23" s="8" t="s">
        <v>666</v>
      </c>
      <c r="G23" s="8" t="s">
        <v>667</v>
      </c>
      <c r="H23" s="8" t="s">
        <v>668</v>
      </c>
      <c r="I23" s="8" t="s">
        <v>669</v>
      </c>
      <c r="J23" s="8" t="s">
        <v>670</v>
      </c>
    </row>
    <row r="24" spans="1:10" x14ac:dyDescent="0.25">
      <c r="A24" s="4" t="s">
        <v>10</v>
      </c>
      <c r="B24" s="7" t="s">
        <v>188</v>
      </c>
      <c r="C24" s="7" t="s">
        <v>671</v>
      </c>
      <c r="D24" s="7" t="s">
        <v>546</v>
      </c>
      <c r="E24" s="8" t="s">
        <v>187</v>
      </c>
      <c r="F24" s="8" t="s">
        <v>672</v>
      </c>
      <c r="G24" s="8" t="s">
        <v>673</v>
      </c>
      <c r="H24" s="8" t="s">
        <v>674</v>
      </c>
      <c r="I24" s="8" t="s">
        <v>675</v>
      </c>
      <c r="J24" s="8" t="s">
        <v>676</v>
      </c>
    </row>
    <row r="25" spans="1:10" x14ac:dyDescent="0.25">
      <c r="A25" s="4" t="s">
        <v>11</v>
      </c>
      <c r="B25" s="7" t="s">
        <v>193</v>
      </c>
      <c r="C25" s="7" t="s">
        <v>677</v>
      </c>
      <c r="D25" s="7" t="s">
        <v>546</v>
      </c>
      <c r="E25" s="8" t="s">
        <v>191</v>
      </c>
      <c r="F25" s="8" t="s">
        <v>678</v>
      </c>
      <c r="G25" s="8" t="s">
        <v>679</v>
      </c>
      <c r="H25" s="8" t="s">
        <v>680</v>
      </c>
      <c r="I25" s="8" t="s">
        <v>681</v>
      </c>
      <c r="J25" s="8" t="s">
        <v>682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7" t="s">
        <v>546</v>
      </c>
      <c r="E26" s="8" t="s">
        <v>202</v>
      </c>
      <c r="F26" s="8" t="s">
        <v>683</v>
      </c>
      <c r="G26" s="8" t="s">
        <v>684</v>
      </c>
      <c r="H26" s="8" t="s">
        <v>685</v>
      </c>
      <c r="I26" s="8" t="s">
        <v>686</v>
      </c>
      <c r="J26" s="8" t="s">
        <v>687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7" t="s">
        <v>546</v>
      </c>
      <c r="E27" s="8" t="s">
        <v>234</v>
      </c>
      <c r="F27" s="8" t="s">
        <v>688</v>
      </c>
      <c r="G27" s="8" t="s">
        <v>689</v>
      </c>
      <c r="H27" s="8" t="s">
        <v>690</v>
      </c>
      <c r="I27" s="8" t="s">
        <v>691</v>
      </c>
      <c r="J27" s="8" t="s">
        <v>692</v>
      </c>
    </row>
    <row r="28" spans="1:10" x14ac:dyDescent="0.25">
      <c r="A28" s="2" t="s">
        <v>4</v>
      </c>
      <c r="B28" s="9" t="s">
        <v>195</v>
      </c>
      <c r="C28" s="9" t="s">
        <v>4</v>
      </c>
      <c r="D28" s="9" t="s">
        <v>546</v>
      </c>
      <c r="E28" s="8" t="s">
        <v>194</v>
      </c>
      <c r="F28" s="8" t="s">
        <v>693</v>
      </c>
      <c r="G28" s="8" t="s">
        <v>694</v>
      </c>
      <c r="H28" s="8" t="s">
        <v>695</v>
      </c>
      <c r="I28" s="8" t="s">
        <v>696</v>
      </c>
      <c r="J28" s="8" t="s">
        <v>697</v>
      </c>
    </row>
    <row r="29" spans="1:10" x14ac:dyDescent="0.25">
      <c r="A29" s="4" t="s">
        <v>9</v>
      </c>
      <c r="B29" s="7" t="s">
        <v>198</v>
      </c>
      <c r="C29" s="7" t="s">
        <v>698</v>
      </c>
      <c r="D29" s="7" t="s">
        <v>546</v>
      </c>
      <c r="E29" s="8" t="s">
        <v>196</v>
      </c>
      <c r="F29" s="8" t="s">
        <v>699</v>
      </c>
      <c r="G29" s="8" t="s">
        <v>700</v>
      </c>
      <c r="H29" s="8" t="s">
        <v>701</v>
      </c>
      <c r="I29" s="8" t="s">
        <v>702</v>
      </c>
      <c r="J29" s="8" t="s">
        <v>703</v>
      </c>
    </row>
    <row r="30" spans="1:10" x14ac:dyDescent="0.25">
      <c r="A30" s="4" t="s">
        <v>205</v>
      </c>
      <c r="B30" s="7" t="s">
        <v>704</v>
      </c>
      <c r="C30" s="7" t="s">
        <v>705</v>
      </c>
      <c r="D30" s="7" t="s">
        <v>546</v>
      </c>
      <c r="E30" s="8" t="s">
        <v>290</v>
      </c>
      <c r="F30" s="8" t="s">
        <v>706</v>
      </c>
      <c r="G30" s="8" t="s">
        <v>707</v>
      </c>
      <c r="H30" s="8" t="s">
        <v>708</v>
      </c>
      <c r="I30" s="8" t="s">
        <v>709</v>
      </c>
      <c r="J30" s="8" t="s">
        <v>710</v>
      </c>
    </row>
    <row r="31" spans="1:10" x14ac:dyDescent="0.25">
      <c r="A31" s="4" t="s">
        <v>216</v>
      </c>
      <c r="B31" s="7" t="s">
        <v>220</v>
      </c>
      <c r="C31" s="7" t="s">
        <v>711</v>
      </c>
      <c r="D31" s="7" t="s">
        <v>546</v>
      </c>
      <c r="E31" s="8" t="s">
        <v>218</v>
      </c>
      <c r="F31" s="8" t="s">
        <v>712</v>
      </c>
      <c r="G31" s="8" t="s">
        <v>713</v>
      </c>
      <c r="H31" s="8" t="s">
        <v>714</v>
      </c>
      <c r="I31" s="8" t="s">
        <v>715</v>
      </c>
      <c r="J31" s="8" t="s">
        <v>716</v>
      </c>
    </row>
    <row r="32" spans="1:10" x14ac:dyDescent="0.25">
      <c r="A32" s="4" t="s">
        <v>217</v>
      </c>
      <c r="B32" s="7" t="s">
        <v>223</v>
      </c>
      <c r="C32" s="7" t="s">
        <v>717</v>
      </c>
      <c r="D32" s="7" t="s">
        <v>546</v>
      </c>
      <c r="E32" s="8" t="s">
        <v>221</v>
      </c>
      <c r="F32" s="8" t="s">
        <v>718</v>
      </c>
      <c r="G32" s="8" t="s">
        <v>719</v>
      </c>
      <c r="H32" s="8" t="s">
        <v>720</v>
      </c>
      <c r="I32" s="8" t="s">
        <v>721</v>
      </c>
      <c r="J32" s="8" t="s">
        <v>722</v>
      </c>
    </row>
    <row r="33" spans="1:10" x14ac:dyDescent="0.25">
      <c r="A33" s="2" t="s">
        <v>482</v>
      </c>
      <c r="B33" s="8" t="s">
        <v>723</v>
      </c>
      <c r="C33" s="8" t="s">
        <v>482</v>
      </c>
      <c r="D33" s="8" t="s">
        <v>546</v>
      </c>
      <c r="E33" s="8" t="s">
        <v>724</v>
      </c>
      <c r="F33" s="8" t="s">
        <v>725</v>
      </c>
      <c r="G33" s="8" t="s">
        <v>726</v>
      </c>
      <c r="H33" s="8" t="s">
        <v>727</v>
      </c>
      <c r="I33" s="8" t="s">
        <v>728</v>
      </c>
      <c r="J33" s="8" t="s">
        <v>729</v>
      </c>
    </row>
    <row r="34" spans="1:10" x14ac:dyDescent="0.25">
      <c r="A34" s="2" t="s">
        <v>8</v>
      </c>
      <c r="B34" s="9" t="s">
        <v>111</v>
      </c>
      <c r="C34" s="9" t="s">
        <v>45</v>
      </c>
      <c r="D34" s="9" t="s">
        <v>546</v>
      </c>
      <c r="E34" s="8" t="s">
        <v>110</v>
      </c>
      <c r="F34" s="8" t="s">
        <v>730</v>
      </c>
      <c r="G34" s="8" t="s">
        <v>731</v>
      </c>
      <c r="H34" s="8" t="s">
        <v>732</v>
      </c>
      <c r="I34" s="8" t="s">
        <v>733</v>
      </c>
      <c r="J34" s="8" t="s">
        <v>734</v>
      </c>
    </row>
    <row r="35" spans="1:10" x14ac:dyDescent="0.25">
      <c r="A35" s="2" t="s">
        <v>46</v>
      </c>
      <c r="B35" s="7" t="s">
        <v>295</v>
      </c>
      <c r="C35" s="7" t="s">
        <v>735</v>
      </c>
      <c r="D35" s="7" t="s">
        <v>546</v>
      </c>
      <c r="E35" s="8" t="s">
        <v>294</v>
      </c>
      <c r="F35" s="8" t="s">
        <v>736</v>
      </c>
      <c r="G35" s="8" t="s">
        <v>737</v>
      </c>
      <c r="H35" s="8" t="s">
        <v>738</v>
      </c>
      <c r="I35" s="8" t="s">
        <v>739</v>
      </c>
      <c r="J35" s="8" t="s">
        <v>740</v>
      </c>
    </row>
    <row r="36" spans="1:10" x14ac:dyDescent="0.25">
      <c r="A36" s="2" t="s">
        <v>47</v>
      </c>
      <c r="B36" s="7" t="s">
        <v>124</v>
      </c>
      <c r="C36" s="7" t="s">
        <v>741</v>
      </c>
      <c r="D36" s="7" t="s">
        <v>546</v>
      </c>
      <c r="E36" s="8" t="s">
        <v>123</v>
      </c>
      <c r="F36" s="8" t="s">
        <v>742</v>
      </c>
      <c r="G36" s="8" t="s">
        <v>743</v>
      </c>
      <c r="H36" s="8" t="s">
        <v>744</v>
      </c>
      <c r="I36" s="8" t="s">
        <v>745</v>
      </c>
      <c r="J36" s="8" t="s">
        <v>746</v>
      </c>
    </row>
    <row r="37" spans="1:10" x14ac:dyDescent="0.25">
      <c r="A37" s="4" t="s">
        <v>57</v>
      </c>
      <c r="B37" s="7" t="s">
        <v>126</v>
      </c>
      <c r="C37" s="7" t="s">
        <v>747</v>
      </c>
      <c r="D37" s="7" t="s">
        <v>546</v>
      </c>
      <c r="E37" s="8" t="s">
        <v>125</v>
      </c>
      <c r="F37" s="8" t="s">
        <v>748</v>
      </c>
      <c r="G37" s="8" t="s">
        <v>749</v>
      </c>
      <c r="H37" s="8" t="s">
        <v>750</v>
      </c>
      <c r="I37" s="8" t="s">
        <v>751</v>
      </c>
      <c r="J37" s="8" t="s">
        <v>752</v>
      </c>
    </row>
    <row r="38" spans="1:10" x14ac:dyDescent="0.25">
      <c r="A38" s="4" t="s">
        <v>58</v>
      </c>
      <c r="B38" s="7" t="s">
        <v>127</v>
      </c>
      <c r="C38" s="7" t="s">
        <v>58</v>
      </c>
      <c r="D38" s="7" t="s">
        <v>546</v>
      </c>
      <c r="E38" s="8" t="s">
        <v>128</v>
      </c>
      <c r="F38" s="8" t="s">
        <v>753</v>
      </c>
      <c r="G38" s="8" t="s">
        <v>754</v>
      </c>
      <c r="H38" s="8" t="s">
        <v>755</v>
      </c>
      <c r="I38" s="8" t="s">
        <v>756</v>
      </c>
      <c r="J38" s="8" t="s">
        <v>757</v>
      </c>
    </row>
    <row r="39" spans="1:10" x14ac:dyDescent="0.25">
      <c r="A39" s="2" t="s">
        <v>7</v>
      </c>
      <c r="B39" s="9" t="s">
        <v>297</v>
      </c>
      <c r="C39" s="9" t="s">
        <v>758</v>
      </c>
      <c r="D39" s="9" t="s">
        <v>546</v>
      </c>
      <c r="E39" s="8" t="s">
        <v>296</v>
      </c>
      <c r="F39" s="8" t="s">
        <v>759</v>
      </c>
      <c r="G39" s="8" t="s">
        <v>760</v>
      </c>
      <c r="H39" s="8" t="s">
        <v>761</v>
      </c>
      <c r="I39" s="8" t="s">
        <v>762</v>
      </c>
      <c r="J39" s="8" t="s">
        <v>763</v>
      </c>
    </row>
    <row r="40" spans="1:10" x14ac:dyDescent="0.25">
      <c r="A40" s="4" t="s">
        <v>247</v>
      </c>
      <c r="B40" s="9" t="s">
        <v>264</v>
      </c>
      <c r="C40" s="7" t="s">
        <v>764</v>
      </c>
      <c r="D40" s="7" t="s">
        <v>546</v>
      </c>
      <c r="E40" s="8" t="s">
        <v>259</v>
      </c>
      <c r="F40" s="8" t="s">
        <v>765</v>
      </c>
      <c r="G40" s="8" t="s">
        <v>766</v>
      </c>
      <c r="H40" s="8" t="s">
        <v>767</v>
      </c>
      <c r="I40" s="8" t="s">
        <v>768</v>
      </c>
      <c r="J40" s="8" t="s">
        <v>769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9" t="s">
        <v>546</v>
      </c>
      <c r="E41" s="8" t="s">
        <v>256</v>
      </c>
      <c r="F41" s="8" t="s">
        <v>770</v>
      </c>
      <c r="G41" s="8" t="s">
        <v>771</v>
      </c>
      <c r="H41" s="8" t="s">
        <v>772</v>
      </c>
      <c r="I41" s="8" t="s">
        <v>773</v>
      </c>
      <c r="J41" s="8" t="s">
        <v>774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9" t="s">
        <v>546</v>
      </c>
      <c r="E42" s="8" t="s">
        <v>257</v>
      </c>
      <c r="F42" s="8" t="s">
        <v>775</v>
      </c>
      <c r="G42" s="8" t="s">
        <v>776</v>
      </c>
      <c r="H42" s="8" t="s">
        <v>777</v>
      </c>
      <c r="I42" s="8" t="s">
        <v>778</v>
      </c>
      <c r="J42" s="8" t="s">
        <v>779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9" t="s">
        <v>546</v>
      </c>
      <c r="E43" s="8" t="s">
        <v>258</v>
      </c>
      <c r="F43" s="8" t="s">
        <v>780</v>
      </c>
      <c r="G43" s="8" t="s">
        <v>781</v>
      </c>
      <c r="H43" s="8" t="s">
        <v>782</v>
      </c>
      <c r="I43" s="8" t="s">
        <v>783</v>
      </c>
      <c r="J43" s="8" t="s">
        <v>784</v>
      </c>
    </row>
    <row r="44" spans="1:10" x14ac:dyDescent="0.25">
      <c r="A44" s="2" t="s">
        <v>81</v>
      </c>
      <c r="B44" s="9" t="s">
        <v>85</v>
      </c>
      <c r="C44" s="9" t="s">
        <v>81</v>
      </c>
      <c r="D44" s="9" t="s">
        <v>546</v>
      </c>
      <c r="E44" s="9" t="s">
        <v>84</v>
      </c>
      <c r="F44" s="9" t="s">
        <v>785</v>
      </c>
      <c r="G44" s="9" t="s">
        <v>786</v>
      </c>
      <c r="H44" s="9" t="s">
        <v>787</v>
      </c>
      <c r="I44" s="9" t="s">
        <v>788</v>
      </c>
      <c r="J44" s="9" t="s">
        <v>789</v>
      </c>
    </row>
    <row r="45" spans="1:10" x14ac:dyDescent="0.25">
      <c r="A45" s="2" t="s">
        <v>82</v>
      </c>
      <c r="B45" s="9" t="s">
        <v>107</v>
      </c>
      <c r="C45" s="9" t="s">
        <v>790</v>
      </c>
      <c r="D45" s="9" t="s">
        <v>546</v>
      </c>
      <c r="E45" s="9" t="s">
        <v>113</v>
      </c>
      <c r="F45" s="9" t="s">
        <v>791</v>
      </c>
      <c r="G45" s="9" t="s">
        <v>792</v>
      </c>
      <c r="H45" s="9" t="s">
        <v>793</v>
      </c>
      <c r="I45" s="9" t="s">
        <v>794</v>
      </c>
      <c r="J45" s="9" t="s">
        <v>795</v>
      </c>
    </row>
    <row r="46" spans="1:10" x14ac:dyDescent="0.25">
      <c r="A46" s="67" t="s">
        <v>75</v>
      </c>
      <c r="B46" s="86" t="str">
        <f>Tables[Name]</f>
        <v>users</v>
      </c>
      <c r="C46" s="86" t="str">
        <f>IF(RIGHT(Tables[Name],3)="ies",MID(Tables[Name],1,LEN(Tables[Name])-3)&amp;"y",IF(RIGHT(Tables[Name],1)="s",MID(Tables[Name],1,LEN(Tables[Name])-1),Tables[Name]))</f>
        <v>user</v>
      </c>
      <c r="D46" s="9" t="str">
        <f>"Milestone\QMS\Model"</f>
        <v>Milestone\QMS\Model</v>
      </c>
      <c r="E46" s="86" t="str">
        <f>SUBSTITUTE(PROPER(Tables[Singular Name]),"_","")</f>
        <v>User</v>
      </c>
      <c r="F46" s="86" t="str">
        <f>"php artisan make:migration create_"&amp;Tables[Table]&amp;"_table --create="&amp;Tables[Table]</f>
        <v>php artisan make:migration create_users_table --create=users</v>
      </c>
      <c r="G46" s="86" t="str">
        <f>"php artisan make:model "&amp;Tables[Class Name]</f>
        <v>php artisan make:model User</v>
      </c>
      <c r="H46" s="86" t="str">
        <f>"protected $table = '"&amp;Tables[Table]&amp;"';"</f>
        <v>protected $table = 'users';</v>
      </c>
      <c r="I46" s="86" t="str">
        <f>"php artisan make:seed "&amp;Tables[Class Name]&amp;"TableSeeder"</f>
        <v>php artisan make:seed UserTableSeeder</v>
      </c>
      <c r="J46" s="86" t="str">
        <f>Tables[Class Name]&amp;"TableSeeder"&amp;"::class,"</f>
        <v>UserTableSeeder::class,</v>
      </c>
    </row>
    <row r="47" spans="1:10" x14ac:dyDescent="0.25">
      <c r="A47" s="2" t="s">
        <v>803</v>
      </c>
      <c r="B47" s="7" t="str">
        <f>Tables[Name]</f>
        <v>categories</v>
      </c>
      <c r="C47" s="7" t="str">
        <f>IF(RIGHT(Tables[Name],3)="ies",MID(Tables[Name],1,LEN(Tables[Name])-3)&amp;"y",IF(RIGHT(Tables[Name],1)="s",MID(Tables[Name],1,LEN(Tables[Name])-1),Tables[Name]))</f>
        <v>category</v>
      </c>
      <c r="D47" s="9" t="str">
        <f>"Milestone\QMS\Model"</f>
        <v>Milestone\QMS\Model</v>
      </c>
      <c r="E47" s="7" t="str">
        <f>SUBSTITUTE(PROPER(Tables[Singular Name]),"_","")</f>
        <v>Category</v>
      </c>
      <c r="F47" s="7" t="str">
        <f>"php artisan make:migration create_"&amp;Tables[Table]&amp;"_table --create="&amp;Tables[Table]</f>
        <v>php artisan make:migration create_categories_table --create=categories</v>
      </c>
      <c r="G47" s="7" t="str">
        <f>"php artisan make:model "&amp;Tables[Class Name]</f>
        <v>php artisan make:model Category</v>
      </c>
      <c r="H47" s="7" t="str">
        <f>"protected $table = '"&amp;Tables[Table]&amp;"';"</f>
        <v>protected $table = 'categories';</v>
      </c>
      <c r="I47" s="7" t="str">
        <f>"php artisan make:seed "&amp;Tables[Class Name]&amp;"TableSeeder"</f>
        <v>php artisan make:seed CategoryTableSeeder</v>
      </c>
      <c r="J47" s="7" t="str">
        <f>Tables[Class Name]&amp;"TableSeeder"&amp;"::class,"</f>
        <v>CategoryTableSeeder::class,</v>
      </c>
    </row>
    <row r="48" spans="1:10" x14ac:dyDescent="0.25">
      <c r="A48" s="67" t="s">
        <v>804</v>
      </c>
      <c r="B48" s="68" t="str">
        <f>Tables[Name]</f>
        <v>user_categories</v>
      </c>
      <c r="C48" s="68" t="str">
        <f>IF(RIGHT(Tables[Name],3)="ies",MID(Tables[Name],1,LEN(Tables[Name])-3)&amp;"y",IF(RIGHT(Tables[Name],1)="s",MID(Tables[Name],1,LEN(Tables[Name])-1),Tables[Name]))</f>
        <v>user_category</v>
      </c>
      <c r="D48" s="68" t="str">
        <f>"Firumon\LLM\Model"</f>
        <v>Firumon\LLM\Model</v>
      </c>
      <c r="E48" s="68" t="str">
        <f>SUBSTITUTE(PROPER(Tables[Singular Name]),"_","")</f>
        <v>UserCategory</v>
      </c>
      <c r="F48" s="68" t="str">
        <f>"php artisan make:migration create_"&amp;Tables[Table]&amp;"_table --create="&amp;Tables[Table]</f>
        <v>php artisan make:migration create_user_categories_table --create=user_categories</v>
      </c>
      <c r="G48" s="68" t="str">
        <f>"php artisan make:model "&amp;Tables[Class Name]</f>
        <v>php artisan make:model UserCategory</v>
      </c>
      <c r="H48" s="68" t="str">
        <f>"protected $table = '"&amp;Tables[Table]&amp;"';"</f>
        <v>protected $table = 'user_categories';</v>
      </c>
      <c r="I48" s="68" t="str">
        <f>"php artisan make:seed "&amp;Tables[Class Name]&amp;"TableSeeder"</f>
        <v>php artisan make:seed UserCategoryTableSeeder</v>
      </c>
      <c r="J48" s="68" t="str">
        <f>Tables[Class Name]&amp;"TableSeeder"&amp;"::class,"</f>
        <v>UserCategoryTableSeeder::class,</v>
      </c>
    </row>
    <row r="49" spans="1:10" x14ac:dyDescent="0.25">
      <c r="A49" s="69" t="s">
        <v>805</v>
      </c>
      <c r="B49" s="68" t="str">
        <f>Tables[Name]</f>
        <v>counters</v>
      </c>
      <c r="C49" s="68" t="str">
        <f>IF(RIGHT(Tables[Name],3)="ies",MID(Tables[Name],1,LEN(Tables[Name])-3)&amp;"y",IF(RIGHT(Tables[Name],1)="s",MID(Tables[Name],1,LEN(Tables[Name])-1),Tables[Name]))</f>
        <v>counter</v>
      </c>
      <c r="D49" s="68" t="str">
        <f>"Firumon\LLM\Model"</f>
        <v>Firumon\LLM\Model</v>
      </c>
      <c r="E49" s="68" t="str">
        <f>SUBSTITUTE(PROPER(Tables[Singular Name]),"_","")</f>
        <v>Counter</v>
      </c>
      <c r="F49" s="68" t="str">
        <f>"php artisan make:migration create_"&amp;Tables[Table]&amp;"_table --create="&amp;Tables[Table]</f>
        <v>php artisan make:migration create_counters_table --create=counters</v>
      </c>
      <c r="G49" s="68" t="str">
        <f>"php artisan make:model "&amp;Tables[Class Name]</f>
        <v>php artisan make:model Counter</v>
      </c>
      <c r="H49" s="68" t="str">
        <f>"protected $table = '"&amp;Tables[Table]&amp;"';"</f>
        <v>protected $table = 'counters';</v>
      </c>
      <c r="I49" s="68" t="str">
        <f>"php artisan make:seed "&amp;Tables[Class Name]&amp;"TableSeeder"</f>
        <v>php artisan make:seed CounterTableSeeder</v>
      </c>
      <c r="J49" s="68" t="str">
        <f>Tables[Class Name]&amp;"TableSeeder"&amp;"::class,"</f>
        <v>CounterTableSeeder::class,</v>
      </c>
    </row>
    <row r="50" spans="1:10" x14ac:dyDescent="0.25">
      <c r="A50" s="69" t="s">
        <v>806</v>
      </c>
      <c r="B50" s="68" t="str">
        <f>Tables[Name]</f>
        <v>counter_user</v>
      </c>
      <c r="C50" s="68" t="str">
        <f>IF(RIGHT(Tables[Name],3)="ies",MID(Tables[Name],1,LEN(Tables[Name])-3)&amp;"y",IF(RIGHT(Tables[Name],1)="s",MID(Tables[Name],1,LEN(Tables[Name])-1),Tables[Name]))</f>
        <v>counter_user</v>
      </c>
      <c r="D50" s="68" t="str">
        <f>"Firumon\LLM\Model"</f>
        <v>Firumon\LLM\Model</v>
      </c>
      <c r="E50" s="68" t="str">
        <f>SUBSTITUTE(PROPER(Tables[Singular Name]),"_","")</f>
        <v>CounterUser</v>
      </c>
      <c r="F50" s="68" t="str">
        <f>"php artisan make:migration create_"&amp;Tables[Table]&amp;"_table --create="&amp;Tables[Table]</f>
        <v>php artisan make:migration create_counter_user_table --create=counter_user</v>
      </c>
      <c r="G50" s="68" t="str">
        <f>"php artisan make:model "&amp;Tables[Class Name]</f>
        <v>php artisan make:model CounterUser</v>
      </c>
      <c r="H50" s="68" t="str">
        <f>"protected $table = '"&amp;Tables[Table]&amp;"';"</f>
        <v>protected $table = 'counter_user';</v>
      </c>
      <c r="I50" s="68" t="str">
        <f>"php artisan make:seed "&amp;Tables[Class Name]&amp;"TableSeeder"</f>
        <v>php artisan make:seed CounterUserTableSeeder</v>
      </c>
      <c r="J50" s="68" t="str">
        <f>Tables[Class Name]&amp;"TableSeeder"&amp;"::class,"</f>
        <v>CounterUserTableSeeder::class,</v>
      </c>
    </row>
    <row r="51" spans="1:10" x14ac:dyDescent="0.25">
      <c r="A51" s="69" t="s">
        <v>807</v>
      </c>
      <c r="B51" s="68" t="str">
        <f>Tables[Name]</f>
        <v>customers</v>
      </c>
      <c r="C51" s="68" t="str">
        <f>IF(RIGHT(Tables[Name],3)="ies",MID(Tables[Name],1,LEN(Tables[Name])-3)&amp;"y",IF(RIGHT(Tables[Name],1)="s",MID(Tables[Name],1,LEN(Tables[Name])-1),Tables[Name]))</f>
        <v>customer</v>
      </c>
      <c r="D51" s="68" t="str">
        <f>"Firumon\LLM\Model"</f>
        <v>Firumon\LLM\Model</v>
      </c>
      <c r="E51" s="68" t="str">
        <f>SUBSTITUTE(PROPER(Tables[Singular Name]),"_","")</f>
        <v>Customer</v>
      </c>
      <c r="F51" s="68" t="str">
        <f>"php artisan make:migration create_"&amp;Tables[Table]&amp;"_table --create="&amp;Tables[Table]</f>
        <v>php artisan make:migration create_customers_table --create=customers</v>
      </c>
      <c r="G51" s="68" t="str">
        <f>"php artisan make:model "&amp;Tables[Class Name]</f>
        <v>php artisan make:model Customer</v>
      </c>
      <c r="H51" s="68" t="str">
        <f>"protected $table = '"&amp;Tables[Table]&amp;"';"</f>
        <v>protected $table = 'customers';</v>
      </c>
      <c r="I51" s="68" t="str">
        <f>"php artisan make:seed "&amp;Tables[Class Name]&amp;"TableSeeder"</f>
        <v>php artisan make:seed CustomerTableSeeder</v>
      </c>
      <c r="J51" s="68" t="str">
        <f>Tables[Class Name]&amp;"TableSeeder"&amp;"::class,"</f>
        <v>CustomerTableSeeder::class,</v>
      </c>
    </row>
    <row r="52" spans="1:10" x14ac:dyDescent="0.25">
      <c r="A52" s="69" t="s">
        <v>808</v>
      </c>
      <c r="B52" s="68" t="str">
        <f>Tables[Name]</f>
        <v>tokens</v>
      </c>
      <c r="C52" s="68" t="str">
        <f>IF(RIGHT(Tables[Name],3)="ies",MID(Tables[Name],1,LEN(Tables[Name])-3)&amp;"y",IF(RIGHT(Tables[Name],1)="s",MID(Tables[Name],1,LEN(Tables[Name])-1),Tables[Name]))</f>
        <v>token</v>
      </c>
      <c r="D52" s="68" t="str">
        <f>"Firumon\LLM\Model"</f>
        <v>Firumon\LLM\Model</v>
      </c>
      <c r="E52" s="68" t="str">
        <f>SUBSTITUTE(PROPER(Tables[Singular Name]),"_","")</f>
        <v>Token</v>
      </c>
      <c r="F52" s="68" t="str">
        <f>"php artisan make:migration create_"&amp;Tables[Table]&amp;"_table --create="&amp;Tables[Table]</f>
        <v>php artisan make:migration create_tokens_table --create=tokens</v>
      </c>
      <c r="G52" s="68" t="str">
        <f>"php artisan make:model "&amp;Tables[Class Name]</f>
        <v>php artisan make:model Token</v>
      </c>
      <c r="H52" s="68" t="str">
        <f>"protected $table = '"&amp;Tables[Table]&amp;"';"</f>
        <v>protected $table = 'tokens';</v>
      </c>
      <c r="I52" s="68" t="str">
        <f>"php artisan make:seed "&amp;Tables[Class Name]&amp;"TableSeeder"</f>
        <v>php artisan make:seed TokenTableSeeder</v>
      </c>
      <c r="J52" s="68" t="str">
        <f>Tables[Class Name]&amp;"TableSeeder"&amp;"::class,"</f>
        <v>TokenTableSeeder::class,</v>
      </c>
    </row>
    <row r="53" spans="1:10" x14ac:dyDescent="0.25">
      <c r="A53" s="69" t="s">
        <v>809</v>
      </c>
      <c r="B53" s="68" t="str">
        <f>Tables[Name]</f>
        <v>token_counter</v>
      </c>
      <c r="C53" s="68" t="str">
        <f>IF(RIGHT(Tables[Name],3)="ies",MID(Tables[Name],1,LEN(Tables[Name])-3)&amp;"y",IF(RIGHT(Tables[Name],1)="s",MID(Tables[Name],1,LEN(Tables[Name])-1),Tables[Name]))</f>
        <v>token_counter</v>
      </c>
      <c r="D53" s="68" t="str">
        <f>"Firumon\LLM\Model"</f>
        <v>Firumon\LLM\Model</v>
      </c>
      <c r="E53" s="68" t="str">
        <f>SUBSTITUTE(PROPER(Tables[Singular Name]),"_","")</f>
        <v>TokenCounter</v>
      </c>
      <c r="F53" s="68" t="str">
        <f>"php artisan make:migration create_"&amp;Tables[Table]&amp;"_table --create="&amp;Tables[Table]</f>
        <v>php artisan make:migration create_token_counter_table --create=token_counter</v>
      </c>
      <c r="G53" s="68" t="str">
        <f>"php artisan make:model "&amp;Tables[Class Name]</f>
        <v>php artisan make:model TokenCounter</v>
      </c>
      <c r="H53" s="68" t="str">
        <f>"protected $table = '"&amp;Tables[Table]&amp;"';"</f>
        <v>protected $table = 'token_counter';</v>
      </c>
      <c r="I53" s="68" t="str">
        <f>"php artisan make:seed "&amp;Tables[Class Name]&amp;"TableSeeder"</f>
        <v>php artisan make:seed TokenCounterTableSeeder</v>
      </c>
      <c r="J53" s="68" t="str">
        <f>Tables[Class Name]&amp;"TableSeeder"&amp;"::class,"</f>
        <v>TokenCounterTableSeeder::class,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0"/>
  <sheetViews>
    <sheetView topLeftCell="D1" workbookViewId="0">
      <selection activeCell="AP20" sqref="AP20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42578125" style="20" bestFit="1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customWidth="1"/>
    <col min="58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802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Category/CreateCategory</v>
      </c>
      <c r="C3" s="60">
        <f>COUNTA($A$1:ResourceForms[[#This Row],[Primary]])-2</f>
        <v>1</v>
      </c>
      <c r="D3" s="74" t="s">
        <v>841</v>
      </c>
      <c r="E3" s="60">
        <f>IF(ResourceForms[[#This Row],[No]]=0,"id",ResourceForms[[#This Row],[No]]+IF(ISNUMBER(VLOOKUP('Table Seed Map'!$A$11,SeedMap[],9,0)),VLOOKUP('Table Seed Map'!$A$11,SeedMap[],9,0),0))</f>
        <v>509101</v>
      </c>
      <c r="F3" s="60">
        <f>IFERROR(VLOOKUP(ResourceForms[[#This Row],[Resource Name]],ResourceTable[[RName]:[No]],3,0),"resource")</f>
        <v>505102</v>
      </c>
      <c r="G3" s="68" t="s">
        <v>856</v>
      </c>
      <c r="H3" s="60"/>
      <c r="I3" s="68" t="s">
        <v>841</v>
      </c>
      <c r="J3" s="68" t="s">
        <v>541</v>
      </c>
      <c r="K3" s="70">
        <f>ResourceForms[ID]</f>
        <v>509101</v>
      </c>
      <c r="M3" s="75" t="str">
        <f>'Table Seed Map'!$A$12&amp;"-"&amp;FormFields[[#This Row],[No]]</f>
        <v>Form Fields-1</v>
      </c>
      <c r="N3" s="59" t="s">
        <v>857</v>
      </c>
      <c r="O3" s="76">
        <f>COUNTA($N$1:FormFields[[#This Row],[Form Name]])-1</f>
        <v>1</v>
      </c>
      <c r="P3" s="75" t="str">
        <f>FormFields[[#This Row],[Form Name]]&amp;"/"&amp;FormFields[[#This Row],[Name]]</f>
        <v>Category/CreateCategory/name</v>
      </c>
      <c r="Q3" s="76">
        <f>IF(FormFields[[#This Row],[No]]=0,"id",FormFields[[#This Row],[No]]+IF(ISNUMBER(VLOOKUP('Table Seed Map'!$A$12,SeedMap[],9,0)),VLOOKUP('Table Seed Map'!$A$12,SeedMap[],9,0),0))</f>
        <v>510101</v>
      </c>
      <c r="R3" s="77">
        <f>IFERROR(VLOOKUP(FormFields[[#This Row],[Form Name]],ResourceForms[[FormName]:[ID]],4,0),"resource_form")</f>
        <v>509101</v>
      </c>
      <c r="S3" s="78" t="s">
        <v>23</v>
      </c>
      <c r="T3" s="78" t="s">
        <v>858</v>
      </c>
      <c r="U3" s="78" t="s">
        <v>1</v>
      </c>
      <c r="V3" s="79"/>
      <c r="W3" s="79"/>
      <c r="X3" s="79"/>
      <c r="Y3" s="79"/>
      <c r="Z3" s="80" t="str">
        <f>'Table Seed Map'!$A$13&amp;"-"&amp;FormFields[[#This Row],[NO2]]</f>
        <v>Field Data-1</v>
      </c>
      <c r="AA3" s="81">
        <f>COUNTIFS($AB$1:FormFields[[#This Row],[Exists]],1)-1</f>
        <v>1</v>
      </c>
      <c r="AB3" s="81">
        <f>IF(AND(FormFields[[#This Row],[Attribute]]="",FormFields[[#This Row],[Rel]]=""),0,1)</f>
        <v>1</v>
      </c>
      <c r="AC3" s="81">
        <f>IF(FormFields[[#This Row],[NO2]]=0,"id",FormFields[[#This Row],[NO2]]+IF(ISNUMBER(VLOOKUP('Table Seed Map'!$A$13,SeedMap[],9,0)),VLOOKUP('Table Seed Map'!$A$13,SeedMap[],9,0),0))</f>
        <v>511101</v>
      </c>
      <c r="AD3" s="82">
        <f>IF(FormFields[[#This Row],[ID]]="id","form_field",FormFields[[#This Row],[ID]])</f>
        <v>510101</v>
      </c>
      <c r="AE3" s="81" t="str">
        <f>IF(FormFields[[#This Row],[No]]=0,"attribute",FormFields[[#This Row],[Name]])</f>
        <v>name</v>
      </c>
      <c r="AF3" s="83" t="str">
        <f>IF(FormFields[[#This Row],[NO2]]=0,"relation",IF(FormFields[[#This Row],[Rel]]="","",VLOOKUP(FormFields[[#This Row],[Rel]],RelationTable[[Display]:[RELID]],2,0)))</f>
        <v/>
      </c>
      <c r="AG3" s="83" t="str">
        <f>IF(FormFields[[#This Row],[NO2]]=0,"nest_relation1",IF(FormFields[[#This Row],[Rel1]]="","",VLOOKUP(FormFields[[#This Row],[Rel1]],RelationTable[[Display]:[RELID]],2,0)))</f>
        <v/>
      </c>
      <c r="AH3" s="83" t="str">
        <f>IF(FormFields[[#This Row],[NO2]]=0,"nest_relation2",IF(FormFields[[#This Row],[Rel2]]="","",VLOOKUP(FormFields[[#This Row],[Rel2]],RelationTable[[Display]:[RELID]],2,0)))</f>
        <v/>
      </c>
      <c r="AI3" s="83" t="str">
        <f>IF(FormFields[[#This Row],[NO2]]=0,"nest_relation3",IF(FormFields[[#This Row],[Rel3]]="","",VLOOKUP(FormFields[[#This Row],[Rel3]],RelationTable[[Display]:[RELID]],2,0)))</f>
        <v/>
      </c>
      <c r="AJ3" s="76">
        <f>IF(OR(FormFields[[#This Row],[Option Type]]="",FormFields[[#This Row],[Option Type]]="type"),0,1)</f>
        <v>0</v>
      </c>
      <c r="AK3" s="76" t="str">
        <f>'Table Seed Map'!$A$14&amp;"-"&amp;FormFields[[#This Row],[NO4]]</f>
        <v>Field Options-0</v>
      </c>
      <c r="AL3" s="76">
        <f>COUNTIF($AJ$2:FormFields[[#This Row],[Exists FO]],1)</f>
        <v>0</v>
      </c>
      <c r="AM3" s="76" t="str">
        <f>IF(FormFields[[#This Row],[NO4]]=0,"id",FormFields[[#This Row],[NO4]]+IF(ISNUMBER(VLOOKUP('Table Seed Map'!$A$14,SeedMap[],9,0)),VLOOKUP('Table Seed Map'!$A$14,SeedMap[],9,0),0))</f>
        <v>id</v>
      </c>
      <c r="AN3" s="58">
        <f>IF(FormFields[[#This Row],[ID]]="id","form_field",FormFields[[#This Row],[ID]])</f>
        <v>510101</v>
      </c>
      <c r="AO3" s="84"/>
      <c r="AP3" s="84"/>
      <c r="AQ3" s="84"/>
      <c r="AR3" s="84"/>
      <c r="AS3" s="84"/>
      <c r="AT3" s="76">
        <f>IF(OR(FormFields[[#This Row],[Colspan]]="",FormFields[[#This Row],[Colspan]]="colspan"),0,1)</f>
        <v>0</v>
      </c>
      <c r="AU3" s="76" t="str">
        <f>'Table Seed Map'!$A$19&amp;"-"&amp;FormFields[[#This Row],[NO8]]</f>
        <v>Form Layout-0</v>
      </c>
      <c r="AV3" s="76">
        <f>COUNTIF($AT$1:FormFields[[#This Row],[Exists FL]],1)</f>
        <v>0</v>
      </c>
      <c r="AW3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6">
        <f>FormFields[Form]</f>
        <v>509101</v>
      </c>
      <c r="AY3" s="76">
        <f>IF(FormFields[[#This Row],[ID]]="id","form_field",FormFields[[#This Row],[ID]])</f>
        <v>510101</v>
      </c>
      <c r="AZ3" s="85"/>
      <c r="BA3" s="58">
        <f>FormFields[[#This Row],[ID]]</f>
        <v>510101</v>
      </c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User/CreateServiceUser</v>
      </c>
      <c r="C4" s="60">
        <f>COUNTA($A$1:ResourceForms[[#This Row],[Primary]])-2</f>
        <v>2</v>
      </c>
      <c r="D4" s="74" t="s">
        <v>74</v>
      </c>
      <c r="E4" s="60">
        <f>IF(ResourceForms[[#This Row],[No]]=0,"id",ResourceForms[[#This Row],[No]]+IF(ISNUMBER(VLOOKUP('Table Seed Map'!$A$11,SeedMap[],9,0)),VLOOKUP('Table Seed Map'!$A$11,SeedMap[],9,0),0))</f>
        <v>509102</v>
      </c>
      <c r="F4" s="60">
        <f>IFERROR(VLOOKUP(ResourceForms[[#This Row],[Resource Name]],ResourceTable[[RName]:[No]],3,0),"resource")</f>
        <v>505101</v>
      </c>
      <c r="G4" s="68" t="s">
        <v>880</v>
      </c>
      <c r="H4" s="60"/>
      <c r="I4" s="68" t="s">
        <v>74</v>
      </c>
      <c r="J4" s="68" t="s">
        <v>541</v>
      </c>
      <c r="K4" s="70">
        <f>ResourceForms[ID]</f>
        <v>509102</v>
      </c>
      <c r="M4" s="75" t="str">
        <f>'Table Seed Map'!$A$12&amp;"-"&amp;FormFields[[#This Row],[No]]</f>
        <v>Form Fields-2</v>
      </c>
      <c r="N4" s="59" t="s">
        <v>857</v>
      </c>
      <c r="O4" s="76">
        <f>COUNTA($N$1:FormFields[[#This Row],[Form Name]])-1</f>
        <v>2</v>
      </c>
      <c r="P4" s="75" t="str">
        <f>FormFields[[#This Row],[Form Name]]&amp;"/"&amp;FormFields[[#This Row],[Name]]</f>
        <v>Category/CreateCategory/token_prefix</v>
      </c>
      <c r="Q4" s="76">
        <f>IF(FormFields[[#This Row],[No]]=0,"id",FormFields[[#This Row],[No]]+IF(ISNUMBER(VLOOKUP('Table Seed Map'!$A$12,SeedMap[],9,0)),VLOOKUP('Table Seed Map'!$A$12,SeedMap[],9,0),0))</f>
        <v>510102</v>
      </c>
      <c r="R4" s="77">
        <f>IFERROR(VLOOKUP(FormFields[[#This Row],[Form Name]],ResourceForms[[FormName]:[ID]],4,0),"resource_form")</f>
        <v>509101</v>
      </c>
      <c r="S4" s="78" t="s">
        <v>813</v>
      </c>
      <c r="T4" s="78" t="s">
        <v>858</v>
      </c>
      <c r="U4" s="78" t="s">
        <v>859</v>
      </c>
      <c r="V4" s="79"/>
      <c r="W4" s="79"/>
      <c r="X4" s="79"/>
      <c r="Y4" s="79"/>
      <c r="Z4" s="80" t="str">
        <f>'Table Seed Map'!$A$13&amp;"-"&amp;FormFields[[#This Row],[NO2]]</f>
        <v>Field Data-2</v>
      </c>
      <c r="AA4" s="81">
        <f>COUNTIFS($AB$1:FormFields[[#This Row],[Exists]],1)-1</f>
        <v>2</v>
      </c>
      <c r="AB4" s="81">
        <f>IF(AND(FormFields[[#This Row],[Attribute]]="",FormFields[[#This Row],[Rel]]=""),0,1)</f>
        <v>1</v>
      </c>
      <c r="AC4" s="81">
        <f>IF(FormFields[[#This Row],[NO2]]=0,"id",FormFields[[#This Row],[NO2]]+IF(ISNUMBER(VLOOKUP('Table Seed Map'!$A$13,SeedMap[],9,0)),VLOOKUP('Table Seed Map'!$A$13,SeedMap[],9,0),0))</f>
        <v>511102</v>
      </c>
      <c r="AD4" s="82">
        <f>IF(FormFields[[#This Row],[ID]]="id","form_field",FormFields[[#This Row],[ID]])</f>
        <v>510102</v>
      </c>
      <c r="AE4" s="81" t="str">
        <f>IF(FormFields[[#This Row],[No]]=0,"attribute",FormFields[[#This Row],[Name]])</f>
        <v>token_prefix</v>
      </c>
      <c r="AF4" s="83" t="str">
        <f>IF(FormFields[[#This Row],[NO2]]=0,"relation",IF(FormFields[[#This Row],[Rel]]="","",VLOOKUP(FormFields[[#This Row],[Rel]],RelationTable[[Display]:[RELID]],2,0)))</f>
        <v/>
      </c>
      <c r="AG4" s="83" t="str">
        <f>IF(FormFields[[#This Row],[NO2]]=0,"nest_relation1",IF(FormFields[[#This Row],[Rel1]]="","",VLOOKUP(FormFields[[#This Row],[Rel1]],RelationTable[[Display]:[RELID]],2,0)))</f>
        <v/>
      </c>
      <c r="AH4" s="83" t="str">
        <f>IF(FormFields[[#This Row],[NO2]]=0,"nest_relation2",IF(FormFields[[#This Row],[Rel2]]="","",VLOOKUP(FormFields[[#This Row],[Rel2]],RelationTable[[Display]:[RELID]],2,0)))</f>
        <v/>
      </c>
      <c r="AI4" s="83" t="str">
        <f>IF(FormFields[[#This Row],[NO2]]=0,"nest_relation3",IF(FormFields[[#This Row],[Rel3]]="","",VLOOKUP(FormFields[[#This Row],[Rel3]],RelationTable[[Display]:[RELID]],2,0)))</f>
        <v/>
      </c>
      <c r="AJ4" s="76">
        <f>IF(OR(FormFields[[#This Row],[Option Type]]="",FormFields[[#This Row],[Option Type]]="type"),0,1)</f>
        <v>0</v>
      </c>
      <c r="AK4" s="76" t="str">
        <f>'Table Seed Map'!$A$14&amp;"-"&amp;FormFields[[#This Row],[NO4]]</f>
        <v>Field Options-0</v>
      </c>
      <c r="AL4" s="76">
        <f>COUNTIF($AJ$2:FormFields[[#This Row],[Exists FO]],1)</f>
        <v>0</v>
      </c>
      <c r="AM4" s="76" t="str">
        <f>IF(FormFields[[#This Row],[NO4]]=0,"id",FormFields[[#This Row],[NO4]]+IF(ISNUMBER(VLOOKUP('Table Seed Map'!$A$14,SeedMap[],9,0)),VLOOKUP('Table Seed Map'!$A$14,SeedMap[],9,0),0))</f>
        <v>id</v>
      </c>
      <c r="AN4" s="58">
        <f>IF(FormFields[[#This Row],[ID]]="id","form_field",FormFields[[#This Row],[ID]])</f>
        <v>510102</v>
      </c>
      <c r="AO4" s="84"/>
      <c r="AP4" s="84"/>
      <c r="AQ4" s="84"/>
      <c r="AR4" s="84"/>
      <c r="AS4" s="84"/>
      <c r="AT4" s="76">
        <f>IF(OR(FormFields[[#This Row],[Colspan]]="",FormFields[[#This Row],[Colspan]]="colspan"),0,1)</f>
        <v>0</v>
      </c>
      <c r="AU4" s="76" t="str">
        <f>'Table Seed Map'!$A$19&amp;"-"&amp;FormFields[[#This Row],[NO8]]</f>
        <v>Form Layout-0</v>
      </c>
      <c r="AV4" s="76">
        <f>COUNTIF($AT$1:FormFields[[#This Row],[Exists FL]],1)</f>
        <v>0</v>
      </c>
      <c r="AW4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6">
        <f>FormFields[Form]</f>
        <v>509101</v>
      </c>
      <c r="AY4" s="76">
        <f>IF(FormFields[[#This Row],[ID]]="id","form_field",FormFields[[#This Row],[ID]])</f>
        <v>510102</v>
      </c>
      <c r="AZ4" s="85"/>
      <c r="BA4" s="58">
        <f>FormFields[[#This Row],[ID]]</f>
        <v>510102</v>
      </c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Counter/CreateCounter</v>
      </c>
      <c r="C5" s="60">
        <f>COUNTA($A$1:ResourceForms[[#This Row],[Primary]])-2</f>
        <v>3</v>
      </c>
      <c r="D5" s="74" t="s">
        <v>843</v>
      </c>
      <c r="E5" s="60">
        <f>IF(ResourceForms[[#This Row],[No]]=0,"id",ResourceForms[[#This Row],[No]]+IF(ISNUMBER(VLOOKUP('Table Seed Map'!$A$11,SeedMap[],9,0)),VLOOKUP('Table Seed Map'!$A$11,SeedMap[],9,0),0))</f>
        <v>509103</v>
      </c>
      <c r="F5" s="60">
        <f>IFERROR(VLOOKUP(ResourceForms[[#This Row],[Resource Name]],ResourceTable[[RName]:[No]],3,0),"resource")</f>
        <v>505104</v>
      </c>
      <c r="G5" s="68" t="s">
        <v>886</v>
      </c>
      <c r="H5" s="60"/>
      <c r="I5" s="68" t="s">
        <v>843</v>
      </c>
      <c r="J5" s="68" t="s">
        <v>541</v>
      </c>
      <c r="K5" s="70">
        <f>ResourceForms[ID]</f>
        <v>509103</v>
      </c>
      <c r="M5" s="75" t="str">
        <f>'Table Seed Map'!$A$12&amp;"-"&amp;FormFields[[#This Row],[No]]</f>
        <v>Form Fields-3</v>
      </c>
      <c r="N5" s="59" t="s">
        <v>857</v>
      </c>
      <c r="O5" s="76">
        <f>COUNTA($N$1:FormFields[[#This Row],[Form Name]])-1</f>
        <v>3</v>
      </c>
      <c r="P5" s="75" t="str">
        <f>FormFields[[#This Row],[Form Name]]&amp;"/"&amp;FormFields[[#This Row],[Name]]</f>
        <v>Category/CreateCategory/token_suffix</v>
      </c>
      <c r="Q5" s="76">
        <f>IF(FormFields[[#This Row],[No]]=0,"id",FormFields[[#This Row],[No]]+IF(ISNUMBER(VLOOKUP('Table Seed Map'!$A$12,SeedMap[],9,0)),VLOOKUP('Table Seed Map'!$A$12,SeedMap[],9,0),0))</f>
        <v>510103</v>
      </c>
      <c r="R5" s="77">
        <f>IFERROR(VLOOKUP(FormFields[[#This Row],[Form Name]],ResourceForms[[FormName]:[ID]],4,0),"resource_form")</f>
        <v>509101</v>
      </c>
      <c r="S5" s="78" t="s">
        <v>814</v>
      </c>
      <c r="T5" s="78" t="s">
        <v>858</v>
      </c>
      <c r="U5" s="78" t="s">
        <v>860</v>
      </c>
      <c r="V5" s="79"/>
      <c r="W5" s="79"/>
      <c r="X5" s="79"/>
      <c r="Y5" s="79"/>
      <c r="Z5" s="80" t="str">
        <f>'Table Seed Map'!$A$13&amp;"-"&amp;FormFields[[#This Row],[NO2]]</f>
        <v>Field Data-3</v>
      </c>
      <c r="AA5" s="81">
        <f>COUNTIFS($AB$1:FormFields[[#This Row],[Exists]],1)-1</f>
        <v>3</v>
      </c>
      <c r="AB5" s="81">
        <f>IF(AND(FormFields[[#This Row],[Attribute]]="",FormFields[[#This Row],[Rel]]=""),0,1)</f>
        <v>1</v>
      </c>
      <c r="AC5" s="81">
        <f>IF(FormFields[[#This Row],[NO2]]=0,"id",FormFields[[#This Row],[NO2]]+IF(ISNUMBER(VLOOKUP('Table Seed Map'!$A$13,SeedMap[],9,0)),VLOOKUP('Table Seed Map'!$A$13,SeedMap[],9,0),0))</f>
        <v>511103</v>
      </c>
      <c r="AD5" s="82">
        <f>IF(FormFields[[#This Row],[ID]]="id","form_field",FormFields[[#This Row],[ID]])</f>
        <v>510103</v>
      </c>
      <c r="AE5" s="81" t="str">
        <f>IF(FormFields[[#This Row],[No]]=0,"attribute",FormFields[[#This Row],[Name]])</f>
        <v>token_suffix</v>
      </c>
      <c r="AF5" s="83" t="str">
        <f>IF(FormFields[[#This Row],[NO2]]=0,"relation",IF(FormFields[[#This Row],[Rel]]="","",VLOOKUP(FormFields[[#This Row],[Rel]],RelationTable[[Display]:[RELID]],2,0)))</f>
        <v/>
      </c>
      <c r="AG5" s="83" t="str">
        <f>IF(FormFields[[#This Row],[NO2]]=0,"nest_relation1",IF(FormFields[[#This Row],[Rel1]]="","",VLOOKUP(FormFields[[#This Row],[Rel1]],RelationTable[[Display]:[RELID]],2,0)))</f>
        <v/>
      </c>
      <c r="AH5" s="83" t="str">
        <f>IF(FormFields[[#This Row],[NO2]]=0,"nest_relation2",IF(FormFields[[#This Row],[Rel2]]="","",VLOOKUP(FormFields[[#This Row],[Rel2]],RelationTable[[Display]:[RELID]],2,0)))</f>
        <v/>
      </c>
      <c r="AI5" s="83" t="str">
        <f>IF(FormFields[[#This Row],[NO2]]=0,"nest_relation3",IF(FormFields[[#This Row],[Rel3]]="","",VLOOKUP(FormFields[[#This Row],[Rel3]],RelationTable[[Display]:[RELID]],2,0)))</f>
        <v/>
      </c>
      <c r="AJ5" s="76">
        <f>IF(OR(FormFields[[#This Row],[Option Type]]="",FormFields[[#This Row],[Option Type]]="type"),0,1)</f>
        <v>0</v>
      </c>
      <c r="AK5" s="76" t="str">
        <f>'Table Seed Map'!$A$14&amp;"-"&amp;FormFields[[#This Row],[NO4]]</f>
        <v>Field Options-0</v>
      </c>
      <c r="AL5" s="76">
        <f>COUNTIF($AJ$2:FormFields[[#This Row],[Exists FO]],1)</f>
        <v>0</v>
      </c>
      <c r="AM5" s="76" t="str">
        <f>IF(FormFields[[#This Row],[NO4]]=0,"id",FormFields[[#This Row],[NO4]]+IF(ISNUMBER(VLOOKUP('Table Seed Map'!$A$14,SeedMap[],9,0)),VLOOKUP('Table Seed Map'!$A$14,SeedMap[],9,0),0))</f>
        <v>id</v>
      </c>
      <c r="AN5" s="58">
        <f>IF(FormFields[[#This Row],[ID]]="id","form_field",FormFields[[#This Row],[ID]])</f>
        <v>510103</v>
      </c>
      <c r="AO5" s="84"/>
      <c r="AP5" s="84"/>
      <c r="AQ5" s="84"/>
      <c r="AR5" s="84"/>
      <c r="AS5" s="84"/>
      <c r="AT5" s="76">
        <f>IF(OR(FormFields[[#This Row],[Colspan]]="",FormFields[[#This Row],[Colspan]]="colspan"),0,1)</f>
        <v>0</v>
      </c>
      <c r="AU5" s="76" t="str">
        <f>'Table Seed Map'!$A$19&amp;"-"&amp;FormFields[[#This Row],[NO8]]</f>
        <v>Form Layout-0</v>
      </c>
      <c r="AV5" s="76">
        <f>COUNTIF($AT$1:FormFields[[#This Row],[Exists FL]],1)</f>
        <v>0</v>
      </c>
      <c r="AW5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6">
        <f>FormFields[Form]</f>
        <v>509101</v>
      </c>
      <c r="AY5" s="76">
        <f>IF(FormFields[[#This Row],[ID]]="id","form_field",FormFields[[#This Row],[ID]])</f>
        <v>510103</v>
      </c>
      <c r="AZ5" s="85"/>
      <c r="BA5" s="58">
        <f>FormFields[[#This Row],[ID]]</f>
        <v>510103</v>
      </c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Customer/CreateCustomer</v>
      </c>
      <c r="C6" s="60">
        <f>COUNTA($A$1:ResourceForms[[#This Row],[Primary]])-2</f>
        <v>4</v>
      </c>
      <c r="D6" s="74" t="s">
        <v>845</v>
      </c>
      <c r="E6" s="60">
        <f>IF(ResourceForms[[#This Row],[No]]=0,"id",ResourceForms[[#This Row],[No]]+IF(ISNUMBER(VLOOKUP('Table Seed Map'!$A$11,SeedMap[],9,0)),VLOOKUP('Table Seed Map'!$A$11,SeedMap[],9,0),0))</f>
        <v>509104</v>
      </c>
      <c r="F6" s="60">
        <f>IFERROR(VLOOKUP(ResourceForms[[#This Row],[Resource Name]],ResourceTable[[RName]:[No]],3,0),"resource")</f>
        <v>505106</v>
      </c>
      <c r="G6" s="68" t="s">
        <v>892</v>
      </c>
      <c r="H6" s="60"/>
      <c r="I6" s="68" t="s">
        <v>845</v>
      </c>
      <c r="J6" s="68" t="s">
        <v>541</v>
      </c>
      <c r="K6" s="70">
        <f>ResourceForms[ID]</f>
        <v>509104</v>
      </c>
      <c r="M6" s="75" t="str">
        <f>'Table Seed Map'!$A$12&amp;"-"&amp;FormFields[[#This Row],[No]]</f>
        <v>Form Fields-4</v>
      </c>
      <c r="N6" s="59" t="s">
        <v>857</v>
      </c>
      <c r="O6" s="76">
        <f>COUNTA($N$1:FormFields[[#This Row],[Form Name]])-1</f>
        <v>4</v>
      </c>
      <c r="P6" s="75" t="str">
        <f>FormFields[[#This Row],[Form Name]]&amp;"/"&amp;FormFields[[#This Row],[Name]]</f>
        <v>Category/CreateCategory/digit_length</v>
      </c>
      <c r="Q6" s="76">
        <f>IF(FormFields[[#This Row],[No]]=0,"id",FormFields[[#This Row],[No]]+IF(ISNUMBER(VLOOKUP('Table Seed Map'!$A$12,SeedMap[],9,0)),VLOOKUP('Table Seed Map'!$A$12,SeedMap[],9,0),0))</f>
        <v>510104</v>
      </c>
      <c r="R6" s="77">
        <f>IFERROR(VLOOKUP(FormFields[[#This Row],[Form Name]],ResourceForms[[FormName]:[ID]],4,0),"resource_form")</f>
        <v>509101</v>
      </c>
      <c r="S6" s="78" t="s">
        <v>815</v>
      </c>
      <c r="T6" s="78" t="s">
        <v>858</v>
      </c>
      <c r="U6" s="78" t="s">
        <v>861</v>
      </c>
      <c r="V6" s="79"/>
      <c r="W6" s="79"/>
      <c r="X6" s="79"/>
      <c r="Y6" s="79"/>
      <c r="Z6" s="80" t="str">
        <f>'Table Seed Map'!$A$13&amp;"-"&amp;FormFields[[#This Row],[NO2]]</f>
        <v>Field Data-4</v>
      </c>
      <c r="AA6" s="81">
        <f>COUNTIFS($AB$1:FormFields[[#This Row],[Exists]],1)-1</f>
        <v>4</v>
      </c>
      <c r="AB6" s="81">
        <f>IF(AND(FormFields[[#This Row],[Attribute]]="",FormFields[[#This Row],[Rel]]=""),0,1)</f>
        <v>1</v>
      </c>
      <c r="AC6" s="81">
        <f>IF(FormFields[[#This Row],[NO2]]=0,"id",FormFields[[#This Row],[NO2]]+IF(ISNUMBER(VLOOKUP('Table Seed Map'!$A$13,SeedMap[],9,0)),VLOOKUP('Table Seed Map'!$A$13,SeedMap[],9,0),0))</f>
        <v>511104</v>
      </c>
      <c r="AD6" s="82">
        <f>IF(FormFields[[#This Row],[ID]]="id","form_field",FormFields[[#This Row],[ID]])</f>
        <v>510104</v>
      </c>
      <c r="AE6" s="81" t="str">
        <f>IF(FormFields[[#This Row],[No]]=0,"attribute",FormFields[[#This Row],[Name]])</f>
        <v>digit_length</v>
      </c>
      <c r="AF6" s="83" t="str">
        <f>IF(FormFields[[#This Row],[NO2]]=0,"relation",IF(FormFields[[#This Row],[Rel]]="","",VLOOKUP(FormFields[[#This Row],[Rel]],RelationTable[[Display]:[RELID]],2,0)))</f>
        <v/>
      </c>
      <c r="AG6" s="83" t="str">
        <f>IF(FormFields[[#This Row],[NO2]]=0,"nest_relation1",IF(FormFields[[#This Row],[Rel1]]="","",VLOOKUP(FormFields[[#This Row],[Rel1]],RelationTable[[Display]:[RELID]],2,0)))</f>
        <v/>
      </c>
      <c r="AH6" s="83" t="str">
        <f>IF(FormFields[[#This Row],[NO2]]=0,"nest_relation2",IF(FormFields[[#This Row],[Rel2]]="","",VLOOKUP(FormFields[[#This Row],[Rel2]],RelationTable[[Display]:[RELID]],2,0)))</f>
        <v/>
      </c>
      <c r="AI6" s="83" t="str">
        <f>IF(FormFields[[#This Row],[NO2]]=0,"nest_relation3",IF(FormFields[[#This Row],[Rel3]]="","",VLOOKUP(FormFields[[#This Row],[Rel3]],RelationTable[[Display]:[RELID]],2,0)))</f>
        <v/>
      </c>
      <c r="AJ6" s="76">
        <f>IF(OR(FormFields[[#This Row],[Option Type]]="",FormFields[[#This Row],[Option Type]]="type"),0,1)</f>
        <v>0</v>
      </c>
      <c r="AK6" s="76" t="str">
        <f>'Table Seed Map'!$A$14&amp;"-"&amp;FormFields[[#This Row],[NO4]]</f>
        <v>Field Options-0</v>
      </c>
      <c r="AL6" s="76">
        <f>COUNTIF($AJ$2:FormFields[[#This Row],[Exists FO]],1)</f>
        <v>0</v>
      </c>
      <c r="AM6" s="76" t="str">
        <f>IF(FormFields[[#This Row],[NO4]]=0,"id",FormFields[[#This Row],[NO4]]+IF(ISNUMBER(VLOOKUP('Table Seed Map'!$A$14,SeedMap[],9,0)),VLOOKUP('Table Seed Map'!$A$14,SeedMap[],9,0),0))</f>
        <v>id</v>
      </c>
      <c r="AN6" s="58">
        <f>IF(FormFields[[#This Row],[ID]]="id","form_field",FormFields[[#This Row],[ID]])</f>
        <v>510104</v>
      </c>
      <c r="AO6" s="84"/>
      <c r="AP6" s="84"/>
      <c r="AQ6" s="84"/>
      <c r="AR6" s="84"/>
      <c r="AS6" s="84"/>
      <c r="AT6" s="76">
        <f>IF(OR(FormFields[[#This Row],[Colspan]]="",FormFields[[#This Row],[Colspan]]="colspan"),0,1)</f>
        <v>0</v>
      </c>
      <c r="AU6" s="76" t="str">
        <f>'Table Seed Map'!$A$19&amp;"-"&amp;FormFields[[#This Row],[NO8]]</f>
        <v>Form Layout-0</v>
      </c>
      <c r="AV6" s="76">
        <f>COUNTIF($AT$1:FormFields[[#This Row],[Exists FL]],1)</f>
        <v>0</v>
      </c>
      <c r="AW6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6">
        <f>FormFields[Form]</f>
        <v>509101</v>
      </c>
      <c r="AY6" s="76">
        <f>IF(FormFields[[#This Row],[ID]]="id","form_field",FormFields[[#This Row],[ID]])</f>
        <v>510104</v>
      </c>
      <c r="AZ6" s="85"/>
      <c r="BA6" s="58">
        <f>FormFields[[#This Row],[ID]]</f>
        <v>510104</v>
      </c>
    </row>
    <row r="7" spans="1:149" x14ac:dyDescent="0.25">
      <c r="A7" s="60" t="str">
        <f>'Table Seed Map'!$A$11&amp;"-"&amp;(COUNTA($F$1:ResourceForms[[#This Row],[Resource]])-2)</f>
        <v>Resource Forms-5</v>
      </c>
      <c r="B7" s="60" t="str">
        <f>ResourceForms[[#This Row],[Resource Name]]&amp;"/"&amp;ResourceForms[[#This Row],[Name]]</f>
        <v>Token/CreateToken</v>
      </c>
      <c r="C7" s="60">
        <f>COUNTA($A$1:ResourceForms[[#This Row],[Primary]])-2</f>
        <v>5</v>
      </c>
      <c r="D7" s="74" t="s">
        <v>846</v>
      </c>
      <c r="E7" s="60">
        <f>IF(ResourceForms[[#This Row],[No]]=0,"id",ResourceForms[[#This Row],[No]]+IF(ISNUMBER(VLOOKUP('Table Seed Map'!$A$11,SeedMap[],9,0)),VLOOKUP('Table Seed Map'!$A$11,SeedMap[],9,0),0))</f>
        <v>509105</v>
      </c>
      <c r="F7" s="60">
        <f>IFERROR(VLOOKUP(ResourceForms[[#This Row],[Resource Name]],ResourceTable[[RName]:[No]],3,0),"resource")</f>
        <v>505107</v>
      </c>
      <c r="G7" s="68" t="s">
        <v>894</v>
      </c>
      <c r="H7" s="60"/>
      <c r="I7" s="68" t="s">
        <v>846</v>
      </c>
      <c r="J7" s="68" t="s">
        <v>541</v>
      </c>
      <c r="K7" s="70">
        <f>ResourceForms[ID]</f>
        <v>509105</v>
      </c>
      <c r="M7" s="75" t="str">
        <f>'Table Seed Map'!$A$12&amp;"-"&amp;FormFields[[#This Row],[No]]</f>
        <v>Form Fields-5</v>
      </c>
      <c r="N7" s="59" t="s">
        <v>881</v>
      </c>
      <c r="O7" s="76">
        <f>COUNTA($N$1:FormFields[[#This Row],[Form Name]])-1</f>
        <v>5</v>
      </c>
      <c r="P7" s="75" t="str">
        <f>FormFields[[#This Row],[Form Name]]&amp;"/"&amp;FormFields[[#This Row],[Name]]</f>
        <v>User/CreateServiceUser/name</v>
      </c>
      <c r="Q7" s="76">
        <f>IF(FormFields[[#This Row],[No]]=0,"id",FormFields[[#This Row],[No]]+IF(ISNUMBER(VLOOKUP('Table Seed Map'!$A$12,SeedMap[],9,0)),VLOOKUP('Table Seed Map'!$A$12,SeedMap[],9,0),0))</f>
        <v>510105</v>
      </c>
      <c r="R7" s="77">
        <f>IFERROR(VLOOKUP(FormFields[[#This Row],[Form Name]],ResourceForms[[FormName]:[ID]],4,0),"resource_form")</f>
        <v>509102</v>
      </c>
      <c r="S7" s="78" t="s">
        <v>23</v>
      </c>
      <c r="T7" s="78" t="s">
        <v>858</v>
      </c>
      <c r="U7" s="78" t="s">
        <v>1</v>
      </c>
      <c r="V7" s="79"/>
      <c r="W7" s="79"/>
      <c r="X7" s="79"/>
      <c r="Y7" s="79"/>
      <c r="Z7" s="80" t="str">
        <f>'Table Seed Map'!$A$13&amp;"-"&amp;FormFields[[#This Row],[NO2]]</f>
        <v>Field Data-5</v>
      </c>
      <c r="AA7" s="81">
        <f>COUNTIFS($AB$1:FormFields[[#This Row],[Exists]],1)-1</f>
        <v>5</v>
      </c>
      <c r="AB7" s="81">
        <f>IF(AND(FormFields[[#This Row],[Attribute]]="",FormFields[[#This Row],[Rel]]=""),0,1)</f>
        <v>1</v>
      </c>
      <c r="AC7" s="81">
        <f>IF(FormFields[[#This Row],[NO2]]=0,"id",FormFields[[#This Row],[NO2]]+IF(ISNUMBER(VLOOKUP('Table Seed Map'!$A$13,SeedMap[],9,0)),VLOOKUP('Table Seed Map'!$A$13,SeedMap[],9,0),0))</f>
        <v>511105</v>
      </c>
      <c r="AD7" s="82">
        <f>IF(FormFields[[#This Row],[ID]]="id","form_field",FormFields[[#This Row],[ID]])</f>
        <v>510105</v>
      </c>
      <c r="AE7" s="81" t="str">
        <f>IF(FormFields[[#This Row],[No]]=0,"attribute",FormFields[[#This Row],[Name]])</f>
        <v>name</v>
      </c>
      <c r="AF7" s="83" t="str">
        <f>IF(FormFields[[#This Row],[NO2]]=0,"relation",IF(FormFields[[#This Row],[Rel]]="","",VLOOKUP(FormFields[[#This Row],[Rel]],RelationTable[[Display]:[RELID]],2,0)))</f>
        <v/>
      </c>
      <c r="AG7" s="83" t="str">
        <f>IF(FormFields[[#This Row],[NO2]]=0,"nest_relation1",IF(FormFields[[#This Row],[Rel1]]="","",VLOOKUP(FormFields[[#This Row],[Rel1]],RelationTable[[Display]:[RELID]],2,0)))</f>
        <v/>
      </c>
      <c r="AH7" s="83" t="str">
        <f>IF(FormFields[[#This Row],[NO2]]=0,"nest_relation2",IF(FormFields[[#This Row],[Rel2]]="","",VLOOKUP(FormFields[[#This Row],[Rel2]],RelationTable[[Display]:[RELID]],2,0)))</f>
        <v/>
      </c>
      <c r="AI7" s="83" t="str">
        <f>IF(FormFields[[#This Row],[NO2]]=0,"nest_relation3",IF(FormFields[[#This Row],[Rel3]]="","",VLOOKUP(FormFields[[#This Row],[Rel3]],RelationTable[[Display]:[RELID]],2,0)))</f>
        <v/>
      </c>
      <c r="AJ7" s="76">
        <f>IF(OR(FormFields[[#This Row],[Option Type]]="",FormFields[[#This Row],[Option Type]]="type"),0,1)</f>
        <v>0</v>
      </c>
      <c r="AK7" s="76" t="str">
        <f>'Table Seed Map'!$A$14&amp;"-"&amp;FormFields[[#This Row],[NO4]]</f>
        <v>Field Options-0</v>
      </c>
      <c r="AL7" s="76">
        <f>COUNTIF($AJ$2:FormFields[[#This Row],[Exists FO]],1)</f>
        <v>0</v>
      </c>
      <c r="AM7" s="76" t="str">
        <f>IF(FormFields[[#This Row],[NO4]]=0,"id",FormFields[[#This Row],[NO4]]+IF(ISNUMBER(VLOOKUP('Table Seed Map'!$A$14,SeedMap[],9,0)),VLOOKUP('Table Seed Map'!$A$14,SeedMap[],9,0),0))</f>
        <v>id</v>
      </c>
      <c r="AN7" s="58">
        <f>IF(FormFields[[#This Row],[ID]]="id","form_field",FormFields[[#This Row],[ID]])</f>
        <v>510105</v>
      </c>
      <c r="AO7" s="84"/>
      <c r="AP7" s="84"/>
      <c r="AQ7" s="84"/>
      <c r="AR7" s="84"/>
      <c r="AS7" s="84"/>
      <c r="AT7" s="76">
        <f>IF(OR(FormFields[[#This Row],[Colspan]]="",FormFields[[#This Row],[Colspan]]="colspan"),0,1)</f>
        <v>0</v>
      </c>
      <c r="AU7" s="76" t="str">
        <f>'Table Seed Map'!$A$19&amp;"-"&amp;FormFields[[#This Row],[NO8]]</f>
        <v>Form Layout-0</v>
      </c>
      <c r="AV7" s="76">
        <f>COUNTIF($AT$1:FormFields[[#This Row],[Exists FL]],1)</f>
        <v>0</v>
      </c>
      <c r="AW7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76">
        <f>FormFields[Form]</f>
        <v>509102</v>
      </c>
      <c r="AY7" s="76">
        <f>IF(FormFields[[#This Row],[ID]]="id","form_field",FormFields[[#This Row],[ID]])</f>
        <v>510105</v>
      </c>
      <c r="AZ7" s="85"/>
      <c r="BA7" s="58">
        <f>FormFields[[#This Row],[ID]]</f>
        <v>510105</v>
      </c>
    </row>
    <row r="8" spans="1:149" x14ac:dyDescent="0.25">
      <c r="M8" s="75" t="str">
        <f>'Table Seed Map'!$A$12&amp;"-"&amp;FormFields[[#This Row],[No]]</f>
        <v>Form Fields-6</v>
      </c>
      <c r="N8" s="59" t="s">
        <v>881</v>
      </c>
      <c r="O8" s="76">
        <f>COUNTA($N$1:FormFields[[#This Row],[Form Name]])-1</f>
        <v>6</v>
      </c>
      <c r="P8" s="75" t="str">
        <f>FormFields[[#This Row],[Form Name]]&amp;"/"&amp;FormFields[[#This Row],[Name]]</f>
        <v>User/CreateServiceUser/phone</v>
      </c>
      <c r="Q8" s="76">
        <f>IF(FormFields[[#This Row],[No]]=0,"id",FormFields[[#This Row],[No]]+IF(ISNUMBER(VLOOKUP('Table Seed Map'!$A$12,SeedMap[],9,0)),VLOOKUP('Table Seed Map'!$A$12,SeedMap[],9,0),0))</f>
        <v>510106</v>
      </c>
      <c r="R8" s="77">
        <f>IFERROR(VLOOKUP(FormFields[[#This Row],[Form Name]],ResourceForms[[FormName]:[ID]],4,0),"resource_form")</f>
        <v>509102</v>
      </c>
      <c r="S8" s="78" t="s">
        <v>829</v>
      </c>
      <c r="T8" s="78" t="s">
        <v>858</v>
      </c>
      <c r="U8" s="78" t="s">
        <v>883</v>
      </c>
      <c r="V8" s="79"/>
      <c r="W8" s="79"/>
      <c r="X8" s="79"/>
      <c r="Y8" s="79"/>
      <c r="Z8" s="80" t="str">
        <f>'Table Seed Map'!$A$13&amp;"-"&amp;FormFields[[#This Row],[NO2]]</f>
        <v>Field Data-6</v>
      </c>
      <c r="AA8" s="81">
        <f>COUNTIFS($AB$1:FormFields[[#This Row],[Exists]],1)-1</f>
        <v>6</v>
      </c>
      <c r="AB8" s="81">
        <f>IF(AND(FormFields[[#This Row],[Attribute]]="",FormFields[[#This Row],[Rel]]=""),0,1)</f>
        <v>1</v>
      </c>
      <c r="AC8" s="81">
        <f>IF(FormFields[[#This Row],[NO2]]=0,"id",FormFields[[#This Row],[NO2]]+IF(ISNUMBER(VLOOKUP('Table Seed Map'!$A$13,SeedMap[],9,0)),VLOOKUP('Table Seed Map'!$A$13,SeedMap[],9,0),0))</f>
        <v>511106</v>
      </c>
      <c r="AD8" s="82">
        <f>IF(FormFields[[#This Row],[ID]]="id","form_field",FormFields[[#This Row],[ID]])</f>
        <v>510106</v>
      </c>
      <c r="AE8" s="81" t="str">
        <f>IF(FormFields[[#This Row],[No]]=0,"attribute",FormFields[[#This Row],[Name]])</f>
        <v>phone</v>
      </c>
      <c r="AF8" s="83" t="str">
        <f>IF(FormFields[[#This Row],[NO2]]=0,"relation",IF(FormFields[[#This Row],[Rel]]="","",VLOOKUP(FormFields[[#This Row],[Rel]],RelationTable[[Display]:[RELID]],2,0)))</f>
        <v/>
      </c>
      <c r="AG8" s="83" t="str">
        <f>IF(FormFields[[#This Row],[NO2]]=0,"nest_relation1",IF(FormFields[[#This Row],[Rel1]]="","",VLOOKUP(FormFields[[#This Row],[Rel1]],RelationTable[[Display]:[RELID]],2,0)))</f>
        <v/>
      </c>
      <c r="AH8" s="83" t="str">
        <f>IF(FormFields[[#This Row],[NO2]]=0,"nest_relation2",IF(FormFields[[#This Row],[Rel2]]="","",VLOOKUP(FormFields[[#This Row],[Rel2]],RelationTable[[Display]:[RELID]],2,0)))</f>
        <v/>
      </c>
      <c r="AI8" s="83" t="str">
        <f>IF(FormFields[[#This Row],[NO2]]=0,"nest_relation3",IF(FormFields[[#This Row],[Rel3]]="","",VLOOKUP(FormFields[[#This Row],[Rel3]],RelationTable[[Display]:[RELID]],2,0)))</f>
        <v/>
      </c>
      <c r="AJ8" s="76">
        <f>IF(OR(FormFields[[#This Row],[Option Type]]="",FormFields[[#This Row],[Option Type]]="type"),0,1)</f>
        <v>0</v>
      </c>
      <c r="AK8" s="76" t="str">
        <f>'Table Seed Map'!$A$14&amp;"-"&amp;FormFields[[#This Row],[NO4]]</f>
        <v>Field Options-0</v>
      </c>
      <c r="AL8" s="76">
        <f>COUNTIF($AJ$2:FormFields[[#This Row],[Exists FO]],1)</f>
        <v>0</v>
      </c>
      <c r="AM8" s="76" t="str">
        <f>IF(FormFields[[#This Row],[NO4]]=0,"id",FormFields[[#This Row],[NO4]]+IF(ISNUMBER(VLOOKUP('Table Seed Map'!$A$14,SeedMap[],9,0)),VLOOKUP('Table Seed Map'!$A$14,SeedMap[],9,0),0))</f>
        <v>id</v>
      </c>
      <c r="AN8" s="58">
        <f>IF(FormFields[[#This Row],[ID]]="id","form_field",FormFields[[#This Row],[ID]])</f>
        <v>510106</v>
      </c>
      <c r="AO8" s="84"/>
      <c r="AP8" s="84"/>
      <c r="AQ8" s="84"/>
      <c r="AR8" s="84"/>
      <c r="AS8" s="84"/>
      <c r="AT8" s="76">
        <f>IF(OR(FormFields[[#This Row],[Colspan]]="",FormFields[[#This Row],[Colspan]]="colspan"),0,1)</f>
        <v>0</v>
      </c>
      <c r="AU8" s="76" t="str">
        <f>'Table Seed Map'!$A$19&amp;"-"&amp;FormFields[[#This Row],[NO8]]</f>
        <v>Form Layout-0</v>
      </c>
      <c r="AV8" s="76">
        <f>COUNTIF($AT$1:FormFields[[#This Row],[Exists FL]],1)</f>
        <v>0</v>
      </c>
      <c r="AW8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76">
        <f>FormFields[Form]</f>
        <v>509102</v>
      </c>
      <c r="AY8" s="76">
        <f>IF(FormFields[[#This Row],[ID]]="id","form_field",FormFields[[#This Row],[ID]])</f>
        <v>510106</v>
      </c>
      <c r="AZ8" s="85"/>
      <c r="BA8" s="58">
        <f>FormFields[[#This Row],[ID]]</f>
        <v>510106</v>
      </c>
    </row>
    <row r="9" spans="1:149" x14ac:dyDescent="0.25">
      <c r="M9" s="75" t="str">
        <f>'Table Seed Map'!$A$12&amp;"-"&amp;FormFields[[#This Row],[No]]</f>
        <v>Form Fields-7</v>
      </c>
      <c r="N9" s="59" t="s">
        <v>881</v>
      </c>
      <c r="O9" s="76">
        <f>COUNTA($N$1:FormFields[[#This Row],[Form Name]])-1</f>
        <v>7</v>
      </c>
      <c r="P9" s="75" t="str">
        <f>FormFields[[#This Row],[Form Name]]&amp;"/"&amp;FormFields[[#This Row],[Name]]</f>
        <v>User/CreateServiceUser/login</v>
      </c>
      <c r="Q9" s="76">
        <f>IF(FormFields[[#This Row],[No]]=0,"id",FormFields[[#This Row],[No]]+IF(ISNUMBER(VLOOKUP('Table Seed Map'!$A$12,SeedMap[],9,0)),VLOOKUP('Table Seed Map'!$A$12,SeedMap[],9,0),0))</f>
        <v>510107</v>
      </c>
      <c r="R9" s="77">
        <f>IFERROR(VLOOKUP(FormFields[[#This Row],[Form Name]],ResourceForms[[FormName]:[ID]],4,0),"resource_form")</f>
        <v>509102</v>
      </c>
      <c r="S9" s="78" t="s">
        <v>882</v>
      </c>
      <c r="T9" s="78" t="s">
        <v>858</v>
      </c>
      <c r="U9" s="78" t="s">
        <v>884</v>
      </c>
      <c r="V9" s="79"/>
      <c r="W9" s="79"/>
      <c r="X9" s="79"/>
      <c r="Y9" s="79"/>
      <c r="Z9" s="80" t="str">
        <f>'Table Seed Map'!$A$13&amp;"-"&amp;FormFields[[#This Row],[NO2]]</f>
        <v>Field Data-7</v>
      </c>
      <c r="AA9" s="81">
        <f>COUNTIFS($AB$1:FormFields[[#This Row],[Exists]],1)-1</f>
        <v>7</v>
      </c>
      <c r="AB9" s="81">
        <f>IF(AND(FormFields[[#This Row],[Attribute]]="",FormFields[[#This Row],[Rel]]=""),0,1)</f>
        <v>1</v>
      </c>
      <c r="AC9" s="81">
        <f>IF(FormFields[[#This Row],[NO2]]=0,"id",FormFields[[#This Row],[NO2]]+IF(ISNUMBER(VLOOKUP('Table Seed Map'!$A$13,SeedMap[],9,0)),VLOOKUP('Table Seed Map'!$A$13,SeedMap[],9,0),0))</f>
        <v>511107</v>
      </c>
      <c r="AD9" s="82">
        <f>IF(FormFields[[#This Row],[ID]]="id","form_field",FormFields[[#This Row],[ID]])</f>
        <v>510107</v>
      </c>
      <c r="AE9" s="81" t="str">
        <f>IF(FormFields[[#This Row],[No]]=0,"attribute",FormFields[[#This Row],[Name]])</f>
        <v>login</v>
      </c>
      <c r="AF9" s="83" t="str">
        <f>IF(FormFields[[#This Row],[NO2]]=0,"relation",IF(FormFields[[#This Row],[Rel]]="","",VLOOKUP(FormFields[[#This Row],[Rel]],RelationTable[[Display]:[RELID]],2,0)))</f>
        <v/>
      </c>
      <c r="AG9" s="83" t="str">
        <f>IF(FormFields[[#This Row],[NO2]]=0,"nest_relation1",IF(FormFields[[#This Row],[Rel1]]="","",VLOOKUP(FormFields[[#This Row],[Rel1]],RelationTable[[Display]:[RELID]],2,0)))</f>
        <v/>
      </c>
      <c r="AH9" s="83" t="str">
        <f>IF(FormFields[[#This Row],[NO2]]=0,"nest_relation2",IF(FormFields[[#This Row],[Rel2]]="","",VLOOKUP(FormFields[[#This Row],[Rel2]],RelationTable[[Display]:[RELID]],2,0)))</f>
        <v/>
      </c>
      <c r="AI9" s="83" t="str">
        <f>IF(FormFields[[#This Row],[NO2]]=0,"nest_relation3",IF(FormFields[[#This Row],[Rel3]]="","",VLOOKUP(FormFields[[#This Row],[Rel3]],RelationTable[[Display]:[RELID]],2,0)))</f>
        <v/>
      </c>
      <c r="AJ9" s="76">
        <f>IF(OR(FormFields[[#This Row],[Option Type]]="",FormFields[[#This Row],[Option Type]]="type"),0,1)</f>
        <v>0</v>
      </c>
      <c r="AK9" s="76" t="str">
        <f>'Table Seed Map'!$A$14&amp;"-"&amp;FormFields[[#This Row],[NO4]]</f>
        <v>Field Options-0</v>
      </c>
      <c r="AL9" s="76">
        <f>COUNTIF($AJ$2:FormFields[[#This Row],[Exists FO]],1)</f>
        <v>0</v>
      </c>
      <c r="AM9" s="76" t="str">
        <f>IF(FormFields[[#This Row],[NO4]]=0,"id",FormFields[[#This Row],[NO4]]+IF(ISNUMBER(VLOOKUP('Table Seed Map'!$A$14,SeedMap[],9,0)),VLOOKUP('Table Seed Map'!$A$14,SeedMap[],9,0),0))</f>
        <v>id</v>
      </c>
      <c r="AN9" s="58">
        <f>IF(FormFields[[#This Row],[ID]]="id","form_field",FormFields[[#This Row],[ID]])</f>
        <v>510107</v>
      </c>
      <c r="AO9" s="84"/>
      <c r="AP9" s="84"/>
      <c r="AQ9" s="84"/>
      <c r="AR9" s="84"/>
      <c r="AS9" s="84"/>
      <c r="AT9" s="76">
        <f>IF(OR(FormFields[[#This Row],[Colspan]]="",FormFields[[#This Row],[Colspan]]="colspan"),0,1)</f>
        <v>0</v>
      </c>
      <c r="AU9" s="76" t="str">
        <f>'Table Seed Map'!$A$19&amp;"-"&amp;FormFields[[#This Row],[NO8]]</f>
        <v>Form Layout-0</v>
      </c>
      <c r="AV9" s="76">
        <f>COUNTIF($AT$1:FormFields[[#This Row],[Exists FL]],1)</f>
        <v>0</v>
      </c>
      <c r="AW9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76">
        <f>FormFields[Form]</f>
        <v>509102</v>
      </c>
      <c r="AY9" s="76">
        <f>IF(FormFields[[#This Row],[ID]]="id","form_field",FormFields[[#This Row],[ID]])</f>
        <v>510107</v>
      </c>
      <c r="AZ9" s="85"/>
      <c r="BA9" s="58">
        <f>FormFields[[#This Row],[ID]]</f>
        <v>510107</v>
      </c>
    </row>
    <row r="10" spans="1:149" x14ac:dyDescent="0.25">
      <c r="M10" s="75" t="str">
        <f>'Table Seed Map'!$A$12&amp;"-"&amp;FormFields[[#This Row],[No]]</f>
        <v>Form Fields-8</v>
      </c>
      <c r="N10" s="59" t="s">
        <v>881</v>
      </c>
      <c r="O10" s="76">
        <f>COUNTA($N$1:FormFields[[#This Row],[Form Name]])-1</f>
        <v>8</v>
      </c>
      <c r="P10" s="75" t="str">
        <f>FormFields[[#This Row],[Form Name]]&amp;"/"&amp;FormFields[[#This Row],[Name]]</f>
        <v>User/CreateServiceUser/email</v>
      </c>
      <c r="Q10" s="76">
        <f>IF(FormFields[[#This Row],[No]]=0,"id",FormFields[[#This Row],[No]]+IF(ISNUMBER(VLOOKUP('Table Seed Map'!$A$12,SeedMap[],9,0)),VLOOKUP('Table Seed Map'!$A$12,SeedMap[],9,0),0))</f>
        <v>510108</v>
      </c>
      <c r="R10" s="77">
        <f>IFERROR(VLOOKUP(FormFields[[#This Row],[Form Name]],ResourceForms[[FormName]:[ID]],4,0),"resource_form")</f>
        <v>509102</v>
      </c>
      <c r="S10" s="78" t="s">
        <v>830</v>
      </c>
      <c r="T10" s="78" t="s">
        <v>858</v>
      </c>
      <c r="U10" s="78" t="s">
        <v>885</v>
      </c>
      <c r="V10" s="79"/>
      <c r="W10" s="79"/>
      <c r="X10" s="79"/>
      <c r="Y10" s="79"/>
      <c r="Z10" s="80" t="str">
        <f>'Table Seed Map'!$A$13&amp;"-"&amp;FormFields[[#This Row],[NO2]]</f>
        <v>Field Data-8</v>
      </c>
      <c r="AA10" s="81">
        <f>COUNTIFS($AB$1:FormFields[[#This Row],[Exists]],1)-1</f>
        <v>8</v>
      </c>
      <c r="AB10" s="81">
        <f>IF(AND(FormFields[[#This Row],[Attribute]]="",FormFields[[#This Row],[Rel]]=""),0,1)</f>
        <v>1</v>
      </c>
      <c r="AC10" s="81">
        <f>IF(FormFields[[#This Row],[NO2]]=0,"id",FormFields[[#This Row],[NO2]]+IF(ISNUMBER(VLOOKUP('Table Seed Map'!$A$13,SeedMap[],9,0)),VLOOKUP('Table Seed Map'!$A$13,SeedMap[],9,0),0))</f>
        <v>511108</v>
      </c>
      <c r="AD10" s="82">
        <f>IF(FormFields[[#This Row],[ID]]="id","form_field",FormFields[[#This Row],[ID]])</f>
        <v>510108</v>
      </c>
      <c r="AE10" s="81" t="str">
        <f>IF(FormFields[[#This Row],[No]]=0,"attribute",FormFields[[#This Row],[Name]])</f>
        <v>email</v>
      </c>
      <c r="AF10" s="83" t="str">
        <f>IF(FormFields[[#This Row],[NO2]]=0,"relation",IF(FormFields[[#This Row],[Rel]]="","",VLOOKUP(FormFields[[#This Row],[Rel]],RelationTable[[Display]:[RELID]],2,0)))</f>
        <v/>
      </c>
      <c r="AG10" s="83" t="str">
        <f>IF(FormFields[[#This Row],[NO2]]=0,"nest_relation1",IF(FormFields[[#This Row],[Rel1]]="","",VLOOKUP(FormFields[[#This Row],[Rel1]],RelationTable[[Display]:[RELID]],2,0)))</f>
        <v/>
      </c>
      <c r="AH10" s="83" t="str">
        <f>IF(FormFields[[#This Row],[NO2]]=0,"nest_relation2",IF(FormFields[[#This Row],[Rel2]]="","",VLOOKUP(FormFields[[#This Row],[Rel2]],RelationTable[[Display]:[RELID]],2,0)))</f>
        <v/>
      </c>
      <c r="AI10" s="83" t="str">
        <f>IF(FormFields[[#This Row],[NO2]]=0,"nest_relation3",IF(FormFields[[#This Row],[Rel3]]="","",VLOOKUP(FormFields[[#This Row],[Rel3]],RelationTable[[Display]:[RELID]],2,0)))</f>
        <v/>
      </c>
      <c r="AJ10" s="76">
        <f>IF(OR(FormFields[[#This Row],[Option Type]]="",FormFields[[#This Row],[Option Type]]="type"),0,1)</f>
        <v>0</v>
      </c>
      <c r="AK10" s="76" t="str">
        <f>'Table Seed Map'!$A$14&amp;"-"&amp;FormFields[[#This Row],[NO4]]</f>
        <v>Field Options-0</v>
      </c>
      <c r="AL10" s="76">
        <f>COUNTIF($AJ$2:FormFields[[#This Row],[Exists FO]],1)</f>
        <v>0</v>
      </c>
      <c r="AM10" s="76" t="str">
        <f>IF(FormFields[[#This Row],[NO4]]=0,"id",FormFields[[#This Row],[NO4]]+IF(ISNUMBER(VLOOKUP('Table Seed Map'!$A$14,SeedMap[],9,0)),VLOOKUP('Table Seed Map'!$A$14,SeedMap[],9,0),0))</f>
        <v>id</v>
      </c>
      <c r="AN10" s="58">
        <f>IF(FormFields[[#This Row],[ID]]="id","form_field",FormFields[[#This Row],[ID]])</f>
        <v>510108</v>
      </c>
      <c r="AO10" s="84"/>
      <c r="AP10" s="84"/>
      <c r="AQ10" s="84"/>
      <c r="AR10" s="84"/>
      <c r="AS10" s="84"/>
      <c r="AT10" s="76">
        <f>IF(OR(FormFields[[#This Row],[Colspan]]="",FormFields[[#This Row],[Colspan]]="colspan"),0,1)</f>
        <v>0</v>
      </c>
      <c r="AU10" s="76" t="str">
        <f>'Table Seed Map'!$A$19&amp;"-"&amp;FormFields[[#This Row],[NO8]]</f>
        <v>Form Layout-0</v>
      </c>
      <c r="AV10" s="76">
        <f>COUNTIF($AT$1:FormFields[[#This Row],[Exists FL]],1)</f>
        <v>0</v>
      </c>
      <c r="AW10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76">
        <f>FormFields[Form]</f>
        <v>509102</v>
      </c>
      <c r="AY10" s="76">
        <f>IF(FormFields[[#This Row],[ID]]="id","form_field",FormFields[[#This Row],[ID]])</f>
        <v>510108</v>
      </c>
      <c r="AZ10" s="85"/>
      <c r="BA10" s="58">
        <f>FormFields[[#This Row],[ID]]</f>
        <v>510108</v>
      </c>
    </row>
    <row r="11" spans="1:149" x14ac:dyDescent="0.25">
      <c r="M11" s="75" t="str">
        <f>'Table Seed Map'!$A$12&amp;"-"&amp;FormFields[[#This Row],[No]]</f>
        <v>Form Fields-9</v>
      </c>
      <c r="N11" s="59" t="s">
        <v>887</v>
      </c>
      <c r="O11" s="76">
        <f>COUNTA($N$1:FormFields[[#This Row],[Form Name]])-1</f>
        <v>9</v>
      </c>
      <c r="P11" s="75" t="str">
        <f>FormFields[[#This Row],[Form Name]]&amp;"/"&amp;FormFields[[#This Row],[Name]]</f>
        <v>Counter/CreateCounter/name</v>
      </c>
      <c r="Q11" s="76">
        <f>IF(FormFields[[#This Row],[No]]=0,"id",FormFields[[#This Row],[No]]+IF(ISNUMBER(VLOOKUP('Table Seed Map'!$A$12,SeedMap[],9,0)),VLOOKUP('Table Seed Map'!$A$12,SeedMap[],9,0),0))</f>
        <v>510109</v>
      </c>
      <c r="R11" s="77">
        <f>IFERROR(VLOOKUP(FormFields[[#This Row],[Form Name]],ResourceForms[[FormName]:[ID]],4,0),"resource_form")</f>
        <v>509103</v>
      </c>
      <c r="S11" s="78" t="s">
        <v>23</v>
      </c>
      <c r="T11" s="78" t="s">
        <v>858</v>
      </c>
      <c r="U11" s="78" t="s">
        <v>1</v>
      </c>
      <c r="V11" s="79"/>
      <c r="W11" s="79"/>
      <c r="X11" s="79"/>
      <c r="Y11" s="79"/>
      <c r="Z11" s="80" t="str">
        <f>'Table Seed Map'!$A$13&amp;"-"&amp;FormFields[[#This Row],[NO2]]</f>
        <v>Field Data-9</v>
      </c>
      <c r="AA11" s="81">
        <f>COUNTIFS($AB$1:FormFields[[#This Row],[Exists]],1)-1</f>
        <v>9</v>
      </c>
      <c r="AB11" s="81">
        <f>IF(AND(FormFields[[#This Row],[Attribute]]="",FormFields[[#This Row],[Rel]]=""),0,1)</f>
        <v>1</v>
      </c>
      <c r="AC11" s="81">
        <f>IF(FormFields[[#This Row],[NO2]]=0,"id",FormFields[[#This Row],[NO2]]+IF(ISNUMBER(VLOOKUP('Table Seed Map'!$A$13,SeedMap[],9,0)),VLOOKUP('Table Seed Map'!$A$13,SeedMap[],9,0),0))</f>
        <v>511109</v>
      </c>
      <c r="AD11" s="82">
        <f>IF(FormFields[[#This Row],[ID]]="id","form_field",FormFields[[#This Row],[ID]])</f>
        <v>510109</v>
      </c>
      <c r="AE11" s="81" t="str">
        <f>IF(FormFields[[#This Row],[No]]=0,"attribute",FormFields[[#This Row],[Name]])</f>
        <v>name</v>
      </c>
      <c r="AF11" s="83" t="str">
        <f>IF(FormFields[[#This Row],[NO2]]=0,"relation",IF(FormFields[[#This Row],[Rel]]="","",VLOOKUP(FormFields[[#This Row],[Rel]],RelationTable[[Display]:[RELID]],2,0)))</f>
        <v/>
      </c>
      <c r="AG11" s="83" t="str">
        <f>IF(FormFields[[#This Row],[NO2]]=0,"nest_relation1",IF(FormFields[[#This Row],[Rel1]]="","",VLOOKUP(FormFields[[#This Row],[Rel1]],RelationTable[[Display]:[RELID]],2,0)))</f>
        <v/>
      </c>
      <c r="AH11" s="83" t="str">
        <f>IF(FormFields[[#This Row],[NO2]]=0,"nest_relation2",IF(FormFields[[#This Row],[Rel2]]="","",VLOOKUP(FormFields[[#This Row],[Rel2]],RelationTable[[Display]:[RELID]],2,0)))</f>
        <v/>
      </c>
      <c r="AI11" s="83" t="str">
        <f>IF(FormFields[[#This Row],[NO2]]=0,"nest_relation3",IF(FormFields[[#This Row],[Rel3]]="","",VLOOKUP(FormFields[[#This Row],[Rel3]],RelationTable[[Display]:[RELID]],2,0)))</f>
        <v/>
      </c>
      <c r="AJ11" s="76">
        <f>IF(OR(FormFields[[#This Row],[Option Type]]="",FormFields[[#This Row],[Option Type]]="type"),0,1)</f>
        <v>0</v>
      </c>
      <c r="AK11" s="76" t="str">
        <f>'Table Seed Map'!$A$14&amp;"-"&amp;FormFields[[#This Row],[NO4]]</f>
        <v>Field Options-0</v>
      </c>
      <c r="AL11" s="76">
        <f>COUNTIF($AJ$2:FormFields[[#This Row],[Exists FO]],1)</f>
        <v>0</v>
      </c>
      <c r="AM11" s="76" t="str">
        <f>IF(FormFields[[#This Row],[NO4]]=0,"id",FormFields[[#This Row],[NO4]]+IF(ISNUMBER(VLOOKUP('Table Seed Map'!$A$14,SeedMap[],9,0)),VLOOKUP('Table Seed Map'!$A$14,SeedMap[],9,0),0))</f>
        <v>id</v>
      </c>
      <c r="AN11" s="58">
        <f>IF(FormFields[[#This Row],[ID]]="id","form_field",FormFields[[#This Row],[ID]])</f>
        <v>510109</v>
      </c>
      <c r="AO11" s="84"/>
      <c r="AP11" s="84"/>
      <c r="AQ11" s="84"/>
      <c r="AR11" s="84"/>
      <c r="AS11" s="84"/>
      <c r="AT11" s="76">
        <f>IF(OR(FormFields[[#This Row],[Colspan]]="",FormFields[[#This Row],[Colspan]]="colspan"),0,1)</f>
        <v>0</v>
      </c>
      <c r="AU11" s="76" t="str">
        <f>'Table Seed Map'!$A$19&amp;"-"&amp;FormFields[[#This Row],[NO8]]</f>
        <v>Form Layout-0</v>
      </c>
      <c r="AV11" s="76">
        <f>COUNTIF($AT$1:FormFields[[#This Row],[Exists FL]],1)</f>
        <v>0</v>
      </c>
      <c r="AW11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76">
        <f>FormFields[Form]</f>
        <v>509103</v>
      </c>
      <c r="AY11" s="76">
        <f>IF(FormFields[[#This Row],[ID]]="id","form_field",FormFields[[#This Row],[ID]])</f>
        <v>510109</v>
      </c>
      <c r="AZ11" s="85"/>
      <c r="BA11" s="58">
        <f>FormFields[[#This Row],[ID]]</f>
        <v>510109</v>
      </c>
    </row>
    <row r="12" spans="1:149" x14ac:dyDescent="0.25">
      <c r="M12" s="75" t="str">
        <f>'Table Seed Map'!$A$12&amp;"-"&amp;FormFields[[#This Row],[No]]</f>
        <v>Form Fields-10</v>
      </c>
      <c r="N12" s="59" t="s">
        <v>887</v>
      </c>
      <c r="O12" s="76">
        <f>COUNTA($N$1:FormFields[[#This Row],[Form Name]])-1</f>
        <v>10</v>
      </c>
      <c r="P12" s="75" t="str">
        <f>FormFields[[#This Row],[Form Name]]&amp;"/"&amp;FormFields[[#This Row],[Name]]</f>
        <v>Counter/CreateCounter/display_name</v>
      </c>
      <c r="Q12" s="76">
        <f>IF(FormFields[[#This Row],[No]]=0,"id",FormFields[[#This Row],[No]]+IF(ISNUMBER(VLOOKUP('Table Seed Map'!$A$12,SeedMap[],9,0)),VLOOKUP('Table Seed Map'!$A$12,SeedMap[],9,0),0))</f>
        <v>510110</v>
      </c>
      <c r="R12" s="77">
        <f>IFERROR(VLOOKUP(FormFields[[#This Row],[Form Name]],ResourceForms[[FormName]:[ID]],4,0),"resource_form")</f>
        <v>509103</v>
      </c>
      <c r="S12" s="78" t="s">
        <v>822</v>
      </c>
      <c r="T12" s="78" t="s">
        <v>858</v>
      </c>
      <c r="U12" s="78" t="s">
        <v>889</v>
      </c>
      <c r="V12" s="79"/>
      <c r="W12" s="79"/>
      <c r="X12" s="79"/>
      <c r="Y12" s="79"/>
      <c r="Z12" s="80" t="str">
        <f>'Table Seed Map'!$A$13&amp;"-"&amp;FormFields[[#This Row],[NO2]]</f>
        <v>Field Data-10</v>
      </c>
      <c r="AA12" s="81">
        <f>COUNTIFS($AB$1:FormFields[[#This Row],[Exists]],1)-1</f>
        <v>10</v>
      </c>
      <c r="AB12" s="81">
        <f>IF(AND(FormFields[[#This Row],[Attribute]]="",FormFields[[#This Row],[Rel]]=""),0,1)</f>
        <v>1</v>
      </c>
      <c r="AC12" s="81">
        <f>IF(FormFields[[#This Row],[NO2]]=0,"id",FormFields[[#This Row],[NO2]]+IF(ISNUMBER(VLOOKUP('Table Seed Map'!$A$13,SeedMap[],9,0)),VLOOKUP('Table Seed Map'!$A$13,SeedMap[],9,0),0))</f>
        <v>511110</v>
      </c>
      <c r="AD12" s="82">
        <f>IF(FormFields[[#This Row],[ID]]="id","form_field",FormFields[[#This Row],[ID]])</f>
        <v>510110</v>
      </c>
      <c r="AE12" s="81" t="str">
        <f>IF(FormFields[[#This Row],[No]]=0,"attribute",FormFields[[#This Row],[Name]])</f>
        <v>display_name</v>
      </c>
      <c r="AF12" s="83" t="str">
        <f>IF(FormFields[[#This Row],[NO2]]=0,"relation",IF(FormFields[[#This Row],[Rel]]="","",VLOOKUP(FormFields[[#This Row],[Rel]],RelationTable[[Display]:[RELID]],2,0)))</f>
        <v/>
      </c>
      <c r="AG12" s="83" t="str">
        <f>IF(FormFields[[#This Row],[NO2]]=0,"nest_relation1",IF(FormFields[[#This Row],[Rel1]]="","",VLOOKUP(FormFields[[#This Row],[Rel1]],RelationTable[[Display]:[RELID]],2,0)))</f>
        <v/>
      </c>
      <c r="AH12" s="83" t="str">
        <f>IF(FormFields[[#This Row],[NO2]]=0,"nest_relation2",IF(FormFields[[#This Row],[Rel2]]="","",VLOOKUP(FormFields[[#This Row],[Rel2]],RelationTable[[Display]:[RELID]],2,0)))</f>
        <v/>
      </c>
      <c r="AI12" s="83" t="str">
        <f>IF(FormFields[[#This Row],[NO2]]=0,"nest_relation3",IF(FormFields[[#This Row],[Rel3]]="","",VLOOKUP(FormFields[[#This Row],[Rel3]],RelationTable[[Display]:[RELID]],2,0)))</f>
        <v/>
      </c>
      <c r="AJ12" s="76">
        <f>IF(OR(FormFields[[#This Row],[Option Type]]="",FormFields[[#This Row],[Option Type]]="type"),0,1)</f>
        <v>0</v>
      </c>
      <c r="AK12" s="76" t="str">
        <f>'Table Seed Map'!$A$14&amp;"-"&amp;FormFields[[#This Row],[NO4]]</f>
        <v>Field Options-0</v>
      </c>
      <c r="AL12" s="76">
        <f>COUNTIF($AJ$2:FormFields[[#This Row],[Exists FO]],1)</f>
        <v>0</v>
      </c>
      <c r="AM12" s="76" t="str">
        <f>IF(FormFields[[#This Row],[NO4]]=0,"id",FormFields[[#This Row],[NO4]]+IF(ISNUMBER(VLOOKUP('Table Seed Map'!$A$14,SeedMap[],9,0)),VLOOKUP('Table Seed Map'!$A$14,SeedMap[],9,0),0))</f>
        <v>id</v>
      </c>
      <c r="AN12" s="58">
        <f>IF(FormFields[[#This Row],[ID]]="id","form_field",FormFields[[#This Row],[ID]])</f>
        <v>510110</v>
      </c>
      <c r="AO12" s="84"/>
      <c r="AP12" s="84"/>
      <c r="AQ12" s="84"/>
      <c r="AR12" s="84"/>
      <c r="AS12" s="84"/>
      <c r="AT12" s="76">
        <f>IF(OR(FormFields[[#This Row],[Colspan]]="",FormFields[[#This Row],[Colspan]]="colspan"),0,1)</f>
        <v>0</v>
      </c>
      <c r="AU12" s="76" t="str">
        <f>'Table Seed Map'!$A$19&amp;"-"&amp;FormFields[[#This Row],[NO8]]</f>
        <v>Form Layout-0</v>
      </c>
      <c r="AV12" s="76">
        <f>COUNTIF($AT$1:FormFields[[#This Row],[Exists FL]],1)</f>
        <v>0</v>
      </c>
      <c r="AW12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76">
        <f>FormFields[Form]</f>
        <v>509103</v>
      </c>
      <c r="AY12" s="76">
        <f>IF(FormFields[[#This Row],[ID]]="id","form_field",FormFields[[#This Row],[ID]])</f>
        <v>510110</v>
      </c>
      <c r="AZ12" s="85"/>
      <c r="BA12" s="58">
        <f>FormFields[[#This Row],[ID]]</f>
        <v>510110</v>
      </c>
    </row>
    <row r="13" spans="1:149" x14ac:dyDescent="0.25">
      <c r="M13" s="75" t="str">
        <f>'Table Seed Map'!$A$12&amp;"-"&amp;FormFields[[#This Row],[No]]</f>
        <v>Form Fields-11</v>
      </c>
      <c r="N13" s="59" t="s">
        <v>887</v>
      </c>
      <c r="O13" s="76">
        <f>COUNTA($N$1:FormFields[[#This Row],[Form Name]])-1</f>
        <v>11</v>
      </c>
      <c r="P13" s="75" t="str">
        <f>FormFields[[#This Row],[Form Name]]&amp;"/"&amp;FormFields[[#This Row],[Name]]</f>
        <v>Counter/CreateCounter/status</v>
      </c>
      <c r="Q13" s="76">
        <f>IF(FormFields[[#This Row],[No]]=0,"id",FormFields[[#This Row],[No]]+IF(ISNUMBER(VLOOKUP('Table Seed Map'!$A$12,SeedMap[],9,0)),VLOOKUP('Table Seed Map'!$A$12,SeedMap[],9,0),0))</f>
        <v>510111</v>
      </c>
      <c r="R13" s="77">
        <f>IFERROR(VLOOKUP(FormFields[[#This Row],[Form Name]],ResourceForms[[FormName]:[ID]],4,0),"resource_form")</f>
        <v>509103</v>
      </c>
      <c r="S13" s="78" t="s">
        <v>823</v>
      </c>
      <c r="T13" s="78" t="s">
        <v>888</v>
      </c>
      <c r="U13" s="78" t="s">
        <v>890</v>
      </c>
      <c r="V13" s="79"/>
      <c r="W13" s="79"/>
      <c r="X13" s="79"/>
      <c r="Y13" s="79"/>
      <c r="Z13" s="80" t="str">
        <f>'Table Seed Map'!$A$13&amp;"-"&amp;FormFields[[#This Row],[NO2]]</f>
        <v>Field Data-11</v>
      </c>
      <c r="AA13" s="81">
        <f>COUNTIFS($AB$1:FormFields[[#This Row],[Exists]],1)-1</f>
        <v>11</v>
      </c>
      <c r="AB13" s="81">
        <f>IF(AND(FormFields[[#This Row],[Attribute]]="",FormFields[[#This Row],[Rel]]=""),0,1)</f>
        <v>1</v>
      </c>
      <c r="AC13" s="81">
        <f>IF(FormFields[[#This Row],[NO2]]=0,"id",FormFields[[#This Row],[NO2]]+IF(ISNUMBER(VLOOKUP('Table Seed Map'!$A$13,SeedMap[],9,0)),VLOOKUP('Table Seed Map'!$A$13,SeedMap[],9,0),0))</f>
        <v>511111</v>
      </c>
      <c r="AD13" s="82">
        <f>IF(FormFields[[#This Row],[ID]]="id","form_field",FormFields[[#This Row],[ID]])</f>
        <v>510111</v>
      </c>
      <c r="AE13" s="81" t="str">
        <f>IF(FormFields[[#This Row],[No]]=0,"attribute",FormFields[[#This Row],[Name]])</f>
        <v>status</v>
      </c>
      <c r="AF13" s="83" t="str">
        <f>IF(FormFields[[#This Row],[NO2]]=0,"relation",IF(FormFields[[#This Row],[Rel]]="","",VLOOKUP(FormFields[[#This Row],[Rel]],RelationTable[[Display]:[RELID]],2,0)))</f>
        <v/>
      </c>
      <c r="AG13" s="83" t="str">
        <f>IF(FormFields[[#This Row],[NO2]]=0,"nest_relation1",IF(FormFields[[#This Row],[Rel1]]="","",VLOOKUP(FormFields[[#This Row],[Rel1]],RelationTable[[Display]:[RELID]],2,0)))</f>
        <v/>
      </c>
      <c r="AH13" s="83" t="str">
        <f>IF(FormFields[[#This Row],[NO2]]=0,"nest_relation2",IF(FormFields[[#This Row],[Rel2]]="","",VLOOKUP(FormFields[[#This Row],[Rel2]],RelationTable[[Display]:[RELID]],2,0)))</f>
        <v/>
      </c>
      <c r="AI13" s="83" t="str">
        <f>IF(FormFields[[#This Row],[NO2]]=0,"nest_relation3",IF(FormFields[[#This Row],[Rel3]]="","",VLOOKUP(FormFields[[#This Row],[Rel3]],RelationTable[[Display]:[RELID]],2,0)))</f>
        <v/>
      </c>
      <c r="AJ13" s="76">
        <f>IF(OR(FormFields[[#This Row],[Option Type]]="",FormFields[[#This Row],[Option Type]]="type"),0,1)</f>
        <v>1</v>
      </c>
      <c r="AK13" s="76" t="str">
        <f>'Table Seed Map'!$A$14&amp;"-"&amp;FormFields[[#This Row],[NO4]]</f>
        <v>Field Options-1</v>
      </c>
      <c r="AL13" s="76">
        <f>COUNTIF($AJ$2:FormFields[[#This Row],[Exists FO]],1)</f>
        <v>1</v>
      </c>
      <c r="AM13" s="76">
        <f>IF(FormFields[[#This Row],[NO4]]=0,"id",FormFields[[#This Row],[NO4]]+IF(ISNUMBER(VLOOKUP('Table Seed Map'!$A$14,SeedMap[],9,0)),VLOOKUP('Table Seed Map'!$A$14,SeedMap[],9,0),0))</f>
        <v>512101</v>
      </c>
      <c r="AN13" s="58">
        <f>IF(FormFields[[#This Row],[ID]]="id","form_field",FormFields[[#This Row],[ID]])</f>
        <v>510111</v>
      </c>
      <c r="AO13" s="84" t="s">
        <v>891</v>
      </c>
      <c r="AP13" s="84"/>
      <c r="AQ13" s="84"/>
      <c r="AR13" s="84"/>
      <c r="AS13" s="84"/>
      <c r="AT13" s="76">
        <f>IF(OR(FormFields[[#This Row],[Colspan]]="",FormFields[[#This Row],[Colspan]]="colspan"),0,1)</f>
        <v>0</v>
      </c>
      <c r="AU13" s="76" t="str">
        <f>'Table Seed Map'!$A$19&amp;"-"&amp;FormFields[[#This Row],[NO8]]</f>
        <v>Form Layout-0</v>
      </c>
      <c r="AV13" s="76">
        <f>COUNTIF($AT$1:FormFields[[#This Row],[Exists FL]],1)</f>
        <v>0</v>
      </c>
      <c r="AW13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76">
        <f>FormFields[Form]</f>
        <v>509103</v>
      </c>
      <c r="AY13" s="76">
        <f>IF(FormFields[[#This Row],[ID]]="id","form_field",FormFields[[#This Row],[ID]])</f>
        <v>510111</v>
      </c>
      <c r="AZ13" s="85"/>
      <c r="BA13" s="58">
        <f>FormFields[[#This Row],[ID]]</f>
        <v>510111</v>
      </c>
    </row>
    <row r="14" spans="1:149" x14ac:dyDescent="0.25">
      <c r="M14" s="75" t="str">
        <f>'Table Seed Map'!$A$12&amp;"-"&amp;FormFields[[#This Row],[No]]</f>
        <v>Form Fields-12</v>
      </c>
      <c r="N14" s="59" t="s">
        <v>893</v>
      </c>
      <c r="O14" s="76">
        <f>COUNTA($N$1:FormFields[[#This Row],[Form Name]])-1</f>
        <v>12</v>
      </c>
      <c r="P14" s="75" t="str">
        <f>FormFields[[#This Row],[Form Name]]&amp;"/"&amp;FormFields[[#This Row],[Name]]</f>
        <v>Customer/CreateCustomer/name</v>
      </c>
      <c r="Q14" s="76">
        <f>IF(FormFields[[#This Row],[No]]=0,"id",FormFields[[#This Row],[No]]+IF(ISNUMBER(VLOOKUP('Table Seed Map'!$A$12,SeedMap[],9,0)),VLOOKUP('Table Seed Map'!$A$12,SeedMap[],9,0),0))</f>
        <v>510112</v>
      </c>
      <c r="R14" s="77">
        <f>IFERROR(VLOOKUP(FormFields[[#This Row],[Form Name]],ResourceForms[[FormName]:[ID]],4,0),"resource_form")</f>
        <v>509104</v>
      </c>
      <c r="S14" s="78" t="s">
        <v>23</v>
      </c>
      <c r="T14" s="78" t="s">
        <v>858</v>
      </c>
      <c r="U14" s="78" t="s">
        <v>1</v>
      </c>
      <c r="V14" s="79"/>
      <c r="W14" s="79"/>
      <c r="X14" s="79"/>
      <c r="Y14" s="79"/>
      <c r="Z14" s="80" t="str">
        <f>'Table Seed Map'!$A$13&amp;"-"&amp;FormFields[[#This Row],[NO2]]</f>
        <v>Field Data-12</v>
      </c>
      <c r="AA14" s="81">
        <f>COUNTIFS($AB$1:FormFields[[#This Row],[Exists]],1)-1</f>
        <v>12</v>
      </c>
      <c r="AB14" s="81">
        <f>IF(AND(FormFields[[#This Row],[Attribute]]="",FormFields[[#This Row],[Rel]]=""),0,1)</f>
        <v>1</v>
      </c>
      <c r="AC14" s="81">
        <f>IF(FormFields[[#This Row],[NO2]]=0,"id",FormFields[[#This Row],[NO2]]+IF(ISNUMBER(VLOOKUP('Table Seed Map'!$A$13,SeedMap[],9,0)),VLOOKUP('Table Seed Map'!$A$13,SeedMap[],9,0),0))</f>
        <v>511112</v>
      </c>
      <c r="AD14" s="82">
        <f>IF(FormFields[[#This Row],[ID]]="id","form_field",FormFields[[#This Row],[ID]])</f>
        <v>510112</v>
      </c>
      <c r="AE14" s="81" t="str">
        <f>IF(FormFields[[#This Row],[No]]=0,"attribute",FormFields[[#This Row],[Name]])</f>
        <v>name</v>
      </c>
      <c r="AF14" s="83" t="str">
        <f>IF(FormFields[[#This Row],[NO2]]=0,"relation",IF(FormFields[[#This Row],[Rel]]="","",VLOOKUP(FormFields[[#This Row],[Rel]],RelationTable[[Display]:[RELID]],2,0)))</f>
        <v/>
      </c>
      <c r="AG14" s="83" t="str">
        <f>IF(FormFields[[#This Row],[NO2]]=0,"nest_relation1",IF(FormFields[[#This Row],[Rel1]]="","",VLOOKUP(FormFields[[#This Row],[Rel1]],RelationTable[[Display]:[RELID]],2,0)))</f>
        <v/>
      </c>
      <c r="AH14" s="83" t="str">
        <f>IF(FormFields[[#This Row],[NO2]]=0,"nest_relation2",IF(FormFields[[#This Row],[Rel2]]="","",VLOOKUP(FormFields[[#This Row],[Rel2]],RelationTable[[Display]:[RELID]],2,0)))</f>
        <v/>
      </c>
      <c r="AI14" s="83" t="str">
        <f>IF(FormFields[[#This Row],[NO2]]=0,"nest_relation3",IF(FormFields[[#This Row],[Rel3]]="","",VLOOKUP(FormFields[[#This Row],[Rel3]],RelationTable[[Display]:[RELID]],2,0)))</f>
        <v/>
      </c>
      <c r="AJ14" s="76">
        <f>IF(OR(FormFields[[#This Row],[Option Type]]="",FormFields[[#This Row],[Option Type]]="type"),0,1)</f>
        <v>0</v>
      </c>
      <c r="AK14" s="76" t="str">
        <f>'Table Seed Map'!$A$14&amp;"-"&amp;FormFields[[#This Row],[NO4]]</f>
        <v>Field Options-1</v>
      </c>
      <c r="AL14" s="76">
        <f>COUNTIF($AJ$2:FormFields[[#This Row],[Exists FO]],1)</f>
        <v>1</v>
      </c>
      <c r="AM14" s="76">
        <f>IF(FormFields[[#This Row],[NO4]]=0,"id",FormFields[[#This Row],[NO4]]+IF(ISNUMBER(VLOOKUP('Table Seed Map'!$A$14,SeedMap[],9,0)),VLOOKUP('Table Seed Map'!$A$14,SeedMap[],9,0),0))</f>
        <v>512101</v>
      </c>
      <c r="AN14" s="58">
        <f>IF(FormFields[[#This Row],[ID]]="id","form_field",FormFields[[#This Row],[ID]])</f>
        <v>510112</v>
      </c>
      <c r="AO14" s="84"/>
      <c r="AP14" s="84"/>
      <c r="AQ14" s="84"/>
      <c r="AR14" s="84"/>
      <c r="AS14" s="84"/>
      <c r="AT14" s="76">
        <f>IF(OR(FormFields[[#This Row],[Colspan]]="",FormFields[[#This Row],[Colspan]]="colspan"),0,1)</f>
        <v>0</v>
      </c>
      <c r="AU14" s="76" t="str">
        <f>'Table Seed Map'!$A$19&amp;"-"&amp;FormFields[[#This Row],[NO8]]</f>
        <v>Form Layout-0</v>
      </c>
      <c r="AV14" s="76">
        <f>COUNTIF($AT$1:FormFields[[#This Row],[Exists FL]],1)</f>
        <v>0</v>
      </c>
      <c r="AW14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76">
        <f>FormFields[Form]</f>
        <v>509104</v>
      </c>
      <c r="AY14" s="76">
        <f>IF(FormFields[[#This Row],[ID]]="id","form_field",FormFields[[#This Row],[ID]])</f>
        <v>510112</v>
      </c>
      <c r="AZ14" s="85"/>
      <c r="BA14" s="58">
        <f>FormFields[[#This Row],[ID]]</f>
        <v>510112</v>
      </c>
    </row>
    <row r="15" spans="1:149" x14ac:dyDescent="0.25">
      <c r="M15" s="75" t="str">
        <f>'Table Seed Map'!$A$12&amp;"-"&amp;FormFields[[#This Row],[No]]</f>
        <v>Form Fields-13</v>
      </c>
      <c r="N15" s="59" t="s">
        <v>893</v>
      </c>
      <c r="O15" s="76">
        <f>COUNTA($N$1:FormFields[[#This Row],[Form Name]])-1</f>
        <v>13</v>
      </c>
      <c r="P15" s="75" t="str">
        <f>FormFields[[#This Row],[Form Name]]&amp;"/"&amp;FormFields[[#This Row],[Name]]</f>
        <v>Customer/CreateCustomer/phone</v>
      </c>
      <c r="Q15" s="76">
        <f>IF(FormFields[[#This Row],[No]]=0,"id",FormFields[[#This Row],[No]]+IF(ISNUMBER(VLOOKUP('Table Seed Map'!$A$12,SeedMap[],9,0)),VLOOKUP('Table Seed Map'!$A$12,SeedMap[],9,0),0))</f>
        <v>510113</v>
      </c>
      <c r="R15" s="77">
        <f>IFERROR(VLOOKUP(FormFields[[#This Row],[Form Name]],ResourceForms[[FormName]:[ID]],4,0),"resource_form")</f>
        <v>509104</v>
      </c>
      <c r="S15" s="78" t="s">
        <v>829</v>
      </c>
      <c r="T15" s="78" t="s">
        <v>858</v>
      </c>
      <c r="U15" s="78" t="s">
        <v>883</v>
      </c>
      <c r="V15" s="79"/>
      <c r="W15" s="79"/>
      <c r="X15" s="79"/>
      <c r="Y15" s="79"/>
      <c r="Z15" s="80" t="str">
        <f>'Table Seed Map'!$A$13&amp;"-"&amp;FormFields[[#This Row],[NO2]]</f>
        <v>Field Data-13</v>
      </c>
      <c r="AA15" s="81">
        <f>COUNTIFS($AB$1:FormFields[[#This Row],[Exists]],1)-1</f>
        <v>13</v>
      </c>
      <c r="AB15" s="81">
        <f>IF(AND(FormFields[[#This Row],[Attribute]]="",FormFields[[#This Row],[Rel]]=""),0,1)</f>
        <v>1</v>
      </c>
      <c r="AC15" s="81">
        <f>IF(FormFields[[#This Row],[NO2]]=0,"id",FormFields[[#This Row],[NO2]]+IF(ISNUMBER(VLOOKUP('Table Seed Map'!$A$13,SeedMap[],9,0)),VLOOKUP('Table Seed Map'!$A$13,SeedMap[],9,0),0))</f>
        <v>511113</v>
      </c>
      <c r="AD15" s="82">
        <f>IF(FormFields[[#This Row],[ID]]="id","form_field",FormFields[[#This Row],[ID]])</f>
        <v>510113</v>
      </c>
      <c r="AE15" s="81" t="str">
        <f>IF(FormFields[[#This Row],[No]]=0,"attribute",FormFields[[#This Row],[Name]])</f>
        <v>phone</v>
      </c>
      <c r="AF15" s="83" t="str">
        <f>IF(FormFields[[#This Row],[NO2]]=0,"relation",IF(FormFields[[#This Row],[Rel]]="","",VLOOKUP(FormFields[[#This Row],[Rel]],RelationTable[[Display]:[RELID]],2,0)))</f>
        <v/>
      </c>
      <c r="AG15" s="83" t="str">
        <f>IF(FormFields[[#This Row],[NO2]]=0,"nest_relation1",IF(FormFields[[#This Row],[Rel1]]="","",VLOOKUP(FormFields[[#This Row],[Rel1]],RelationTable[[Display]:[RELID]],2,0)))</f>
        <v/>
      </c>
      <c r="AH15" s="83" t="str">
        <f>IF(FormFields[[#This Row],[NO2]]=0,"nest_relation2",IF(FormFields[[#This Row],[Rel2]]="","",VLOOKUP(FormFields[[#This Row],[Rel2]],RelationTable[[Display]:[RELID]],2,0)))</f>
        <v/>
      </c>
      <c r="AI15" s="83" t="str">
        <f>IF(FormFields[[#This Row],[NO2]]=0,"nest_relation3",IF(FormFields[[#This Row],[Rel3]]="","",VLOOKUP(FormFields[[#This Row],[Rel3]],RelationTable[[Display]:[RELID]],2,0)))</f>
        <v/>
      </c>
      <c r="AJ15" s="76">
        <f>IF(OR(FormFields[[#This Row],[Option Type]]="",FormFields[[#This Row],[Option Type]]="type"),0,1)</f>
        <v>0</v>
      </c>
      <c r="AK15" s="76" t="str">
        <f>'Table Seed Map'!$A$14&amp;"-"&amp;FormFields[[#This Row],[NO4]]</f>
        <v>Field Options-1</v>
      </c>
      <c r="AL15" s="76">
        <f>COUNTIF($AJ$2:FormFields[[#This Row],[Exists FO]],1)</f>
        <v>1</v>
      </c>
      <c r="AM15" s="76">
        <f>IF(FormFields[[#This Row],[NO4]]=0,"id",FormFields[[#This Row],[NO4]]+IF(ISNUMBER(VLOOKUP('Table Seed Map'!$A$14,SeedMap[],9,0)),VLOOKUP('Table Seed Map'!$A$14,SeedMap[],9,0),0))</f>
        <v>512101</v>
      </c>
      <c r="AN15" s="58">
        <f>IF(FormFields[[#This Row],[ID]]="id","form_field",FormFields[[#This Row],[ID]])</f>
        <v>510113</v>
      </c>
      <c r="AO15" s="84"/>
      <c r="AP15" s="84"/>
      <c r="AQ15" s="84"/>
      <c r="AR15" s="84"/>
      <c r="AS15" s="84"/>
      <c r="AT15" s="76">
        <f>IF(OR(FormFields[[#This Row],[Colspan]]="",FormFields[[#This Row],[Colspan]]="colspan"),0,1)</f>
        <v>0</v>
      </c>
      <c r="AU15" s="76" t="str">
        <f>'Table Seed Map'!$A$19&amp;"-"&amp;FormFields[[#This Row],[NO8]]</f>
        <v>Form Layout-0</v>
      </c>
      <c r="AV15" s="76">
        <f>COUNTIF($AT$1:FormFields[[#This Row],[Exists FL]],1)</f>
        <v>0</v>
      </c>
      <c r="AW15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76">
        <f>FormFields[Form]</f>
        <v>509104</v>
      </c>
      <c r="AY15" s="76">
        <f>IF(FormFields[[#This Row],[ID]]="id","form_field",FormFields[[#This Row],[ID]])</f>
        <v>510113</v>
      </c>
      <c r="AZ15" s="85"/>
      <c r="BA15" s="58">
        <f>FormFields[[#This Row],[ID]]</f>
        <v>510113</v>
      </c>
    </row>
    <row r="16" spans="1:149" x14ac:dyDescent="0.25">
      <c r="M16" s="75" t="str">
        <f>'Table Seed Map'!$A$12&amp;"-"&amp;FormFields[[#This Row],[No]]</f>
        <v>Form Fields-14</v>
      </c>
      <c r="N16" s="59" t="s">
        <v>893</v>
      </c>
      <c r="O16" s="76">
        <f>COUNTA($N$1:FormFields[[#This Row],[Form Name]])-1</f>
        <v>14</v>
      </c>
      <c r="P16" s="75" t="str">
        <f>FormFields[[#This Row],[Form Name]]&amp;"/"&amp;FormFields[[#This Row],[Name]]</f>
        <v>Customer/CreateCustomer/email</v>
      </c>
      <c r="Q16" s="76">
        <f>IF(FormFields[[#This Row],[No]]=0,"id",FormFields[[#This Row],[No]]+IF(ISNUMBER(VLOOKUP('Table Seed Map'!$A$12,SeedMap[],9,0)),VLOOKUP('Table Seed Map'!$A$12,SeedMap[],9,0),0))</f>
        <v>510114</v>
      </c>
      <c r="R16" s="77">
        <f>IFERROR(VLOOKUP(FormFields[[#This Row],[Form Name]],ResourceForms[[FormName]:[ID]],4,0),"resource_form")</f>
        <v>509104</v>
      </c>
      <c r="S16" s="78" t="s">
        <v>830</v>
      </c>
      <c r="T16" s="78" t="s">
        <v>858</v>
      </c>
      <c r="U16" s="78" t="s">
        <v>885</v>
      </c>
      <c r="V16" s="79"/>
      <c r="W16" s="79"/>
      <c r="X16" s="79"/>
      <c r="Y16" s="79"/>
      <c r="Z16" s="80" t="str">
        <f>'Table Seed Map'!$A$13&amp;"-"&amp;FormFields[[#This Row],[NO2]]</f>
        <v>Field Data-14</v>
      </c>
      <c r="AA16" s="81">
        <f>COUNTIFS($AB$1:FormFields[[#This Row],[Exists]],1)-1</f>
        <v>14</v>
      </c>
      <c r="AB16" s="81">
        <f>IF(AND(FormFields[[#This Row],[Attribute]]="",FormFields[[#This Row],[Rel]]=""),0,1)</f>
        <v>1</v>
      </c>
      <c r="AC16" s="81">
        <f>IF(FormFields[[#This Row],[NO2]]=0,"id",FormFields[[#This Row],[NO2]]+IF(ISNUMBER(VLOOKUP('Table Seed Map'!$A$13,SeedMap[],9,0)),VLOOKUP('Table Seed Map'!$A$13,SeedMap[],9,0),0))</f>
        <v>511114</v>
      </c>
      <c r="AD16" s="82">
        <f>IF(FormFields[[#This Row],[ID]]="id","form_field",FormFields[[#This Row],[ID]])</f>
        <v>510114</v>
      </c>
      <c r="AE16" s="81" t="str">
        <f>IF(FormFields[[#This Row],[No]]=0,"attribute",FormFields[[#This Row],[Name]])</f>
        <v>email</v>
      </c>
      <c r="AF16" s="83" t="str">
        <f>IF(FormFields[[#This Row],[NO2]]=0,"relation",IF(FormFields[[#This Row],[Rel]]="","",VLOOKUP(FormFields[[#This Row],[Rel]],RelationTable[[Display]:[RELID]],2,0)))</f>
        <v/>
      </c>
      <c r="AG16" s="83" t="str">
        <f>IF(FormFields[[#This Row],[NO2]]=0,"nest_relation1",IF(FormFields[[#This Row],[Rel1]]="","",VLOOKUP(FormFields[[#This Row],[Rel1]],RelationTable[[Display]:[RELID]],2,0)))</f>
        <v/>
      </c>
      <c r="AH16" s="83" t="str">
        <f>IF(FormFields[[#This Row],[NO2]]=0,"nest_relation2",IF(FormFields[[#This Row],[Rel2]]="","",VLOOKUP(FormFields[[#This Row],[Rel2]],RelationTable[[Display]:[RELID]],2,0)))</f>
        <v/>
      </c>
      <c r="AI16" s="83" t="str">
        <f>IF(FormFields[[#This Row],[NO2]]=0,"nest_relation3",IF(FormFields[[#This Row],[Rel3]]="","",VLOOKUP(FormFields[[#This Row],[Rel3]],RelationTable[[Display]:[RELID]],2,0)))</f>
        <v/>
      </c>
      <c r="AJ16" s="76">
        <f>IF(OR(FormFields[[#This Row],[Option Type]]="",FormFields[[#This Row],[Option Type]]="type"),0,1)</f>
        <v>0</v>
      </c>
      <c r="AK16" s="76" t="str">
        <f>'Table Seed Map'!$A$14&amp;"-"&amp;FormFields[[#This Row],[NO4]]</f>
        <v>Field Options-1</v>
      </c>
      <c r="AL16" s="76">
        <f>COUNTIF($AJ$2:FormFields[[#This Row],[Exists FO]],1)</f>
        <v>1</v>
      </c>
      <c r="AM16" s="76">
        <f>IF(FormFields[[#This Row],[NO4]]=0,"id",FormFields[[#This Row],[NO4]]+IF(ISNUMBER(VLOOKUP('Table Seed Map'!$A$14,SeedMap[],9,0)),VLOOKUP('Table Seed Map'!$A$14,SeedMap[],9,0),0))</f>
        <v>512101</v>
      </c>
      <c r="AN16" s="58">
        <f>IF(FormFields[[#This Row],[ID]]="id","form_field",FormFields[[#This Row],[ID]])</f>
        <v>510114</v>
      </c>
      <c r="AO16" s="84"/>
      <c r="AP16" s="84"/>
      <c r="AQ16" s="84"/>
      <c r="AR16" s="84"/>
      <c r="AS16" s="84"/>
      <c r="AT16" s="76">
        <f>IF(OR(FormFields[[#This Row],[Colspan]]="",FormFields[[#This Row],[Colspan]]="colspan"),0,1)</f>
        <v>0</v>
      </c>
      <c r="AU16" s="76" t="str">
        <f>'Table Seed Map'!$A$19&amp;"-"&amp;FormFields[[#This Row],[NO8]]</f>
        <v>Form Layout-0</v>
      </c>
      <c r="AV16" s="76">
        <f>COUNTIF($AT$1:FormFields[[#This Row],[Exists FL]],1)</f>
        <v>0</v>
      </c>
      <c r="AW16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6" s="76">
        <f>FormFields[Form]</f>
        <v>509104</v>
      </c>
      <c r="AY16" s="76">
        <f>IF(FormFields[[#This Row],[ID]]="id","form_field",FormFields[[#This Row],[ID]])</f>
        <v>510114</v>
      </c>
      <c r="AZ16" s="85"/>
      <c r="BA16" s="58">
        <f>FormFields[[#This Row],[ID]]</f>
        <v>510114</v>
      </c>
    </row>
    <row r="17" spans="13:53" x14ac:dyDescent="0.25">
      <c r="M17" s="75" t="str">
        <f>'Table Seed Map'!$A$12&amp;"-"&amp;FormFields[[#This Row],[No]]</f>
        <v>Form Fields-15</v>
      </c>
      <c r="N17" s="59" t="s">
        <v>895</v>
      </c>
      <c r="O17" s="76">
        <f>COUNTA($N$1:FormFields[[#This Row],[Form Name]])-1</f>
        <v>15</v>
      </c>
      <c r="P17" s="75" t="str">
        <f>FormFields[[#This Row],[Form Name]]&amp;"/"&amp;FormFields[[#This Row],[Name]]</f>
        <v>Token/CreateToken/category</v>
      </c>
      <c r="Q17" s="76">
        <f>IF(FormFields[[#This Row],[No]]=0,"id",FormFields[[#This Row],[No]]+IF(ISNUMBER(VLOOKUP('Table Seed Map'!$A$12,SeedMap[],9,0)),VLOOKUP('Table Seed Map'!$A$12,SeedMap[],9,0),0))</f>
        <v>510115</v>
      </c>
      <c r="R17" s="77">
        <f>IFERROR(VLOOKUP(FormFields[[#This Row],[Form Name]],ResourceForms[[FormName]:[ID]],4,0),"resource_form")</f>
        <v>509105</v>
      </c>
      <c r="S17" s="78" t="s">
        <v>821</v>
      </c>
      <c r="T17" s="78" t="s">
        <v>888</v>
      </c>
      <c r="U17" s="78" t="s">
        <v>841</v>
      </c>
      <c r="V17" s="79"/>
      <c r="W17" s="79"/>
      <c r="X17" s="79"/>
      <c r="Y17" s="79"/>
      <c r="Z17" s="80" t="str">
        <f>'Table Seed Map'!$A$13&amp;"-"&amp;FormFields[[#This Row],[NO2]]</f>
        <v>Field Data-15</v>
      </c>
      <c r="AA17" s="81">
        <f>COUNTIFS($AB$1:FormFields[[#This Row],[Exists]],1)-1</f>
        <v>15</v>
      </c>
      <c r="AB17" s="81">
        <f>IF(AND(FormFields[[#This Row],[Attribute]]="",FormFields[[#This Row],[Rel]]=""),0,1)</f>
        <v>1</v>
      </c>
      <c r="AC17" s="81">
        <f>IF(FormFields[[#This Row],[NO2]]=0,"id",FormFields[[#This Row],[NO2]]+IF(ISNUMBER(VLOOKUP('Table Seed Map'!$A$13,SeedMap[],9,0)),VLOOKUP('Table Seed Map'!$A$13,SeedMap[],9,0),0))</f>
        <v>511115</v>
      </c>
      <c r="AD17" s="82">
        <f>IF(FormFields[[#This Row],[ID]]="id","form_field",FormFields[[#This Row],[ID]])</f>
        <v>510115</v>
      </c>
      <c r="AE17" s="81" t="str">
        <f>IF(FormFields[[#This Row],[No]]=0,"attribute",FormFields[[#This Row],[Name]])</f>
        <v>category</v>
      </c>
      <c r="AF17" s="83" t="str">
        <f>IF(FormFields[[#This Row],[NO2]]=0,"relation",IF(FormFields[[#This Row],[Rel]]="","",VLOOKUP(FormFields[[#This Row],[Rel]],RelationTable[[Display]:[RELID]],2,0)))</f>
        <v/>
      </c>
      <c r="AG17" s="83" t="str">
        <f>IF(FormFields[[#This Row],[NO2]]=0,"nest_relation1",IF(FormFields[[#This Row],[Rel1]]="","",VLOOKUP(FormFields[[#This Row],[Rel1]],RelationTable[[Display]:[RELID]],2,0)))</f>
        <v/>
      </c>
      <c r="AH17" s="83" t="str">
        <f>IF(FormFields[[#This Row],[NO2]]=0,"nest_relation2",IF(FormFields[[#This Row],[Rel2]]="","",VLOOKUP(FormFields[[#This Row],[Rel2]],RelationTable[[Display]:[RELID]],2,0)))</f>
        <v/>
      </c>
      <c r="AI17" s="83" t="str">
        <f>IF(FormFields[[#This Row],[NO2]]=0,"nest_relation3",IF(FormFields[[#This Row],[Rel3]]="","",VLOOKUP(FormFields[[#This Row],[Rel3]],RelationTable[[Display]:[RELID]],2,0)))</f>
        <v/>
      </c>
      <c r="AJ17" s="76">
        <f>IF(OR(FormFields[[#This Row],[Option Type]]="",FormFields[[#This Row],[Option Type]]="type"),0,1)</f>
        <v>1</v>
      </c>
      <c r="AK17" s="76" t="str">
        <f>'Table Seed Map'!$A$14&amp;"-"&amp;FormFields[[#This Row],[NO4]]</f>
        <v>Field Options-2</v>
      </c>
      <c r="AL17" s="76">
        <f>COUNTIF($AJ$2:FormFields[[#This Row],[Exists FO]],1)</f>
        <v>2</v>
      </c>
      <c r="AM17" s="76">
        <f>IF(FormFields[[#This Row],[NO4]]=0,"id",FormFields[[#This Row],[NO4]]+IF(ISNUMBER(VLOOKUP('Table Seed Map'!$A$14,SeedMap[],9,0)),VLOOKUP('Table Seed Map'!$A$14,SeedMap[],9,0),0))</f>
        <v>512102</v>
      </c>
      <c r="AN17" s="58">
        <f>IF(FormFields[[#This Row],[ID]]="id","form_field",FormFields[[#This Row],[ID]])</f>
        <v>510115</v>
      </c>
      <c r="AO17" s="84" t="s">
        <v>122</v>
      </c>
      <c r="AP17" s="84">
        <v>522101</v>
      </c>
      <c r="AQ17" s="84" t="s">
        <v>21</v>
      </c>
      <c r="AR17" s="84" t="s">
        <v>23</v>
      </c>
      <c r="AS17" s="84" t="s">
        <v>897</v>
      </c>
      <c r="AT17" s="76">
        <f>IF(OR(FormFields[[#This Row],[Colspan]]="",FormFields[[#This Row],[Colspan]]="colspan"),0,1)</f>
        <v>0</v>
      </c>
      <c r="AU17" s="76" t="str">
        <f>'Table Seed Map'!$A$19&amp;"-"&amp;FormFields[[#This Row],[NO8]]</f>
        <v>Form Layout-0</v>
      </c>
      <c r="AV17" s="76">
        <f>COUNTIF($AT$1:FormFields[[#This Row],[Exists FL]],1)</f>
        <v>0</v>
      </c>
      <c r="AW17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7" s="76">
        <f>FormFields[Form]</f>
        <v>509105</v>
      </c>
      <c r="AY17" s="76">
        <f>IF(FormFields[[#This Row],[ID]]="id","form_field",FormFields[[#This Row],[ID]])</f>
        <v>510115</v>
      </c>
      <c r="AZ17" s="85"/>
      <c r="BA17" s="58">
        <f>FormFields[[#This Row],[ID]]</f>
        <v>510115</v>
      </c>
    </row>
    <row r="18" spans="13:53" x14ac:dyDescent="0.25">
      <c r="M18" s="75" t="str">
        <f>'Table Seed Map'!$A$12&amp;"-"&amp;FormFields[[#This Row],[No]]</f>
        <v>Form Fields-16</v>
      </c>
      <c r="N18" s="59" t="s">
        <v>895</v>
      </c>
      <c r="O18" s="76">
        <f>COUNTA($N$1:FormFields[[#This Row],[Form Name]])-1</f>
        <v>16</v>
      </c>
      <c r="P18" s="75" t="str">
        <f>FormFields[[#This Row],[Form Name]]&amp;"/"&amp;FormFields[[#This Row],[Name]]</f>
        <v>Token/CreateToken/datetime</v>
      </c>
      <c r="Q18" s="76">
        <f>IF(FormFields[[#This Row],[No]]=0,"id",FormFields[[#This Row],[No]]+IF(ISNUMBER(VLOOKUP('Table Seed Map'!$A$12,SeedMap[],9,0)),VLOOKUP('Table Seed Map'!$A$12,SeedMap[],9,0),0))</f>
        <v>510116</v>
      </c>
      <c r="R18" s="77">
        <f>IFERROR(VLOOKUP(FormFields[[#This Row],[Form Name]],ResourceForms[[FormName]:[ID]],4,0),"resource_form")</f>
        <v>509105</v>
      </c>
      <c r="S18" s="78" t="s">
        <v>831</v>
      </c>
      <c r="T18" s="78" t="s">
        <v>858</v>
      </c>
      <c r="U18" s="78" t="s">
        <v>896</v>
      </c>
      <c r="V18" s="79"/>
      <c r="W18" s="79"/>
      <c r="X18" s="79"/>
      <c r="Y18" s="79"/>
      <c r="Z18" s="80" t="str">
        <f>'Table Seed Map'!$A$13&amp;"-"&amp;FormFields[[#This Row],[NO2]]</f>
        <v>Field Data-16</v>
      </c>
      <c r="AA18" s="81">
        <f>COUNTIFS($AB$1:FormFields[[#This Row],[Exists]],1)-1</f>
        <v>16</v>
      </c>
      <c r="AB18" s="81">
        <f>IF(AND(FormFields[[#This Row],[Attribute]]="",FormFields[[#This Row],[Rel]]=""),0,1)</f>
        <v>1</v>
      </c>
      <c r="AC18" s="81">
        <f>IF(FormFields[[#This Row],[NO2]]=0,"id",FormFields[[#This Row],[NO2]]+IF(ISNUMBER(VLOOKUP('Table Seed Map'!$A$13,SeedMap[],9,0)),VLOOKUP('Table Seed Map'!$A$13,SeedMap[],9,0),0))</f>
        <v>511116</v>
      </c>
      <c r="AD18" s="82">
        <f>IF(FormFields[[#This Row],[ID]]="id","form_field",FormFields[[#This Row],[ID]])</f>
        <v>510116</v>
      </c>
      <c r="AE18" s="81" t="str">
        <f>IF(FormFields[[#This Row],[No]]=0,"attribute",FormFields[[#This Row],[Name]])</f>
        <v>datetime</v>
      </c>
      <c r="AF18" s="83" t="str">
        <f>IF(FormFields[[#This Row],[NO2]]=0,"relation",IF(FormFields[[#This Row],[Rel]]="","",VLOOKUP(FormFields[[#This Row],[Rel]],RelationTable[[Display]:[RELID]],2,0)))</f>
        <v/>
      </c>
      <c r="AG18" s="83" t="str">
        <f>IF(FormFields[[#This Row],[NO2]]=0,"nest_relation1",IF(FormFields[[#This Row],[Rel1]]="","",VLOOKUP(FormFields[[#This Row],[Rel1]],RelationTable[[Display]:[RELID]],2,0)))</f>
        <v/>
      </c>
      <c r="AH18" s="83" t="str">
        <f>IF(FormFields[[#This Row],[NO2]]=0,"nest_relation2",IF(FormFields[[#This Row],[Rel2]]="","",VLOOKUP(FormFields[[#This Row],[Rel2]],RelationTable[[Display]:[RELID]],2,0)))</f>
        <v/>
      </c>
      <c r="AI18" s="83" t="str">
        <f>IF(FormFields[[#This Row],[NO2]]=0,"nest_relation3",IF(FormFields[[#This Row],[Rel3]]="","",VLOOKUP(FormFields[[#This Row],[Rel3]],RelationTable[[Display]:[RELID]],2,0)))</f>
        <v/>
      </c>
      <c r="AJ18" s="76">
        <f>IF(OR(FormFields[[#This Row],[Option Type]]="",FormFields[[#This Row],[Option Type]]="type"),0,1)</f>
        <v>0</v>
      </c>
      <c r="AK18" s="76" t="str">
        <f>'Table Seed Map'!$A$14&amp;"-"&amp;FormFields[[#This Row],[NO4]]</f>
        <v>Field Options-2</v>
      </c>
      <c r="AL18" s="76">
        <f>COUNTIF($AJ$2:FormFields[[#This Row],[Exists FO]],1)</f>
        <v>2</v>
      </c>
      <c r="AM18" s="76">
        <f>IF(FormFields[[#This Row],[NO4]]=0,"id",FormFields[[#This Row],[NO4]]+IF(ISNUMBER(VLOOKUP('Table Seed Map'!$A$14,SeedMap[],9,0)),VLOOKUP('Table Seed Map'!$A$14,SeedMap[],9,0),0))</f>
        <v>512102</v>
      </c>
      <c r="AN18" s="58">
        <f>IF(FormFields[[#This Row],[ID]]="id","form_field",FormFields[[#This Row],[ID]])</f>
        <v>510116</v>
      </c>
      <c r="AO18" s="84"/>
      <c r="AP18" s="84"/>
      <c r="AQ18" s="84"/>
      <c r="AR18" s="84"/>
      <c r="AS18" s="84"/>
      <c r="AT18" s="76">
        <f>IF(OR(FormFields[[#This Row],[Colspan]]="",FormFields[[#This Row],[Colspan]]="colspan"),0,1)</f>
        <v>0</v>
      </c>
      <c r="AU18" s="76" t="str">
        <f>'Table Seed Map'!$A$19&amp;"-"&amp;FormFields[[#This Row],[NO8]]</f>
        <v>Form Layout-0</v>
      </c>
      <c r="AV18" s="76">
        <f>COUNTIF($AT$1:FormFields[[#This Row],[Exists FL]],1)</f>
        <v>0</v>
      </c>
      <c r="AW18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8" s="76">
        <f>FormFields[Form]</f>
        <v>509105</v>
      </c>
      <c r="AY18" s="76">
        <f>IF(FormFields[[#This Row],[ID]]="id","form_field",FormFields[[#This Row],[ID]])</f>
        <v>510116</v>
      </c>
      <c r="AZ18" s="85"/>
      <c r="BA18" s="58">
        <f>FormFields[[#This Row],[ID]]</f>
        <v>510116</v>
      </c>
    </row>
    <row r="19" spans="13:53" x14ac:dyDescent="0.25">
      <c r="M19" s="75" t="str">
        <f>'Table Seed Map'!$A$12&amp;"-"&amp;FormFields[[#This Row],[No]]</f>
        <v>Form Fields-17</v>
      </c>
      <c r="N19" s="59" t="s">
        <v>895</v>
      </c>
      <c r="O19" s="76">
        <f>COUNTA($N$1:FormFields[[#This Row],[Form Name]])-1</f>
        <v>17</v>
      </c>
      <c r="P19" s="75" t="str">
        <f>FormFields[[#This Row],[Form Name]]&amp;"/"&amp;FormFields[[#This Row],[Name]]</f>
        <v>Token/CreateToken/customer</v>
      </c>
      <c r="Q19" s="76">
        <f>IF(FormFields[[#This Row],[No]]=0,"id",FormFields[[#This Row],[No]]+IF(ISNUMBER(VLOOKUP('Table Seed Map'!$A$12,SeedMap[],9,0)),VLOOKUP('Table Seed Map'!$A$12,SeedMap[],9,0),0))</f>
        <v>510117</v>
      </c>
      <c r="R19" s="77">
        <f>IFERROR(VLOOKUP(FormFields[[#This Row],[Form Name]],ResourceForms[[FormName]:[ID]],4,0),"resource_form")</f>
        <v>509105</v>
      </c>
      <c r="S19" s="78" t="s">
        <v>835</v>
      </c>
      <c r="T19" s="78" t="s">
        <v>888</v>
      </c>
      <c r="U19" s="78" t="s">
        <v>845</v>
      </c>
      <c r="V19" s="79"/>
      <c r="W19" s="79"/>
      <c r="X19" s="79"/>
      <c r="Y19" s="79"/>
      <c r="Z19" s="80" t="str">
        <f>'Table Seed Map'!$A$13&amp;"-"&amp;FormFields[[#This Row],[NO2]]</f>
        <v>Field Data-17</v>
      </c>
      <c r="AA19" s="81">
        <f>COUNTIFS($AB$1:FormFields[[#This Row],[Exists]],1)-1</f>
        <v>17</v>
      </c>
      <c r="AB19" s="81">
        <f>IF(AND(FormFields[[#This Row],[Attribute]]="",FormFields[[#This Row],[Rel]]=""),0,1)</f>
        <v>1</v>
      </c>
      <c r="AC19" s="81">
        <f>IF(FormFields[[#This Row],[NO2]]=0,"id",FormFields[[#This Row],[NO2]]+IF(ISNUMBER(VLOOKUP('Table Seed Map'!$A$13,SeedMap[],9,0)),VLOOKUP('Table Seed Map'!$A$13,SeedMap[],9,0),0))</f>
        <v>511117</v>
      </c>
      <c r="AD19" s="82">
        <f>IF(FormFields[[#This Row],[ID]]="id","form_field",FormFields[[#This Row],[ID]])</f>
        <v>510117</v>
      </c>
      <c r="AE19" s="81" t="str">
        <f>IF(FormFields[[#This Row],[No]]=0,"attribute",FormFields[[#This Row],[Name]])</f>
        <v>customer</v>
      </c>
      <c r="AF19" s="83" t="str">
        <f>IF(FormFields[[#This Row],[NO2]]=0,"relation",IF(FormFields[[#This Row],[Rel]]="","",VLOOKUP(FormFields[[#This Row],[Rel]],RelationTable[[Display]:[RELID]],2,0)))</f>
        <v/>
      </c>
      <c r="AG19" s="83" t="str">
        <f>IF(FormFields[[#This Row],[NO2]]=0,"nest_relation1",IF(FormFields[[#This Row],[Rel1]]="","",VLOOKUP(FormFields[[#This Row],[Rel1]],RelationTable[[Display]:[RELID]],2,0)))</f>
        <v/>
      </c>
      <c r="AH19" s="83" t="str">
        <f>IF(FormFields[[#This Row],[NO2]]=0,"nest_relation2",IF(FormFields[[#This Row],[Rel2]]="","",VLOOKUP(FormFields[[#This Row],[Rel2]],RelationTable[[Display]:[RELID]],2,0)))</f>
        <v/>
      </c>
      <c r="AI19" s="83" t="str">
        <f>IF(FormFields[[#This Row],[NO2]]=0,"nest_relation3",IF(FormFields[[#This Row],[Rel3]]="","",VLOOKUP(FormFields[[#This Row],[Rel3]],RelationTable[[Display]:[RELID]],2,0)))</f>
        <v/>
      </c>
      <c r="AJ19" s="76">
        <f>IF(OR(FormFields[[#This Row],[Option Type]]="",FormFields[[#This Row],[Option Type]]="type"),0,1)</f>
        <v>0</v>
      </c>
      <c r="AK19" s="76" t="str">
        <f>'Table Seed Map'!$A$14&amp;"-"&amp;FormFields[[#This Row],[NO4]]</f>
        <v>Field Options-2</v>
      </c>
      <c r="AL19" s="76">
        <f>COUNTIF($AJ$2:FormFields[[#This Row],[Exists FO]],1)</f>
        <v>2</v>
      </c>
      <c r="AM19" s="76">
        <f>IF(FormFields[[#This Row],[NO4]]=0,"id",FormFields[[#This Row],[NO4]]+IF(ISNUMBER(VLOOKUP('Table Seed Map'!$A$14,SeedMap[],9,0)),VLOOKUP('Table Seed Map'!$A$14,SeedMap[],9,0),0))</f>
        <v>512102</v>
      </c>
      <c r="AN19" s="58">
        <f>IF(FormFields[[#This Row],[ID]]="id","form_field",FormFields[[#This Row],[ID]])</f>
        <v>510117</v>
      </c>
      <c r="AO19" s="84"/>
      <c r="AP19" s="84"/>
      <c r="AQ19" s="84"/>
      <c r="AR19" s="84"/>
      <c r="AS19" s="84"/>
      <c r="AT19" s="76">
        <f>IF(OR(FormFields[[#This Row],[Colspan]]="",FormFields[[#This Row],[Colspan]]="colspan"),0,1)</f>
        <v>0</v>
      </c>
      <c r="AU19" s="76" t="str">
        <f>'Table Seed Map'!$A$19&amp;"-"&amp;FormFields[[#This Row],[NO8]]</f>
        <v>Form Layout-0</v>
      </c>
      <c r="AV19" s="76">
        <f>COUNTIF($AT$1:FormFields[[#This Row],[Exists FL]],1)</f>
        <v>0</v>
      </c>
      <c r="AW19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9" s="76">
        <f>FormFields[Form]</f>
        <v>509105</v>
      </c>
      <c r="AY19" s="76">
        <f>IF(FormFields[[#This Row],[ID]]="id","form_field",FormFields[[#This Row],[ID]])</f>
        <v>510117</v>
      </c>
      <c r="AZ19" s="85"/>
      <c r="BA19" s="58">
        <f>FormFields[[#This Row],[ID]]</f>
        <v>510117</v>
      </c>
    </row>
    <row r="20" spans="13:53" x14ac:dyDescent="0.25">
      <c r="M20" s="75" t="str">
        <f>'Table Seed Map'!$A$12&amp;"-"&amp;FormFields[[#This Row],[No]]</f>
        <v>Form Fields-18</v>
      </c>
      <c r="N20" s="59" t="s">
        <v>895</v>
      </c>
      <c r="O20" s="76">
        <f>COUNTA($N$1:FormFields[[#This Row],[Form Name]])-1</f>
        <v>18</v>
      </c>
      <c r="P20" s="75" t="str">
        <f>FormFields[[#This Row],[Form Name]]&amp;"/"&amp;FormFields[[#This Row],[Name]]</f>
        <v>Token/CreateToken/status</v>
      </c>
      <c r="Q20" s="76">
        <f>IF(FormFields[[#This Row],[No]]=0,"id",FormFields[[#This Row],[No]]+IF(ISNUMBER(VLOOKUP('Table Seed Map'!$A$12,SeedMap[],9,0)),VLOOKUP('Table Seed Map'!$A$12,SeedMap[],9,0),0))</f>
        <v>510118</v>
      </c>
      <c r="R20" s="77">
        <f>IFERROR(VLOOKUP(FormFields[[#This Row],[Form Name]],ResourceForms[[FormName]:[ID]],4,0),"resource_form")</f>
        <v>509105</v>
      </c>
      <c r="S20" s="78" t="s">
        <v>823</v>
      </c>
      <c r="T20" s="78" t="s">
        <v>888</v>
      </c>
      <c r="U20" s="78" t="s">
        <v>890</v>
      </c>
      <c r="V20" s="79"/>
      <c r="W20" s="79"/>
      <c r="X20" s="79"/>
      <c r="Y20" s="79"/>
      <c r="Z20" s="80" t="str">
        <f>'Table Seed Map'!$A$13&amp;"-"&amp;FormFields[[#This Row],[NO2]]</f>
        <v>Field Data-18</v>
      </c>
      <c r="AA20" s="81">
        <f>COUNTIFS($AB$1:FormFields[[#This Row],[Exists]],1)-1</f>
        <v>18</v>
      </c>
      <c r="AB20" s="81">
        <f>IF(AND(FormFields[[#This Row],[Attribute]]="",FormFields[[#This Row],[Rel]]=""),0,1)</f>
        <v>1</v>
      </c>
      <c r="AC20" s="81">
        <f>IF(FormFields[[#This Row],[NO2]]=0,"id",FormFields[[#This Row],[NO2]]+IF(ISNUMBER(VLOOKUP('Table Seed Map'!$A$13,SeedMap[],9,0)),VLOOKUP('Table Seed Map'!$A$13,SeedMap[],9,0),0))</f>
        <v>511118</v>
      </c>
      <c r="AD20" s="82">
        <f>IF(FormFields[[#This Row],[ID]]="id","form_field",FormFields[[#This Row],[ID]])</f>
        <v>510118</v>
      </c>
      <c r="AE20" s="81" t="str">
        <f>IF(FormFields[[#This Row],[No]]=0,"attribute",FormFields[[#This Row],[Name]])</f>
        <v>status</v>
      </c>
      <c r="AF20" s="83" t="str">
        <f>IF(FormFields[[#This Row],[NO2]]=0,"relation",IF(FormFields[[#This Row],[Rel]]="","",VLOOKUP(FormFields[[#This Row],[Rel]],RelationTable[[Display]:[RELID]],2,0)))</f>
        <v/>
      </c>
      <c r="AG20" s="83" t="str">
        <f>IF(FormFields[[#This Row],[NO2]]=0,"nest_relation1",IF(FormFields[[#This Row],[Rel1]]="","",VLOOKUP(FormFields[[#This Row],[Rel1]],RelationTable[[Display]:[RELID]],2,0)))</f>
        <v/>
      </c>
      <c r="AH20" s="83" t="str">
        <f>IF(FormFields[[#This Row],[NO2]]=0,"nest_relation2",IF(FormFields[[#This Row],[Rel2]]="","",VLOOKUP(FormFields[[#This Row],[Rel2]],RelationTable[[Display]:[RELID]],2,0)))</f>
        <v/>
      </c>
      <c r="AI20" s="83" t="str">
        <f>IF(FormFields[[#This Row],[NO2]]=0,"nest_relation3",IF(FormFields[[#This Row],[Rel3]]="","",VLOOKUP(FormFields[[#This Row],[Rel3]],RelationTable[[Display]:[RELID]],2,0)))</f>
        <v/>
      </c>
      <c r="AJ20" s="76">
        <f>IF(OR(FormFields[[#This Row],[Option Type]]="",FormFields[[#This Row],[Option Type]]="type"),0,1)</f>
        <v>1</v>
      </c>
      <c r="AK20" s="76" t="str">
        <f>'Table Seed Map'!$A$14&amp;"-"&amp;FormFields[[#This Row],[NO4]]</f>
        <v>Field Options-3</v>
      </c>
      <c r="AL20" s="76">
        <f>COUNTIF($AJ$2:FormFields[[#This Row],[Exists FO]],1)</f>
        <v>3</v>
      </c>
      <c r="AM20" s="76">
        <f>IF(FormFields[[#This Row],[NO4]]=0,"id",FormFields[[#This Row],[NO4]]+IF(ISNUMBER(VLOOKUP('Table Seed Map'!$A$14,SeedMap[],9,0)),VLOOKUP('Table Seed Map'!$A$14,SeedMap[],9,0),0))</f>
        <v>512103</v>
      </c>
      <c r="AN20" s="58">
        <f>IF(FormFields[[#This Row],[ID]]="id","form_field",FormFields[[#This Row],[ID]])</f>
        <v>510118</v>
      </c>
      <c r="AO20" s="84" t="s">
        <v>891</v>
      </c>
      <c r="AP20" s="84"/>
      <c r="AQ20" s="84"/>
      <c r="AR20" s="84"/>
      <c r="AS20" s="84"/>
      <c r="AT20" s="76">
        <f>IF(OR(FormFields[[#This Row],[Colspan]]="",FormFields[[#This Row],[Colspan]]="colspan"),0,1)</f>
        <v>0</v>
      </c>
      <c r="AU20" s="76" t="str">
        <f>'Table Seed Map'!$A$19&amp;"-"&amp;FormFields[[#This Row],[NO8]]</f>
        <v>Form Layout-0</v>
      </c>
      <c r="AV20" s="76">
        <f>COUNTIF($AT$1:FormFields[[#This Row],[Exists FL]],1)</f>
        <v>0</v>
      </c>
      <c r="AW20" s="7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0" s="76">
        <f>FormFields[Form]</f>
        <v>509105</v>
      </c>
      <c r="AY20" s="76">
        <f>IF(FormFields[[#This Row],[ID]]="id","form_field",FormFields[[#This Row],[ID]])</f>
        <v>510118</v>
      </c>
      <c r="AZ20" s="85"/>
      <c r="BA20" s="58">
        <f>FormFields[[#This Row],[ID]]</f>
        <v>510118</v>
      </c>
    </row>
  </sheetData>
  <dataValidations count="9">
    <dataValidation type="list" allowBlank="1" showInputMessage="1" showErrorMessage="1" sqref="EN2:ES2 CS2:CY2 V2:Y20 BX2">
      <formula1>Relations</formula1>
    </dataValidation>
    <dataValidation type="list" allowBlank="1" showInputMessage="1" showErrorMessage="1" sqref="CH2 DY2 BV2:BW2 N2:N20">
      <formula1>FormNames</formula1>
    </dataValidation>
    <dataValidation type="list" allowBlank="1" showInputMessage="1" showErrorMessage="1" sqref="DB2 DN2 EA2 BY2 BC2 BJ2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7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T1" sqref="AT1:AY1048576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IFERROR($A1+1,1)</f>
        <v>1</v>
      </c>
      <c r="B2" s="1" t="s">
        <v>493</v>
      </c>
      <c r="C2" s="6" t="str">
        <f>MID(MigrationRenamer[Filename],26,LEN(MigrationRenamer[Filename])-35)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RIGHT(MigrationRenamer[Filename],LEN(MigrationRenamer[Filename])-LEN(MigrationRenamer[Date Part])-LEN(MigrationRenamer[Sequence]))</f>
        <v>_create___groups_table.php</v>
      </c>
      <c r="G2" s="6" t="str">
        <f>MigrationRenamer[Date Part]&amp;MigrationRenamer[Sequence]&amp;MigrationRenamer[Name Part]</f>
        <v>2019_01_24_000002_create___groups_table.php</v>
      </c>
      <c r="H2" s="6" t="str">
        <f>IFERROR("ren "&amp;MigrationRenamer[Filename]&amp;" "&amp;MigrationRenamer[New Name],"del "&amp;MigrationRenamer[Filename])</f>
        <v>ren 2019_01_24_000002_create___groups_table.php 2019_01_24_000002_create___groups_table.php</v>
      </c>
    </row>
    <row r="3" spans="1:8" x14ac:dyDescent="0.25">
      <c r="A3" s="3">
        <f>IFERROR($A2+1,1)</f>
        <v>2</v>
      </c>
      <c r="B3" s="1" t="s">
        <v>494</v>
      </c>
      <c r="C3" s="6" t="str">
        <f>MID(MigrationRenamer[Filename],26,LEN(MigrationRenamer[Filename])-35)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RIGHT(MigrationRenamer[Filename],LEN(MigrationRenamer[Filename])-LEN(MigrationRenamer[Date Part])-LEN(MigrationRenamer[Sequence]))</f>
        <v>_create___group_users_table.php</v>
      </c>
      <c r="G3" s="6" t="str">
        <f>MigrationRenamer[Date Part]&amp;MigrationRenamer[Sequence]&amp;MigrationRenamer[Name Part]</f>
        <v>2019_01_24_000003_create___group_users_table.php</v>
      </c>
      <c r="H3" s="6" t="str">
        <f>IFERROR("ren "&amp;MigrationRenamer[Filename]&amp;" "&amp;MigrationRenamer[New Name],"del "&amp;MigrationRenamer[Filename])</f>
        <v>ren 2019_01_24_000003_create___group_users_table.php 2019_01_24_000003_create___group_users_table.php</v>
      </c>
    </row>
    <row r="4" spans="1:8" x14ac:dyDescent="0.25">
      <c r="A4" s="3">
        <f t="shared" ref="A4:A42" si="1">IFERROR($A3+1,1)</f>
        <v>3</v>
      </c>
      <c r="B4" s="1" t="s">
        <v>495</v>
      </c>
      <c r="C4" s="6" t="str">
        <f>MID(MigrationRenamer[Filename],26,LEN(MigrationRenamer[Filename])-35)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RIGHT(MigrationRenamer[Filename],LEN(MigrationRenamer[Filename])-LEN(MigrationRenamer[Date Part])-LEN(MigrationRenamer[Sequence]))</f>
        <v>_create___roles_table.php</v>
      </c>
      <c r="G4" s="6" t="str">
        <f>MigrationRenamer[Date Part]&amp;MigrationRenamer[Sequence]&amp;MigrationRenamer[Name Part]</f>
        <v>2019_01_24_000004_create___roles_table.php</v>
      </c>
      <c r="H4" s="6" t="str">
        <f>IFERROR("ren "&amp;MigrationRenamer[Filename]&amp;" "&amp;MigrationRenamer[New Name],"del "&amp;MigrationRenamer[Filename])</f>
        <v>ren 2019_01_24_000004_create___roles_table.php 2019_01_24_000004_create___roles_table.php</v>
      </c>
    </row>
    <row r="5" spans="1:8" x14ac:dyDescent="0.25">
      <c r="A5" s="3">
        <f t="shared" si="1"/>
        <v>4</v>
      </c>
      <c r="B5" s="1" t="s">
        <v>496</v>
      </c>
      <c r="C5" s="6" t="str">
        <f>MID(MigrationRenamer[Filename],26,LEN(MigrationRenamer[Filename])-35)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RIGHT(MigrationRenamer[Filename],LEN(MigrationRenamer[Filename])-LEN(MigrationRenamer[Date Part])-LEN(MigrationRenamer[Sequence]))</f>
        <v>_create___group_roles_table.php</v>
      </c>
      <c r="G5" s="6" t="str">
        <f>MigrationRenamer[Date Part]&amp;MigrationRenamer[Sequence]&amp;MigrationRenamer[Name Part]</f>
        <v>2019_01_24_000005_create___group_roles_table.php</v>
      </c>
      <c r="H5" s="6" t="str">
        <f>IFERROR("ren "&amp;MigrationRenamer[Filename]&amp;" "&amp;MigrationRenamer[New Name],"del "&amp;MigrationRenamer[Filename])</f>
        <v>ren 2019_01_24_000005_create___group_roles_table.php 2019_01_24_000005_create___group_roles_table.php</v>
      </c>
    </row>
    <row r="6" spans="1:8" x14ac:dyDescent="0.25">
      <c r="A6" s="3">
        <f t="shared" si="1"/>
        <v>5</v>
      </c>
      <c r="B6" s="1" t="s">
        <v>497</v>
      </c>
      <c r="C6" s="6" t="str">
        <f>MID(MigrationRenamer[Filename],26,LEN(MigrationRenamer[Filename])-35)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RIGHT(MigrationRenamer[Filename],LEN(MigrationRenamer[Filename])-LEN(MigrationRenamer[Date Part])-LEN(MigrationRenamer[Sequence]))</f>
        <v>_create___resources_table.php</v>
      </c>
      <c r="G6" s="6" t="str">
        <f>MigrationRenamer[Date Part]&amp;MigrationRenamer[Sequence]&amp;MigrationRenamer[Name Part]</f>
        <v>2019_01_24_000006_create___resources_table.php</v>
      </c>
      <c r="H6" s="6" t="str">
        <f>IFERROR("ren "&amp;MigrationRenamer[Filename]&amp;" "&amp;MigrationRenamer[New Name],"del "&amp;MigrationRenamer[Filename])</f>
        <v>ren 2019_01_24_000006_create___resources_table.php 2019_01_24_000006_create___resources_table.php</v>
      </c>
    </row>
    <row r="7" spans="1:8" x14ac:dyDescent="0.25">
      <c r="A7" s="3">
        <f t="shared" si="1"/>
        <v>6</v>
      </c>
      <c r="B7" s="1" t="s">
        <v>498</v>
      </c>
      <c r="C7" s="6" t="str">
        <f>MID(MigrationRenamer[Filename],26,LEN(MigrationRenamer[Filename])-35)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RIGHT(MigrationRenamer[Filename],LEN(MigrationRenamer[Filename])-LEN(MigrationRenamer[Date Part])-LEN(MigrationRenamer[Sequence]))</f>
        <v>_create___resource_roles_table.php</v>
      </c>
      <c r="G7" s="6" t="str">
        <f>MigrationRenamer[Date Part]&amp;MigrationRenamer[Sequence]&amp;MigrationRenamer[Name Part]</f>
        <v>2019_01_24_000007_create___resource_roles_table.php</v>
      </c>
      <c r="H7" s="6" t="str">
        <f>IFERROR("ren "&amp;MigrationRenamer[Filename]&amp;" "&amp;MigrationRenamer[New Name],"del "&amp;MigrationRenamer[Filename])</f>
        <v>ren 2019_01_24_000007_create___resource_roles_table.php 2019_01_24_000007_create___resource_roles_table.php</v>
      </c>
    </row>
    <row r="8" spans="1:8" x14ac:dyDescent="0.25">
      <c r="A8" s="3">
        <f t="shared" si="1"/>
        <v>7</v>
      </c>
      <c r="B8" s="1" t="s">
        <v>499</v>
      </c>
      <c r="C8" s="6" t="str">
        <f>MID(MigrationRenamer[Filename],26,LEN(MigrationRenamer[Filename])-35)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RIGHT(MigrationRenamer[Filename],LEN(MigrationRenamer[Filename])-LEN(MigrationRenamer[Date Part])-LEN(MigrationRenamer[Sequence]))</f>
        <v>_create___resource_relations_table.php</v>
      </c>
      <c r="G8" s="6" t="str">
        <f>MigrationRenamer[Date Part]&amp;MigrationRenamer[Sequence]&amp;MigrationRenamer[Name Part]</f>
        <v>2019_01_24_000008_create___resource_relations_table.php</v>
      </c>
      <c r="H8" s="6" t="str">
        <f>IFERROR("ren "&amp;MigrationRenamer[Filename]&amp;" "&amp;MigrationRenamer[New Name],"del "&amp;MigrationRenamer[Filename])</f>
        <v>ren 2019_01_24_000008_create___resource_relations_table.php 2019_01_24_000008_create___resource_relations_table.php</v>
      </c>
    </row>
    <row r="9" spans="1:8" x14ac:dyDescent="0.25">
      <c r="A9" s="3">
        <f t="shared" si="1"/>
        <v>8</v>
      </c>
      <c r="B9" s="1" t="s">
        <v>500</v>
      </c>
      <c r="C9" s="6" t="str">
        <f>MID(MigrationRenamer[Filename],26,LEN(MigrationRenamer[Filename])-35)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RIGHT(MigrationRenamer[Filename],LEN(MigrationRenamer[Filename])-LEN(MigrationRenamer[Date Part])-LEN(MigrationRenamer[Sequence]))</f>
        <v>_create___resource_scopes_table.php</v>
      </c>
      <c r="G9" s="6" t="str">
        <f>MigrationRenamer[Date Part]&amp;MigrationRenamer[Sequence]&amp;MigrationRenamer[Name Part]</f>
        <v>2019_01_24_000009_create___resource_scopes_table.php</v>
      </c>
      <c r="H9" s="6" t="str">
        <f>IFERROR("ren "&amp;MigrationRenamer[Filename]&amp;" "&amp;MigrationRenamer[New Name],"del "&amp;MigrationRenamer[Filename])</f>
        <v>ren 2019_01_24_000009_create___resource_scopes_table.php 2019_01_24_000009_create___resource_scopes_table.php</v>
      </c>
    </row>
    <row r="10" spans="1:8" x14ac:dyDescent="0.25">
      <c r="A10" s="3">
        <f t="shared" si="1"/>
        <v>9</v>
      </c>
      <c r="B10" s="1" t="s">
        <v>501</v>
      </c>
      <c r="C10" s="6" t="str">
        <f>MID(MigrationRenamer[Filename],26,LEN(MigrationRenamer[Filename])-35)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RIGHT(MigrationRenamer[Filename],LEN(MigrationRenamer[Filename])-LEN(MigrationRenamer[Date Part])-LEN(MigrationRenamer[Sequence]))</f>
        <v>_create___resource_forms_table.php</v>
      </c>
      <c r="G10" s="6" t="str">
        <f>MigrationRenamer[Date Part]&amp;MigrationRenamer[Sequence]&amp;MigrationRenamer[Name Part]</f>
        <v>2019_01_24_000010_create___resource_forms_table.php</v>
      </c>
      <c r="H10" s="6" t="str">
        <f>IFERROR("ren "&amp;MigrationRenamer[Filename]&amp;" "&amp;MigrationRenamer[New Name],"del "&amp;MigrationRenamer[Filename])</f>
        <v>ren 2019_01_24_000010_create___resource_forms_table.php 2019_01_24_000010_create___resource_forms_table.php</v>
      </c>
    </row>
    <row r="11" spans="1:8" x14ac:dyDescent="0.25">
      <c r="A11" s="3">
        <f t="shared" si="1"/>
        <v>10</v>
      </c>
      <c r="B11" s="1" t="s">
        <v>502</v>
      </c>
      <c r="C11" s="6" t="str">
        <f>MID(MigrationRenamer[Filename],26,LEN(MigrationRenamer[Filename])-35)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RIGHT(MigrationRenamer[Filename],LEN(MigrationRenamer[Filename])-LEN(MigrationRenamer[Date Part])-LEN(MigrationRenamer[Sequence]))</f>
        <v>_create___resource_form_fields_table.php</v>
      </c>
      <c r="G11" s="6" t="str">
        <f>MigrationRenamer[Date Part]&amp;MigrationRenamer[Sequence]&amp;MigrationRenamer[Name Part]</f>
        <v>2019_01_24_000011_create___resource_form_fields_table.php</v>
      </c>
      <c r="H11" s="6" t="str">
        <f>IFERROR("ren "&amp;MigrationRenamer[Filename]&amp;" "&amp;MigrationRenamer[New Name],"del "&amp;MigrationRenamer[Filename])</f>
        <v>ren 2019_01_24_000011_create___resource_form_fields_table.php 2019_01_24_000011_create___resource_form_fields_table.php</v>
      </c>
    </row>
    <row r="12" spans="1:8" x14ac:dyDescent="0.25">
      <c r="A12" s="3">
        <f t="shared" si="1"/>
        <v>11</v>
      </c>
      <c r="B12" s="1" t="s">
        <v>503</v>
      </c>
      <c r="C12" s="6" t="str">
        <f>MID(MigrationRenamer[Filename],26,LEN(MigrationRenamer[Filename])-35)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RIGHT(MigrationRenamer[Filename],LEN(MigrationRenamer[Filename])-LEN(MigrationRenamer[Date Part])-LEN(MigrationRenamer[Sequence]))</f>
        <v>_create___resource_form_field_attrs_table.php</v>
      </c>
      <c r="G12" s="6" t="str">
        <f>MigrationRenamer[Date Part]&amp;MigrationRenamer[Sequence]&amp;MigrationRenamer[Name Part]</f>
        <v>2019_01_24_000012_create___resource_form_field_attrs_table.php</v>
      </c>
      <c r="H12" s="6" t="str">
        <f>IFERROR("ren "&amp;MigrationRenamer[Filename]&amp;" "&amp;MigrationRenamer[New Name],"del "&amp;MigrationRenamer[Filename])</f>
        <v>ren 2019_01_24_000012_create___resource_form_field_attrs_table.php 2019_01_24_000012_create___resource_form_field_attrs_table.php</v>
      </c>
    </row>
    <row r="13" spans="1:8" x14ac:dyDescent="0.25">
      <c r="A13" s="3">
        <f t="shared" si="1"/>
        <v>12</v>
      </c>
      <c r="B13" s="1" t="s">
        <v>504</v>
      </c>
      <c r="C13" s="6" t="str">
        <f>MID(MigrationRenamer[Filename],26,LEN(MigrationRenamer[Filename])-35)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RIGHT(MigrationRenamer[Filename],LEN(MigrationRenamer[Filename])-LEN(MigrationRenamer[Date Part])-LEN(MigrationRenamer[Sequence]))</f>
        <v>_create___resource_form_field_data_table.php</v>
      </c>
      <c r="G13" s="6" t="str">
        <f>MigrationRenamer[Date Part]&amp;MigrationRenamer[Sequence]&amp;MigrationRenamer[Name Part]</f>
        <v>2019_01_24_000013_create___resource_form_field_data_table.php</v>
      </c>
      <c r="H13" s="6" t="str">
        <f>IFERROR("ren "&amp;MigrationRenamer[Filename]&amp;" "&amp;MigrationRenamer[New Name],"del "&amp;MigrationRenamer[Filename])</f>
        <v>ren 2019_01_24_000013_create___resource_form_field_data_table.php 2019_01_24_000013_create___resource_form_field_data_table.php</v>
      </c>
    </row>
    <row r="14" spans="1:8" x14ac:dyDescent="0.25">
      <c r="A14" s="3">
        <f t="shared" si="1"/>
        <v>13</v>
      </c>
      <c r="B14" s="1" t="s">
        <v>505</v>
      </c>
      <c r="C14" s="6" t="str">
        <f>MID(MigrationRenamer[Filename],26,LEN(MigrationRenamer[Filename])-35)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RIGHT(MigrationRenamer[Filename],LEN(MigrationRenamer[Filename])-LEN(MigrationRenamer[Date Part])-LEN(MigrationRenamer[Sequence]))</f>
        <v>_create___resource_form_field_validations_table.php</v>
      </c>
      <c r="G14" s="6" t="str">
        <f>MigrationRenamer[Date Part]&amp;MigrationRenamer[Sequence]&amp;MigrationRenamer[Name Part]</f>
        <v>2019_01_24_000014_create___resource_form_field_validations_table.php</v>
      </c>
      <c r="H14" s="6" t="str">
        <f>IFERROR("ren "&amp;MigrationRenamer[Filename]&amp;" "&amp;MigrationRenamer[New Name],"del "&amp;MigrationRenamer[Filename])</f>
        <v>ren 2019_01_24_000014_create___resource_form_field_validations_table.php 2019_01_24_000014_create___resource_form_field_validations_table.php</v>
      </c>
    </row>
    <row r="15" spans="1:8" x14ac:dyDescent="0.25">
      <c r="A15" s="3">
        <f t="shared" si="1"/>
        <v>14</v>
      </c>
      <c r="B15" s="1" t="s">
        <v>506</v>
      </c>
      <c r="C15" s="6" t="str">
        <f>MID(MigrationRenamer[Filename],26,LEN(MigrationRenamer[Filename])-35)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RIGHT(MigrationRenamer[Filename],LEN(MigrationRenamer[Filename])-LEN(MigrationRenamer[Date Part])-LEN(MigrationRenamer[Sequence]))</f>
        <v>_create___resource_form_field_options_table.php</v>
      </c>
      <c r="G15" s="6" t="str">
        <f>MigrationRenamer[Date Part]&amp;MigrationRenamer[Sequence]&amp;MigrationRenamer[Name Part]</f>
        <v>2019_01_24_000015_create___resource_form_field_options_table.php</v>
      </c>
      <c r="H15" s="6" t="str">
        <f>IFERROR("ren "&amp;MigrationRenamer[Filename]&amp;" "&amp;MigrationRenamer[New Name],"del "&amp;MigrationRenamer[Filename])</f>
        <v>ren 2019_01_24_000015_create___resource_form_field_options_table.php 2019_01_24_000015_create___resource_form_field_options_table.php</v>
      </c>
    </row>
    <row r="16" spans="1:8" x14ac:dyDescent="0.25">
      <c r="A16" s="3">
        <f t="shared" si="1"/>
        <v>15</v>
      </c>
      <c r="B16" s="1" t="s">
        <v>507</v>
      </c>
      <c r="C16" s="6" t="str">
        <f>MID(MigrationRenamer[Filename],26,LEN(MigrationRenamer[Filename])-35)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RIGHT(MigrationRenamer[Filename],LEN(MigrationRenamer[Filename])-LEN(MigrationRenamer[Date Part])-LEN(MigrationRenamer[Sequence]))</f>
        <v>_create___resource_form_field_depends_table.php</v>
      </c>
      <c r="G16" s="6" t="str">
        <f>MigrationRenamer[Date Part]&amp;MigrationRenamer[Sequence]&amp;MigrationRenamer[Name Part]</f>
        <v>2019_01_24_000016_create___resource_form_field_depends_table.php</v>
      </c>
      <c r="H16" s="6" t="str">
        <f>IFERROR("ren "&amp;MigrationRenamer[Filename]&amp;" "&amp;MigrationRenamer[New Name],"del "&amp;MigrationRenamer[Filename])</f>
        <v>ren 2019_01_24_000016_create___resource_form_field_depends_table.php 2019_01_24_000016_create___resource_form_field_depends_table.php</v>
      </c>
    </row>
    <row r="17" spans="1:8" x14ac:dyDescent="0.25">
      <c r="A17" s="3">
        <f t="shared" si="1"/>
        <v>16</v>
      </c>
      <c r="B17" s="1" t="s">
        <v>508</v>
      </c>
      <c r="C17" s="6" t="str">
        <f>MID(MigrationRenamer[Filename],26,LEN(MigrationRenamer[Filename])-35)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RIGHT(MigrationRenamer[Filename],LEN(MigrationRenamer[Filename])-LEN(MigrationRenamer[Date Part])-LEN(MigrationRenamer[Sequence]))</f>
        <v>_create___resource_form_field_dynamic_table.php</v>
      </c>
      <c r="G17" s="6" t="str">
        <f>MigrationRenamer[Date Part]&amp;MigrationRenamer[Sequence]&amp;MigrationRenamer[Name Part]</f>
        <v>2019_01_24_000017_create___resource_form_field_dynamic_table.php</v>
      </c>
      <c r="H17" s="6" t="str">
        <f>IFERROR("ren "&amp;MigrationRenamer[Filename]&amp;" "&amp;MigrationRenamer[New Name],"del "&amp;MigrationRenamer[Filename])</f>
        <v>ren 2019_01_24_000017_create___resource_form_field_dynamic_table.php 2019_01_24_000017_create___resource_form_field_dynamic_table.php</v>
      </c>
    </row>
    <row r="18" spans="1:8" x14ac:dyDescent="0.25">
      <c r="A18" s="3">
        <f t="shared" si="1"/>
        <v>17</v>
      </c>
      <c r="B18" s="1" t="s">
        <v>509</v>
      </c>
      <c r="C18" s="6" t="str">
        <f>MID(MigrationRenamer[Filename],26,LEN(MigrationRenamer[Filename])-35)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RIGHT(MigrationRenamer[Filename],LEN(MigrationRenamer[Filename])-LEN(MigrationRenamer[Date Part])-LEN(MigrationRenamer[Sequence]))</f>
        <v>_create___resource_form_layout_table.php</v>
      </c>
      <c r="G18" s="6" t="str">
        <f>MigrationRenamer[Date Part]&amp;MigrationRenamer[Sequence]&amp;MigrationRenamer[Name Part]</f>
        <v>2019_01_24_000018_create___resource_form_layout_table.php</v>
      </c>
      <c r="H18" s="6" t="str">
        <f>IFERROR("ren "&amp;MigrationRenamer[Filename]&amp;" "&amp;MigrationRenamer[New Name],"del "&amp;MigrationRenamer[Filename])</f>
        <v>ren 2019_01_24_000018_create___resource_form_layout_table.php 2019_01_24_000018_create___resource_form_layout_table.php</v>
      </c>
    </row>
    <row r="19" spans="1:8" x14ac:dyDescent="0.25">
      <c r="A19" s="3">
        <f t="shared" si="1"/>
        <v>18</v>
      </c>
      <c r="B19" s="1" t="s">
        <v>510</v>
      </c>
      <c r="C19" s="6" t="str">
        <f>MID(MigrationRenamer[Filename],26,LEN(MigrationRenamer[Filename])-35)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RIGHT(MigrationRenamer[Filename],LEN(MigrationRenamer[Filename])-LEN(MigrationRenamer[Date Part])-LEN(MigrationRenamer[Sequence]))</f>
        <v>_create___resource_form_data_map_table.php</v>
      </c>
      <c r="G19" s="6" t="str">
        <f>MigrationRenamer[Date Part]&amp;MigrationRenamer[Sequence]&amp;MigrationRenamer[Name Part]</f>
        <v>2019_01_24_000032_create___resource_form_data_map_table.php</v>
      </c>
      <c r="H19" s="6" t="str">
        <f>IFERROR("ren "&amp;MigrationRenamer[Filename]&amp;" "&amp;MigrationRenamer[New Name],"del "&amp;MigrationRenamer[Filename])</f>
        <v>ren 2019_01_24_000019_create___resource_form_data_map_table.php 2019_01_24_000032_create___resource_form_data_map_table.php</v>
      </c>
    </row>
    <row r="20" spans="1:8" x14ac:dyDescent="0.25">
      <c r="A20" s="3">
        <f t="shared" si="1"/>
        <v>19</v>
      </c>
      <c r="B20" s="1" t="s">
        <v>511</v>
      </c>
      <c r="C20" s="6" t="str">
        <f>MID(MigrationRenamer[Filename],26,LEN(MigrationRenamer[Filename])-35)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RIGHT(MigrationRenamer[Filename],LEN(MigrationRenamer[Filename])-LEN(MigrationRenamer[Date Part])-LEN(MigrationRenamer[Sequence]))</f>
        <v>_create___resource_form_collection_table.php</v>
      </c>
      <c r="G20" s="6" t="str">
        <f>MigrationRenamer[Date Part]&amp;MigrationRenamer[Sequence]&amp;MigrationRenamer[Name Part]</f>
        <v>2019_01_24_000019_create___resource_form_collection_table.php</v>
      </c>
      <c r="H20" s="6" t="str">
        <f>IFERROR("ren "&amp;MigrationRenamer[Filename]&amp;" "&amp;MigrationRenamer[New Name],"del "&amp;MigrationRenamer[Filename])</f>
        <v>ren 2019_01_24_000020_create___resource_form_collection_table.php 2019_01_24_000019_create___resource_form_collection_table.php</v>
      </c>
    </row>
    <row r="21" spans="1:8" x14ac:dyDescent="0.25">
      <c r="A21" s="3">
        <f t="shared" si="1"/>
        <v>20</v>
      </c>
      <c r="B21" s="1" t="s">
        <v>512</v>
      </c>
      <c r="C21" s="6" t="str">
        <f>MID(MigrationRenamer[Filename],26,LEN(MigrationRenamer[Filename])-35)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RIGHT(MigrationRenamer[Filename],LEN(MigrationRenamer[Filename])-LEN(MigrationRenamer[Date Part])-LEN(MigrationRenamer[Sequence]))</f>
        <v>_create___resource_form_upload_table.php</v>
      </c>
      <c r="G21" s="6" t="str">
        <f>MigrationRenamer[Date Part]&amp;MigrationRenamer[Sequence]&amp;MigrationRenamer[Name Part]</f>
        <v>2019_01_24_000020_create___resource_form_upload_table.php</v>
      </c>
      <c r="H21" s="6" t="str">
        <f>IFERROR("ren "&amp;MigrationRenamer[Filename]&amp;" "&amp;MigrationRenamer[New Name],"del "&amp;MigrationRenamer[Filename])</f>
        <v>ren 2019_01_24_000021_create___resource_form_upload_table.php 2019_01_24_000020_create___resource_form_upload_table.php</v>
      </c>
    </row>
    <row r="22" spans="1:8" x14ac:dyDescent="0.25">
      <c r="A22" s="3">
        <f t="shared" si="1"/>
        <v>21</v>
      </c>
      <c r="B22" s="1" t="s">
        <v>513</v>
      </c>
      <c r="C22" s="6" t="str">
        <f>MID(MigrationRenamer[Filename],26,LEN(MigrationRenamer[Filename])-35)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RIGHT(MigrationRenamer[Filename],LEN(MigrationRenamer[Filename])-LEN(MigrationRenamer[Date Part])-LEN(MigrationRenamer[Sequence]))</f>
        <v>_create___resource_form_defaults_table.php</v>
      </c>
      <c r="G22" s="6" t="str">
        <f>MigrationRenamer[Date Part]&amp;MigrationRenamer[Sequence]&amp;MigrationRenamer[Name Part]</f>
        <v>2019_01_24_000021_create___resource_form_defaults_table.php</v>
      </c>
      <c r="H22" s="6" t="str">
        <f>IFERROR("ren "&amp;MigrationRenamer[Filename]&amp;" "&amp;MigrationRenamer[New Name],"del "&amp;MigrationRenamer[Filename])</f>
        <v>ren 2019_01_24_000022_create___resource_form_defaults_table.php 2019_01_24_000021_create___resource_form_defaults_table.php</v>
      </c>
    </row>
    <row r="23" spans="1:8" x14ac:dyDescent="0.25">
      <c r="A23" s="3">
        <f t="shared" si="1"/>
        <v>22</v>
      </c>
      <c r="B23" s="1" t="s">
        <v>514</v>
      </c>
      <c r="C23" s="6" t="str">
        <f>MID(MigrationRenamer[Filename],26,LEN(MigrationRenamer[Filename])-35)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RIGHT(MigrationRenamer[Filename],LEN(MigrationRenamer[Filename])-LEN(MigrationRenamer[Date Part])-LEN(MigrationRenamer[Sequence]))</f>
        <v>_create___resource_lists_table.php</v>
      </c>
      <c r="G23" s="6" t="str">
        <f>MigrationRenamer[Date Part]&amp;MigrationRenamer[Sequence]&amp;MigrationRenamer[Name Part]</f>
        <v>2019_01_24_000022_create___resource_lists_table.php</v>
      </c>
      <c r="H23" s="6" t="str">
        <f>IFERROR("ren "&amp;MigrationRenamer[Filename]&amp;" "&amp;MigrationRenamer[New Name],"del "&amp;MigrationRenamer[Filename])</f>
        <v>ren 2019_01_24_000023_create___resource_lists_table.php 2019_01_24_000022_create___resource_lists_table.php</v>
      </c>
    </row>
    <row r="24" spans="1:8" x14ac:dyDescent="0.25">
      <c r="A24" s="3">
        <f t="shared" si="1"/>
        <v>23</v>
      </c>
      <c r="B24" s="1" t="s">
        <v>515</v>
      </c>
      <c r="C24" s="6" t="str">
        <f>MID(MigrationRenamer[Filename],26,LEN(MigrationRenamer[Filename])-35)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RIGHT(MigrationRenamer[Filename],LEN(MigrationRenamer[Filename])-LEN(MigrationRenamer[Date Part])-LEN(MigrationRenamer[Sequence]))</f>
        <v>_create___resource_list_relations_table.php</v>
      </c>
      <c r="G24" s="6" t="str">
        <f>MigrationRenamer[Date Part]&amp;MigrationRenamer[Sequence]&amp;MigrationRenamer[Name Part]</f>
        <v>2019_01_24_000023_create___resource_list_relations_table.php</v>
      </c>
      <c r="H24" s="6" t="str">
        <f>IFERROR("ren "&amp;MigrationRenamer[Filename]&amp;" "&amp;MigrationRenamer[New Name],"del "&amp;MigrationRenamer[Filename])</f>
        <v>ren 2019_01_24_000024_create___resource_list_relations_table.php 2019_01_24_000023_create___resource_list_relations_table.php</v>
      </c>
    </row>
    <row r="25" spans="1:8" x14ac:dyDescent="0.25">
      <c r="A25" s="3">
        <f t="shared" si="1"/>
        <v>24</v>
      </c>
      <c r="B25" s="1" t="s">
        <v>516</v>
      </c>
      <c r="C25" s="6" t="str">
        <f>MID(MigrationRenamer[Filename],26,LEN(MigrationRenamer[Filename])-35)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RIGHT(MigrationRenamer[Filename],LEN(MigrationRenamer[Filename])-LEN(MigrationRenamer[Date Part])-LEN(MigrationRenamer[Sequence]))</f>
        <v>_create___resource_list_scopes_table.php</v>
      </c>
      <c r="G25" s="6" t="str">
        <f>MigrationRenamer[Date Part]&amp;MigrationRenamer[Sequence]&amp;MigrationRenamer[Name Part]</f>
        <v>2019_01_24_000024_create___resource_list_scopes_table.php</v>
      </c>
      <c r="H25" s="6" t="str">
        <f>IFERROR("ren "&amp;MigrationRenamer[Filename]&amp;" "&amp;MigrationRenamer[New Name],"del "&amp;MigrationRenamer[Filename])</f>
        <v>ren 2019_01_24_000025_create___resource_list_scopes_table.php 2019_01_24_000024_create___resource_list_scopes_table.php</v>
      </c>
    </row>
    <row r="26" spans="1:8" x14ac:dyDescent="0.25">
      <c r="A26" s="3">
        <f t="shared" si="1"/>
        <v>25</v>
      </c>
      <c r="B26" s="1" t="s">
        <v>517</v>
      </c>
      <c r="C26" s="6" t="str">
        <f>MID(MigrationRenamer[Filename],26,LEN(MigrationRenamer[Filename])-35)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RIGHT(MigrationRenamer[Filename],LEN(MigrationRenamer[Filename])-LEN(MigrationRenamer[Date Part])-LEN(MigrationRenamer[Sequence]))</f>
        <v>_create___resource_list_layout_table.php</v>
      </c>
      <c r="G26" s="6" t="str">
        <f>MigrationRenamer[Date Part]&amp;MigrationRenamer[Sequence]&amp;MigrationRenamer[Name Part]</f>
        <v>2019_01_24_000025_create___resource_list_layout_table.php</v>
      </c>
      <c r="H26" s="6" t="str">
        <f>IFERROR("ren "&amp;MigrationRenamer[Filename]&amp;" "&amp;MigrationRenamer[New Name],"del "&amp;MigrationRenamer[Filename])</f>
        <v>ren 2019_01_24_000026_create___resource_list_layout_table.php 2019_01_24_000025_create___resource_list_layout_table.php</v>
      </c>
    </row>
    <row r="27" spans="1:8" x14ac:dyDescent="0.25">
      <c r="A27" s="3">
        <f t="shared" si="1"/>
        <v>26</v>
      </c>
      <c r="B27" s="1" t="s">
        <v>518</v>
      </c>
      <c r="C27" s="6" t="str">
        <f>MID(MigrationRenamer[Filename],26,LEN(MigrationRenamer[Filename])-35)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RIGHT(MigrationRenamer[Filename],LEN(MigrationRenamer[Filename])-LEN(MigrationRenamer[Date Part])-LEN(MigrationRenamer[Sequence]))</f>
        <v>_create___resource_list_search_table.php</v>
      </c>
      <c r="G27" s="6" t="str">
        <f>MigrationRenamer[Date Part]&amp;MigrationRenamer[Sequence]&amp;MigrationRenamer[Name Part]</f>
        <v>2019_01_24_000026_create___resource_list_search_table.php</v>
      </c>
      <c r="H27" s="6" t="str">
        <f>IFERROR("ren "&amp;MigrationRenamer[Filename]&amp;" "&amp;MigrationRenamer[New Name],"del "&amp;MigrationRenamer[Filename])</f>
        <v>ren 2019_01_24_000027_create___resource_list_search_table.php 2019_01_24_000026_create___resource_list_search_table.php</v>
      </c>
    </row>
    <row r="28" spans="1:8" x14ac:dyDescent="0.25">
      <c r="A28" s="3">
        <f t="shared" si="1"/>
        <v>27</v>
      </c>
      <c r="B28" s="1" t="s">
        <v>519</v>
      </c>
      <c r="C28" s="6" t="str">
        <f>MID(MigrationRenamer[Filename],26,LEN(MigrationRenamer[Filename])-35)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RIGHT(MigrationRenamer[Filename],LEN(MigrationRenamer[Filename])-LEN(MigrationRenamer[Date Part])-LEN(MigrationRenamer[Sequence]))</f>
        <v>_create___resource_data_table.php</v>
      </c>
      <c r="G28" s="6" t="str">
        <f>MigrationRenamer[Date Part]&amp;MigrationRenamer[Sequence]&amp;MigrationRenamer[Name Part]</f>
        <v>2019_01_24_000027_create___resource_data_table.php</v>
      </c>
      <c r="H28" s="6" t="str">
        <f>IFERROR("ren "&amp;MigrationRenamer[Filename]&amp;" "&amp;MigrationRenamer[New Name],"del "&amp;MigrationRenamer[Filename])</f>
        <v>ren 2019_01_24_000028_create___resource_data_table.php 2019_01_24_000027_create___resource_data_table.php</v>
      </c>
    </row>
    <row r="29" spans="1:8" x14ac:dyDescent="0.25">
      <c r="A29" s="3">
        <f t="shared" si="1"/>
        <v>28</v>
      </c>
      <c r="B29" s="1" t="s">
        <v>520</v>
      </c>
      <c r="C29" s="6" t="str">
        <f>MID(MigrationRenamer[Filename],26,LEN(MigrationRenamer[Filename])-35)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RIGHT(MigrationRenamer[Filename],LEN(MigrationRenamer[Filename])-LEN(MigrationRenamer[Date Part])-LEN(MigrationRenamer[Sequence]))</f>
        <v>_create___resource_data_relations_table.php</v>
      </c>
      <c r="G29" s="6" t="str">
        <f>MigrationRenamer[Date Part]&amp;MigrationRenamer[Sequence]&amp;MigrationRenamer[Name Part]</f>
        <v>2019_01_24_000028_create___resource_data_relations_table.php</v>
      </c>
      <c r="H29" s="6" t="str">
        <f>IFERROR("ren "&amp;MigrationRenamer[Filename]&amp;" "&amp;MigrationRenamer[New Name],"del "&amp;MigrationRenamer[Filename])</f>
        <v>ren 2019_01_24_000029_create___resource_data_relations_table.php 2019_01_24_000028_create___resource_data_relations_table.php</v>
      </c>
    </row>
    <row r="30" spans="1:8" x14ac:dyDescent="0.25">
      <c r="A30" s="3">
        <f t="shared" si="1"/>
        <v>29</v>
      </c>
      <c r="B30" s="1" t="s">
        <v>521</v>
      </c>
      <c r="C30" s="6" t="str">
        <f>MID(MigrationRenamer[Filename],26,LEN(MigrationRenamer[Filename])-35)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RIGHT(MigrationRenamer[Filename],LEN(MigrationRenamer[Filename])-LEN(MigrationRenamer[Date Part])-LEN(MigrationRenamer[Sequence]))</f>
        <v>_create___resource_data_scopes_table.php</v>
      </c>
      <c r="G30" s="6" t="str">
        <f>MigrationRenamer[Date Part]&amp;MigrationRenamer[Sequence]&amp;MigrationRenamer[Name Part]</f>
        <v>2019_01_24_000029_create___resource_data_scopes_table.php</v>
      </c>
      <c r="H30" s="6" t="str">
        <f>IFERROR("ren "&amp;MigrationRenamer[Filename]&amp;" "&amp;MigrationRenamer[New Name],"del "&amp;MigrationRenamer[Filename])</f>
        <v>ren 2019_01_24_000030_create___resource_data_scopes_table.php 2019_01_24_000029_create___resource_data_scopes_table.php</v>
      </c>
    </row>
    <row r="31" spans="1:8" x14ac:dyDescent="0.25">
      <c r="A31" s="3">
        <f t="shared" si="1"/>
        <v>30</v>
      </c>
      <c r="B31" s="1" t="s">
        <v>522</v>
      </c>
      <c r="C31" s="6" t="str">
        <f>MID(MigrationRenamer[Filename],26,LEN(MigrationRenamer[Filename])-35)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RIGHT(MigrationRenamer[Filename],LEN(MigrationRenamer[Filename])-LEN(MigrationRenamer[Date Part])-LEN(MigrationRenamer[Sequence]))</f>
        <v>_create___resource_data_view_sections_table.php</v>
      </c>
      <c r="G31" s="6" t="str">
        <f>MigrationRenamer[Date Part]&amp;MigrationRenamer[Sequence]&amp;MigrationRenamer[Name Part]</f>
        <v>2019_01_24_000030_create___resource_data_view_sections_table.php</v>
      </c>
      <c r="H31" s="6" t="str">
        <f>IFERROR("ren "&amp;MigrationRenamer[Filename]&amp;" "&amp;MigrationRenamer[New Name],"del "&amp;MigrationRenamer[Filename])</f>
        <v>ren 2019_01_24_000031_create___resource_data_view_sections_table.php 2019_01_24_000030_create___resource_data_view_sections_table.php</v>
      </c>
    </row>
    <row r="32" spans="1:8" x14ac:dyDescent="0.25">
      <c r="A32" s="3">
        <f t="shared" si="1"/>
        <v>31</v>
      </c>
      <c r="B32" s="1" t="s">
        <v>523</v>
      </c>
      <c r="C32" s="6" t="str">
        <f>MID(MigrationRenamer[Filename],26,LEN(MigrationRenamer[Filename])-35)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RIGHT(MigrationRenamer[Filename],LEN(MigrationRenamer[Filename])-LEN(MigrationRenamer[Date Part])-LEN(MigrationRenamer[Sequence]))</f>
        <v>_create___resource_data_view_section_items_table.php</v>
      </c>
      <c r="G32" s="6" t="str">
        <f>MigrationRenamer[Date Part]&amp;MigrationRenamer[Sequence]&amp;MigrationRenamer[Name Part]</f>
        <v>2019_01_24_000031_create___resource_data_view_section_items_table.php</v>
      </c>
      <c r="H32" s="6" t="str">
        <f>IFERROR("ren "&amp;MigrationRenamer[Filename]&amp;" "&amp;MigrationRenamer[New Name],"del "&amp;MigrationRenamer[Filename])</f>
        <v>ren 2019_01_24_000032_create___resource_data_view_section_items_table.php 2019_01_24_000031_create___resource_data_view_section_items_table.php</v>
      </c>
    </row>
    <row r="33" spans="1:8" x14ac:dyDescent="0.25">
      <c r="A33" s="3">
        <f t="shared" si="1"/>
        <v>32</v>
      </c>
      <c r="B33" s="1" t="s">
        <v>524</v>
      </c>
      <c r="C33" s="6" t="str">
        <f>MID(MigrationRenamer[Filename],26,LEN(MigrationRenamer[Filename])-35)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RIGHT(MigrationRenamer[Filename],LEN(MigrationRenamer[Filename])-LEN(MigrationRenamer[Date Part])-LEN(MigrationRenamer[Sequence]))</f>
        <v>_create___resource_actions_table.php</v>
      </c>
      <c r="G33" s="6" t="str">
        <f>MigrationRenamer[Date Part]&amp;MigrationRenamer[Sequence]&amp;MigrationRenamer[Name Part]</f>
        <v>2019_01_24_000033_create___resource_actions_table.php</v>
      </c>
      <c r="H33" s="6" t="str">
        <f>IFERROR("ren "&amp;MigrationRenamer[Filename]&amp;" "&amp;MigrationRenamer[New Name],"del "&amp;MigrationRenamer[Filename])</f>
        <v>ren 2019_01_24_000033_create___resource_actions_table.php 2019_01_24_000033_create___resource_actions_table.php</v>
      </c>
    </row>
    <row r="34" spans="1:8" x14ac:dyDescent="0.25">
      <c r="A34" s="3">
        <f t="shared" si="1"/>
        <v>33</v>
      </c>
      <c r="B34" s="1" t="s">
        <v>525</v>
      </c>
      <c r="C34" s="6" t="str">
        <f>MID(MigrationRenamer[Filename],26,LEN(MigrationRenamer[Filename])-35)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RIGHT(MigrationRenamer[Filename],LEN(MigrationRenamer[Filename])-LEN(MigrationRenamer[Date Part])-LEN(MigrationRenamer[Sequence]))</f>
        <v>_create___resource_action_attrs_table.php</v>
      </c>
      <c r="G34" s="6" t="str">
        <f>MigrationRenamer[Date Part]&amp;MigrationRenamer[Sequence]&amp;MigrationRenamer[Name Part]</f>
        <v>2019_01_24_000034_create___resource_action_attrs_table.php</v>
      </c>
      <c r="H34" s="6" t="str">
        <f>IFERROR("ren "&amp;MigrationRenamer[Filename]&amp;" "&amp;MigrationRenamer[New Name],"del "&amp;MigrationRenamer[Filename])</f>
        <v>ren 2019_01_24_000034_create___resource_action_attrs_table.php 2019_01_24_000034_create___resource_action_attrs_table.php</v>
      </c>
    </row>
    <row r="35" spans="1:8" x14ac:dyDescent="0.25">
      <c r="A35" s="3">
        <f t="shared" si="1"/>
        <v>34</v>
      </c>
      <c r="B35" s="1" t="s">
        <v>526</v>
      </c>
      <c r="C35" s="6" t="str">
        <f>MID(MigrationRenamer[Filename],26,LEN(MigrationRenamer[Filename])-35)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RIGHT(MigrationRenamer[Filename],LEN(MigrationRenamer[Filename])-LEN(MigrationRenamer[Date Part])-LEN(MigrationRenamer[Sequence]))</f>
        <v>_create___resource_action_methods_table.php</v>
      </c>
      <c r="G35" s="6" t="str">
        <f>MigrationRenamer[Date Part]&amp;MigrationRenamer[Sequence]&amp;MigrationRenamer[Name Part]</f>
        <v>2019_01_24_000035_create___resource_action_methods_table.php</v>
      </c>
      <c r="H35" s="6" t="str">
        <f>IFERROR("ren "&amp;MigrationRenamer[Filename]&amp;" "&amp;MigrationRenamer[New Name],"del "&amp;MigrationRenamer[Filename])</f>
        <v>ren 2019_01_24_000035_create___resource_action_methods_table.php 2019_01_24_000035_create___resource_action_methods_table.php</v>
      </c>
    </row>
    <row r="36" spans="1:8" x14ac:dyDescent="0.25">
      <c r="A36" s="3">
        <f t="shared" si="1"/>
        <v>35</v>
      </c>
      <c r="B36" s="1" t="s">
        <v>527</v>
      </c>
      <c r="C36" s="6" t="str">
        <f>MID(MigrationRenamer[Filename],26,LEN(MigrationRenamer[Filename])-35)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RIGHT(MigrationRenamer[Filename],LEN(MigrationRenamer[Filename])-LEN(MigrationRenamer[Date Part])-LEN(MigrationRenamer[Sequence]))</f>
        <v>_create___resource_action_lists_table.php</v>
      </c>
      <c r="G36" s="6" t="str">
        <f>MigrationRenamer[Date Part]&amp;MigrationRenamer[Sequence]&amp;MigrationRenamer[Name Part]</f>
        <v>2019_01_24_000036_create___resource_action_lists_table.php</v>
      </c>
      <c r="H36" s="6" t="str">
        <f>IFERROR("ren "&amp;MigrationRenamer[Filename]&amp;" "&amp;MigrationRenamer[New Name],"del "&amp;MigrationRenamer[Filename])</f>
        <v>ren 2019_01_24_000036_create___resource_action_lists_table.php 2019_01_24_000036_create___resource_action_lists_table.php</v>
      </c>
    </row>
    <row r="37" spans="1:8" x14ac:dyDescent="0.25">
      <c r="A37" s="3">
        <f t="shared" si="1"/>
        <v>36</v>
      </c>
      <c r="B37" s="1" t="s">
        <v>528</v>
      </c>
      <c r="C37" s="6" t="str">
        <f>MID(MigrationRenamer[Filename],26,LEN(MigrationRenamer[Filename])-35)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RIGHT(MigrationRenamer[Filename],LEN(MigrationRenamer[Filename])-LEN(MigrationRenamer[Date Part])-LEN(MigrationRenamer[Sequence]))</f>
        <v>_create___resource_action_data_table.php</v>
      </c>
      <c r="G37" s="6" t="str">
        <f>MigrationRenamer[Date Part]&amp;MigrationRenamer[Sequence]&amp;MigrationRenamer[Name Part]</f>
        <v>2019_01_24_000037_create___resource_action_data_table.php</v>
      </c>
      <c r="H37" s="6" t="str">
        <f>IFERROR("ren "&amp;MigrationRenamer[Filename]&amp;" "&amp;MigrationRenamer[New Name],"del "&amp;MigrationRenamer[Filename])</f>
        <v>ren 2019_01_24_000037_create___resource_action_data_table.php 2019_01_24_000037_create___resource_action_data_table.php</v>
      </c>
    </row>
    <row r="38" spans="1:8" x14ac:dyDescent="0.25">
      <c r="A38" s="3">
        <f t="shared" si="1"/>
        <v>37</v>
      </c>
      <c r="B38" s="1" t="s">
        <v>529</v>
      </c>
      <c r="C38" s="6" t="str">
        <f>MID(MigrationRenamer[Filename],26,LEN(MigrationRenamer[Filename])-35)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RIGHT(MigrationRenamer[Filename],LEN(MigrationRenamer[Filename])-LEN(MigrationRenamer[Date Part])-LEN(MigrationRenamer[Sequence]))</f>
        <v>_create___resource_defaults_table.php</v>
      </c>
      <c r="G38" s="6" t="str">
        <f>MigrationRenamer[Date Part]&amp;MigrationRenamer[Sequence]&amp;MigrationRenamer[Name Part]</f>
        <v>2019_01_24_000038_create___resource_defaults_table.php</v>
      </c>
      <c r="H38" s="6" t="str">
        <f>IFERROR("ren "&amp;MigrationRenamer[Filename]&amp;" "&amp;MigrationRenamer[New Name],"del "&amp;MigrationRenamer[Filename])</f>
        <v>ren 2019_01_24_000038_create___resource_defaults_table.php 2019_01_24_000038_create___resource_defaults_table.php</v>
      </c>
    </row>
    <row r="39" spans="1:8" x14ac:dyDescent="0.25">
      <c r="A39" s="3">
        <f t="shared" si="1"/>
        <v>38</v>
      </c>
      <c r="B39" s="1" t="s">
        <v>530</v>
      </c>
      <c r="C39" s="6" t="str">
        <f>MID(MigrationRenamer[Filename],26,LEN(MigrationRenamer[Filename])-35)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RIGHT(MigrationRenamer[Filename],LEN(MigrationRenamer[Filename])-LEN(MigrationRenamer[Date Part])-LEN(MigrationRenamer[Sequence]))</f>
        <v>_create___resource_metrics_table.php</v>
      </c>
      <c r="G39" s="6" t="str">
        <f>MigrationRenamer[Date Part]&amp;MigrationRenamer[Sequence]&amp;MigrationRenamer[Name Part]</f>
        <v>2019_01_24_000039_create___resource_metrics_table.php</v>
      </c>
      <c r="H39" s="6" t="str">
        <f>IFERROR("ren "&amp;MigrationRenamer[Filename]&amp;" "&amp;MigrationRenamer[New Name],"del "&amp;MigrationRenamer[Filename])</f>
        <v>ren 2019_01_24_000039_create___resource_metrics_table.php 2019_01_24_000039_create___resource_metrics_table.php</v>
      </c>
    </row>
    <row r="40" spans="1:8" x14ac:dyDescent="0.25">
      <c r="A40" s="3">
        <f t="shared" si="1"/>
        <v>39</v>
      </c>
      <c r="B40" s="1" t="s">
        <v>531</v>
      </c>
      <c r="C40" s="6" t="str">
        <f>MID(MigrationRenamer[Filename],26,LEN(MigrationRenamer[Filename])-35)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RIGHT(MigrationRenamer[Filename],LEN(MigrationRenamer[Filename])-LEN(MigrationRenamer[Date Part])-LEN(MigrationRenamer[Sequence]))</f>
        <v>_create___resource_dashboard_table.php</v>
      </c>
      <c r="G40" s="6" t="str">
        <f>MigrationRenamer[Date Part]&amp;MigrationRenamer[Sequence]&amp;MigrationRenamer[Name Part]</f>
        <v>2019_01_24_000040_create___resource_dashboard_table.php</v>
      </c>
      <c r="H40" s="6" t="str">
        <f>IFERROR("ren "&amp;MigrationRenamer[Filename]&amp;" "&amp;MigrationRenamer[New Name],"del "&amp;MigrationRenamer[Filename])</f>
        <v>ren 2019_01_24_000040_create___resource_dashboard_table.php 2019_01_24_000040_create___resource_dashboard_table.php</v>
      </c>
    </row>
    <row r="41" spans="1:8" x14ac:dyDescent="0.25">
      <c r="A41" s="3">
        <f t="shared" si="1"/>
        <v>40</v>
      </c>
      <c r="B41" s="1" t="s">
        <v>532</v>
      </c>
      <c r="C41" s="6" t="str">
        <f>MID(MigrationRenamer[Filename],26,LEN(MigrationRenamer[Filename])-35)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RIGHT(MigrationRenamer[Filename],LEN(MigrationRenamer[Filename])-LEN(MigrationRenamer[Date Part])-LEN(MigrationRenamer[Sequence]))</f>
        <v>_create___resource_dashboard_sections_table.php</v>
      </c>
      <c r="G41" s="6" t="str">
        <f>MigrationRenamer[Date Part]&amp;MigrationRenamer[Sequence]&amp;MigrationRenamer[Name Part]</f>
        <v>2019_01_24_000041_create___resource_dashboard_sections_table.php</v>
      </c>
      <c r="H41" s="6" t="str">
        <f>IFERROR("ren "&amp;MigrationRenamer[Filename]&amp;" "&amp;MigrationRenamer[New Name],"del "&amp;MigrationRenamer[Filename])</f>
        <v>ren 2019_01_24_000041_create___resource_dashboard_sections_table.php 2019_01_24_000041_create___resource_dashboard_sections_table.php</v>
      </c>
    </row>
    <row r="42" spans="1:8" x14ac:dyDescent="0.25">
      <c r="A42" s="3">
        <f t="shared" si="1"/>
        <v>41</v>
      </c>
      <c r="B42" s="1" t="s">
        <v>533</v>
      </c>
      <c r="C42" s="6" t="str">
        <f>MID(MigrationRenamer[Filename],26,LEN(MigrationRenamer[Filename])-35)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RIGHT(MigrationRenamer[Filename],LEN(MigrationRenamer[Filename])-LEN(MigrationRenamer[Date Part])-LEN(MigrationRenamer[Sequence]))</f>
        <v>_create___resource_dashboard_section_items_table.php</v>
      </c>
      <c r="G42" s="6" t="str">
        <f>MigrationRenamer[Date Part]&amp;MigrationRenamer[Sequence]&amp;MigrationRenamer[Name Part]</f>
        <v>2019_01_24_000042_create___resource_dashboard_section_items_table.php</v>
      </c>
      <c r="H42" s="6" t="str">
        <f>IFERROR("ren "&amp;MigrationRenamer[Filename]&amp;" "&amp;MigrationRenamer[New Name],"del "&amp;MigrationRenamer[Filename])</f>
        <v>ren 2019_01_24_000042_create___resource_dashboard_section_items_table.php 2019_01_24_000042_create___resource_dashboard_section_items_table.php</v>
      </c>
    </row>
    <row r="43" spans="1:8" x14ac:dyDescent="0.25">
      <c r="A43" s="32">
        <f>IFERROR($A42+1,1)</f>
        <v>42</v>
      </c>
      <c r="B43" s="5" t="s">
        <v>534</v>
      </c>
      <c r="C43" s="8" t="str">
        <f>MID(MigrationRenamer[Filename],26,LEN(MigrationRenamer[Filename])-35)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RIGHT(MigrationRenamer[Filename],LEN(MigrationRenamer[Filename])-LEN(MigrationRenamer[Date Part])-LEN(MigrationRenamer[Sequence]))</f>
        <v>_create___organisation_table.php</v>
      </c>
      <c r="G43" s="8" t="str">
        <f>MigrationRenamer[Date Part]&amp;MigrationRenamer[Sequence]&amp;MigrationRenamer[Name Part]</f>
        <v>2019_01_24_000043_create___organisation_table.php</v>
      </c>
      <c r="H43" s="8" t="str">
        <f>IFERROR("ren "&amp;MigrationRenamer[Filename]&amp;" "&amp;MigrationRenamer[New Name],"del "&amp;MigrationRenamer[Filename])</f>
        <v>ren 2019_01_24_000043_create___organisation_table.php 2019_01_24_000043_create___organisation_table.php</v>
      </c>
    </row>
    <row r="44" spans="1:8" x14ac:dyDescent="0.25">
      <c r="A44" s="32">
        <f>IFERROR($A43+1,1)</f>
        <v>43</v>
      </c>
      <c r="B44" s="5" t="s">
        <v>535</v>
      </c>
      <c r="C44" s="8" t="str">
        <f>MID(MigrationRenamer[Filename],26,LEN(MigrationRenamer[Filename])-35)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RIGHT(MigrationRenamer[Filename],LEN(MigrationRenamer[Filename])-LEN(MigrationRenamer[Date Part])-LEN(MigrationRenamer[Sequence]))</f>
        <v>_create___organisation_contacts_table.php</v>
      </c>
      <c r="G44" s="8" t="str">
        <f>MigrationRenamer[Date Part]&amp;MigrationRenamer[Sequence]&amp;MigrationRenamer[Name Part]</f>
        <v>2019_01_24_000044_create___organisation_contacts_table.php</v>
      </c>
      <c r="H44" s="8" t="str">
        <f>IFERROR("ren "&amp;MigrationRenamer[Filename]&amp;" "&amp;MigrationRenamer[New Name],"del "&amp;MigrationRenamer[Filename])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"/>
  <sheetViews>
    <sheetView topLeftCell="B1" workbookViewId="0">
      <selection activeCell="G6" sqref="G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537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536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68" t="str">
        <f>'Table Seed Map'!$A$24&amp;"-"&amp;COUNTA($B$1:ResourceList[[#This Row],[Resource Name]])-1</f>
        <v>Resource Lists-1</v>
      </c>
      <c r="B3" s="69" t="s">
        <v>841</v>
      </c>
      <c r="C3" s="68" t="str">
        <f>ResourceList[[#This Row],[Resource Name]]&amp;"/"&amp;ResourceList[[#This Row],[Name]]</f>
        <v>Category/CategoryList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522101</v>
      </c>
      <c r="E3" s="60">
        <f>IFERROR(VLOOKUP(ResourceList[[#This Row],[Resource Name]],ResourceTable[[RName]:[No]],3,0),"resource")</f>
        <v>505102</v>
      </c>
      <c r="F3" s="74" t="s">
        <v>898</v>
      </c>
      <c r="G3" s="74"/>
      <c r="H3" s="74" t="s">
        <v>848</v>
      </c>
      <c r="I3" s="74" t="s">
        <v>23</v>
      </c>
      <c r="J3" s="74">
        <v>10</v>
      </c>
      <c r="K3" s="70">
        <f>ResourceList[No]</f>
        <v>522101</v>
      </c>
    </row>
    <row r="4" spans="1:57" x14ac:dyDescent="0.25">
      <c r="A4" s="68" t="str">
        <f>'Table Seed Map'!$A$24&amp;"-"&amp;COUNTA($B$1:ResourceList[[#This Row],[Resource Name]])-1</f>
        <v>Resource Lists-2</v>
      </c>
      <c r="B4" s="69" t="s">
        <v>843</v>
      </c>
      <c r="C4" s="68" t="str">
        <f>ResourceList[[#This Row],[Resource Name]]&amp;"/"&amp;ResourceList[[#This Row],[Name]]</f>
        <v>Counter/CounterList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522102</v>
      </c>
      <c r="E4" s="60">
        <f>IFERROR(VLOOKUP(ResourceList[[#This Row],[Resource Name]],ResourceTable[[RName]:[No]],3,0),"resource")</f>
        <v>505104</v>
      </c>
      <c r="F4" s="74" t="s">
        <v>912</v>
      </c>
      <c r="G4" s="74"/>
      <c r="H4" s="74" t="s">
        <v>850</v>
      </c>
      <c r="I4" s="74" t="s">
        <v>822</v>
      </c>
      <c r="J4" s="74">
        <v>10</v>
      </c>
      <c r="K4" s="70">
        <f>ResourceList[No]</f>
        <v>522102</v>
      </c>
    </row>
  </sheetData>
  <dataValidations count="4">
    <dataValidation type="list" allowBlank="1" showInputMessage="1" showErrorMessage="1" sqref="AO2:AR2 BC2:BE2 P2:S2">
      <formula1>Relations</formula1>
    </dataValidation>
    <dataValidation type="list" allowBlank="1" showInputMessage="1" showErrorMessage="1" sqref="AG2 AU2 M2">
      <formula1>ListNames</formula1>
    </dataValidation>
    <dataValidation type="list" allowBlank="1" showInputMessage="1" showErrorMessage="1" sqref="B2:B4">
      <formula1>Resources</formula1>
    </dataValidation>
    <dataValidation type="list" allowBlank="1" showInputMessage="1" showErrorMessage="1" sqref="O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"/>
  <sheetViews>
    <sheetView topLeftCell="P1" workbookViewId="0">
      <selection activeCell="AJ3" sqref="AJ3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5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Category/CreateCategory</v>
      </c>
      <c r="O2" s="6" t="str">
        <f ca="1">IF(IDNMaps[[#This Row],[Name]]="","","("&amp;IDNMaps[[#This Row],[Type]]&amp;") "&amp;IDNMaps[[#This Row],[Name]])</f>
        <v>(Forms) Category/CreateCategory</v>
      </c>
      <c r="P2" s="6">
        <f ca="1">IFERROR(VLOOKUP(IDNMaps[[#This Row],[Primary]],INDIRECT(VLOOKUP(IDNMaps[[#This Row],[Type]],RecordCount[],2,0)),VLOOKUP(IDNMaps[[#This Row],[Type]],RecordCount[],8,0),0),"")</f>
        <v>509101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2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User/CreateServiceUser</v>
      </c>
      <c r="O3" s="6" t="str">
        <f ca="1">IF(IDNMaps[[#This Row],[Name]]="","","("&amp;IDNMaps[[#This Row],[Type]]&amp;") "&amp;IDNMaps[[#This Row],[Name]])</f>
        <v>(Forms) User/CreateServiceUser</v>
      </c>
      <c r="P3" s="6">
        <f ca="1">IFERROR(VLOOKUP(IDNMaps[[#This Row],[Primary]],INDIRECT(VLOOKUP(IDNMaps[[#This Row],[Type]],RecordCount[],2,0)),VLOOKUP(IDNMaps[[#This Row],[Type]],RecordCount[],8,0),0),"")</f>
        <v>509102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0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Counter/CreateCounter</v>
      </c>
      <c r="O4" s="6" t="str">
        <f ca="1">IF(IDNMaps[[#This Row],[Name]]="","","("&amp;IDNMaps[[#This Row],[Type]]&amp;") "&amp;IDNMaps[[#This Row],[Name]])</f>
        <v>(Forms) Counter/CreateCounter</v>
      </c>
      <c r="P4" s="6">
        <f ca="1">IFERROR(VLOOKUP(IDNMaps[[#This Row],[Primary]],INDIRECT(VLOOKUP(IDNMaps[[#This Row],[Type]],RecordCount[],2,0)),VLOOKUP(IDNMaps[[#This Row],[Type]],RecordCount[],8,0),0),"")</f>
        <v>509103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Customer/CreateCustomer</v>
      </c>
      <c r="O5" s="6" t="str">
        <f ca="1">IF(IDNMaps[[#This Row],[Name]]="","","("&amp;IDNMaps[[#This Row],[Type]]&amp;") "&amp;IDNMaps[[#This Row],[Name]])</f>
        <v>(Forms) Customer/CreateCustomer</v>
      </c>
      <c r="P5" s="6">
        <f ca="1">IFERROR(VLOOKUP(IDNMaps[[#This Row],[Primary]],INDIRECT(VLOOKUP(IDNMaps[[#This Row],[Type]],RecordCount[],2,0)),VLOOKUP(IDNMaps[[#This Row],[Type]],RecordCount[],8,0),0),"")</f>
        <v>509104</v>
      </c>
    </row>
    <row r="6" spans="1:16" x14ac:dyDescent="0.25">
      <c r="A6" s="38" t="s">
        <v>801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18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Token/CreateToken</v>
      </c>
      <c r="O6" s="6" t="str">
        <f ca="1">IF(IDNMaps[[#This Row],[Name]]="","","("&amp;IDNMaps[[#This Row],[Type]]&amp;") "&amp;IDNMaps[[#This Row],[Name]])</f>
        <v>(Forms) Token/CreateToken</v>
      </c>
      <c r="P6" s="6">
        <f ca="1">IFERROR(VLOOKUP(IDNMaps[[#This Row],[Primary]],INDIRECT(VLOOKUP(IDNMaps[[#This Row],[Type]],RecordCount[],2,0)),VLOOKUP(IDNMaps[[#This Row],[Type]],RecordCount[],8,0),0),"")</f>
        <v>509105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7" s="6">
        <f ca="1">IF(IDNMaps[[#This Row],[Type]]="","",COUNTIF($K$1:IDNMaps[[#This Row],[Type]],IDNMaps[[#This Row],[Type]]))</f>
        <v>1</v>
      </c>
      <c r="M7" s="6" t="str">
        <f ca="1">IFERROR(VLOOKUP(IDNMaps[[#This Row],[Type]],RecordCount[],6,0)&amp;"-"&amp;IDNMaps[[#This Row],[Type Count]],"")</f>
        <v>Resource Lists-1</v>
      </c>
      <c r="N7" s="6" t="str">
        <f ca="1">IFERROR(VLOOKUP(IDNMaps[[#This Row],[Primary]],INDIRECT(VLOOKUP(IDNMaps[[#This Row],[Type]],RecordCount[],2,0)),VLOOKUP(IDNMaps[[#This Row],[Type]],RecordCount[],7,0),0),"")</f>
        <v>Category/CategoryList</v>
      </c>
      <c r="O7" s="6" t="str">
        <f ca="1">IF(IDNMaps[[#This Row],[Name]]="","","("&amp;IDNMaps[[#This Row],[Type]]&amp;") "&amp;IDNMaps[[#This Row],[Name]])</f>
        <v>(Lists) Category/CategoryList</v>
      </c>
      <c r="P7" s="6">
        <f ca="1">IFERROR(VLOOKUP(IDNMaps[[#This Row],[Primary]],INDIRECT(VLOOKUP(IDNMaps[[#This Row],[Type]],RecordCount[],2,0)),VLOOKUP(IDNMaps[[#This Row],[Type]],RecordCount[],8,0),0),"")</f>
        <v>522101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2</v>
      </c>
      <c r="M8" s="6" t="str">
        <f ca="1">IFERROR(VLOOKUP(IDNMaps[[#This Row],[Type]],RecordCount[],6,0)&amp;"-"&amp;IDNMaps[[#This Row],[Type Count]],"")</f>
        <v>Resource Lists-2</v>
      </c>
      <c r="N8" s="6" t="str">
        <f ca="1">IFERROR(VLOOKUP(IDNMaps[[#This Row],[Primary]],INDIRECT(VLOOKUP(IDNMaps[[#This Row],[Type]],RecordCount[],2,0)),VLOOKUP(IDNMaps[[#This Row],[Type]],RecordCount[],7,0),0),"")</f>
        <v>Counter/CounterList</v>
      </c>
      <c r="O8" s="6" t="str">
        <f ca="1">IF(IDNMaps[[#This Row],[Name]]="","","("&amp;IDNMaps[[#This Row],[Type]]&amp;") "&amp;IDNMaps[[#This Row],[Name]])</f>
        <v>(Lists) Counter/CounterList</v>
      </c>
      <c r="P8" s="6">
        <f ca="1">IFERROR(VLOOKUP(IDNMaps[[#This Row],[Primary]],INDIRECT(VLOOKUP(IDNMaps[[#This Row],[Type]],RecordCount[],2,0)),VLOOKUP(IDNMaps[[#This Row],[Type]],RecordCount[],8,0),0),"")</f>
        <v>522102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" s="6">
        <f ca="1">IF(IDNMaps[[#This Row],[Type]]="","",COUNTIF($K$1:IDNMaps[[#This Row],[Type]],IDNMaps[[#This Row],[Type]]))</f>
        <v>1</v>
      </c>
      <c r="M9" s="6" t="str">
        <f ca="1">IFERROR(VLOOKUP(IDNMaps[[#This Row],[Type]],RecordCount[],6,0)&amp;"-"&amp;IDNMaps[[#This Row],[Type Count]],"")</f>
        <v>Resource Relations-1</v>
      </c>
      <c r="N9" s="6" t="str">
        <f ca="1">IFERROR(VLOOKUP(IDNMaps[[#This Row],[Primary]],INDIRECT(VLOOKUP(IDNMaps[[#This Row],[Type]],RecordCount[],2,0)),VLOOKUP(IDNMaps[[#This Row],[Type]],RecordCount[],7,0),0),"")</f>
        <v>User/Categories</v>
      </c>
      <c r="O9" s="6" t="str">
        <f ca="1">IF(IDNMaps[[#This Row],[Name]]="","","("&amp;IDNMaps[[#This Row],[Type]]&amp;") "&amp;IDNMaps[[#This Row],[Name]])</f>
        <v>(Relation) User/Categories</v>
      </c>
      <c r="P9" s="6">
        <f ca="1">IFERROR(VLOOKUP(IDNMaps[[#This Row],[Primary]],INDIRECT(VLOOKUP(IDNMaps[[#This Row],[Type]],RecordCount[],2,0)),VLOOKUP(IDNMaps[[#This Row],[Type]],RecordCount[],8,0),0),"")</f>
        <v>508101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" s="6">
        <f ca="1">IF(IDNMaps[[#This Row],[Type]]="","",COUNTIF($K$1:IDNMaps[[#This Row],[Type]],IDNMaps[[#This Row],[Type]]))</f>
        <v>2</v>
      </c>
      <c r="M10" s="6" t="str">
        <f ca="1">IFERROR(VLOOKUP(IDNMaps[[#This Row],[Type]],RecordCount[],6,0)&amp;"-"&amp;IDNMaps[[#This Row],[Type Count]],"")</f>
        <v>Resource Relations-2</v>
      </c>
      <c r="N10" s="6" t="str">
        <f ca="1">IFERROR(VLOOKUP(IDNMaps[[#This Row],[Primary]],INDIRECT(VLOOKUP(IDNMaps[[#This Row],[Type]],RecordCount[],2,0)),VLOOKUP(IDNMaps[[#This Row],[Type]],RecordCount[],7,0),0),"")</f>
        <v>Category/Users</v>
      </c>
      <c r="O10" s="6" t="str">
        <f ca="1">IF(IDNMaps[[#This Row],[Name]]="","","("&amp;IDNMaps[[#This Row],[Type]]&amp;") "&amp;IDNMaps[[#This Row],[Name]])</f>
        <v>(Relation) Category/Users</v>
      </c>
      <c r="P10" s="6">
        <f ca="1">IFERROR(VLOOKUP(IDNMaps[[#This Row],[Primary]],INDIRECT(VLOOKUP(IDNMaps[[#This Row],[Type]],RecordCount[],2,0)),VLOOKUP(IDNMaps[[#This Row],[Type]],RecordCount[],8,0),0),"")</f>
        <v>508102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" s="6">
        <f ca="1">IF(IDNMaps[[#This Row],[Type]]="","",COUNTIF($K$1:IDNMaps[[#This Row],[Type]],IDNMaps[[#This Row],[Type]]))</f>
        <v>3</v>
      </c>
      <c r="M11" s="6" t="str">
        <f ca="1">IFERROR(VLOOKUP(IDNMaps[[#This Row],[Type]],RecordCount[],6,0)&amp;"-"&amp;IDNMaps[[#This Row],[Type Count]],"")</f>
        <v>Resource Relations-3</v>
      </c>
      <c r="N11" s="6" t="str">
        <f ca="1">IFERROR(VLOOKUP(IDNMaps[[#This Row],[Primary]],INDIRECT(VLOOKUP(IDNMaps[[#This Row],[Type]],RecordCount[],2,0)),VLOOKUP(IDNMaps[[#This Row],[Type]],RecordCount[],7,0),0),"")</f>
        <v>User/Counters</v>
      </c>
      <c r="O11" s="6" t="str">
        <f ca="1">IF(IDNMaps[[#This Row],[Name]]="","","("&amp;IDNMaps[[#This Row],[Type]]&amp;") "&amp;IDNMaps[[#This Row],[Name]])</f>
        <v>(Relation) User/Counters</v>
      </c>
      <c r="P11" s="6">
        <f ca="1">IFERROR(VLOOKUP(IDNMaps[[#This Row],[Primary]],INDIRECT(VLOOKUP(IDNMaps[[#This Row],[Type]],RecordCount[],2,0)),VLOOKUP(IDNMaps[[#This Row],[Type]],RecordCount[],8,0),0),"")</f>
        <v>508103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" s="6">
        <f ca="1">IF(IDNMaps[[#This Row],[Type]]="","",COUNTIF($K$1:IDNMaps[[#This Row],[Type]],IDNMaps[[#This Row],[Type]]))</f>
        <v>4</v>
      </c>
      <c r="M12" s="6" t="str">
        <f ca="1">IFERROR(VLOOKUP(IDNMaps[[#This Row],[Type]],RecordCount[],6,0)&amp;"-"&amp;IDNMaps[[#This Row],[Type Count]],"")</f>
        <v>Resource Relations-4</v>
      </c>
      <c r="N12" s="6" t="str">
        <f ca="1">IFERROR(VLOOKUP(IDNMaps[[#This Row],[Primary]],INDIRECT(VLOOKUP(IDNMaps[[#This Row],[Type]],RecordCount[],2,0)),VLOOKUP(IDNMaps[[#This Row],[Type]],RecordCount[],7,0),0),"")</f>
        <v>Counter/Users</v>
      </c>
      <c r="O12" s="6" t="str">
        <f ca="1">IF(IDNMaps[[#This Row],[Name]]="","","("&amp;IDNMaps[[#This Row],[Type]]&amp;") "&amp;IDNMaps[[#This Row],[Name]])</f>
        <v>(Relation) Counter/Users</v>
      </c>
      <c r="P12" s="6">
        <f ca="1">IFERROR(VLOOKUP(IDNMaps[[#This Row],[Primary]],INDIRECT(VLOOKUP(IDNMaps[[#This Row],[Type]],RecordCount[],2,0)),VLOOKUP(IDNMaps[[#This Row],[Type]],RecordCount[],8,0),0),"")</f>
        <v>508104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3" s="6">
        <f ca="1">IF(IDNMaps[[#This Row],[Type]]="","",COUNTIF($K$1:IDNMaps[[#This Row],[Type]],IDNMaps[[#This Row],[Type]]))</f>
        <v>5</v>
      </c>
      <c r="M13" s="6" t="str">
        <f ca="1">IFERROR(VLOOKUP(IDNMaps[[#This Row],[Type]],RecordCount[],6,0)&amp;"-"&amp;IDNMaps[[#This Row],[Type Count]],"")</f>
        <v>Resource Relations-5</v>
      </c>
      <c r="N13" s="6" t="str">
        <f ca="1">IFERROR(VLOOKUP(IDNMaps[[#This Row],[Primary]],INDIRECT(VLOOKUP(IDNMaps[[#This Row],[Type]],RecordCount[],2,0)),VLOOKUP(IDNMaps[[#This Row],[Type]],RecordCount[],7,0),0),"")</f>
        <v>Customer/Tokens</v>
      </c>
      <c r="O13" s="6" t="str">
        <f ca="1">IF(IDNMaps[[#This Row],[Name]]="","","("&amp;IDNMaps[[#This Row],[Type]]&amp;") "&amp;IDNMaps[[#This Row],[Name]])</f>
        <v>(Relation) Customer/Tokens</v>
      </c>
      <c r="P13" s="6">
        <f ca="1">IFERROR(VLOOKUP(IDNMaps[[#This Row],[Primary]],INDIRECT(VLOOKUP(IDNMaps[[#This Row],[Type]],RecordCount[],2,0)),VLOOKUP(IDNMaps[[#This Row],[Type]],RecordCount[],8,0),0),"")</f>
        <v>508105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4" s="6">
        <f ca="1">IF(IDNMaps[[#This Row],[Type]]="","",COUNTIF($K$1:IDNMaps[[#This Row],[Type]],IDNMaps[[#This Row],[Type]]))</f>
        <v>6</v>
      </c>
      <c r="M14" s="6" t="str">
        <f ca="1">IFERROR(VLOOKUP(IDNMaps[[#This Row],[Type]],RecordCount[],6,0)&amp;"-"&amp;IDNMaps[[#This Row],[Type Count]],"")</f>
        <v>Resource Relations-6</v>
      </c>
      <c r="N14" s="6" t="str">
        <f ca="1">IFERROR(VLOOKUP(IDNMaps[[#This Row],[Primary]],INDIRECT(VLOOKUP(IDNMaps[[#This Row],[Type]],RecordCount[],2,0)),VLOOKUP(IDNMaps[[#This Row],[Type]],RecordCount[],7,0),0),"")</f>
        <v>Token/Customer</v>
      </c>
      <c r="O14" s="6" t="str">
        <f ca="1">IF(IDNMaps[[#This Row],[Name]]="","","("&amp;IDNMaps[[#This Row],[Type]]&amp;") "&amp;IDNMaps[[#This Row],[Name]])</f>
        <v>(Relation) Token/Customer</v>
      </c>
      <c r="P14" s="6">
        <f ca="1">IFERROR(VLOOKUP(IDNMaps[[#This Row],[Primary]],INDIRECT(VLOOKUP(IDNMaps[[#This Row],[Type]],RecordCount[],2,0)),VLOOKUP(IDNMaps[[#This Row],[Type]],RecordCount[],8,0),0),"")</f>
        <v>508106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5" s="6">
        <f ca="1">IF(IDNMaps[[#This Row],[Type]]="","",COUNTIF($K$1:IDNMaps[[#This Row],[Type]],IDNMaps[[#This Row],[Type]]))</f>
        <v>7</v>
      </c>
      <c r="M15" s="6" t="str">
        <f ca="1">IFERROR(VLOOKUP(IDNMaps[[#This Row],[Type]],RecordCount[],6,0)&amp;"-"&amp;IDNMaps[[#This Row],[Type Count]],"")</f>
        <v>Resource Relations-7</v>
      </c>
      <c r="N15" s="6" t="str">
        <f ca="1">IFERROR(VLOOKUP(IDNMaps[[#This Row],[Primary]],INDIRECT(VLOOKUP(IDNMaps[[#This Row],[Type]],RecordCount[],2,0)),VLOOKUP(IDNMaps[[#This Row],[Type]],RecordCount[],7,0),0),"")</f>
        <v>Category/Tokens</v>
      </c>
      <c r="O15" s="6" t="str">
        <f ca="1">IF(IDNMaps[[#This Row],[Name]]="","","("&amp;IDNMaps[[#This Row],[Type]]&amp;") "&amp;IDNMaps[[#This Row],[Name]])</f>
        <v>(Relation) Category/Tokens</v>
      </c>
      <c r="P15" s="6">
        <f ca="1">IFERROR(VLOOKUP(IDNMaps[[#This Row],[Primary]],INDIRECT(VLOOKUP(IDNMaps[[#This Row],[Type]],RecordCount[],2,0)),VLOOKUP(IDNMaps[[#This Row],[Type]],RecordCount[],8,0),0),"")</f>
        <v>508107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6" s="6">
        <f ca="1">IF(IDNMaps[[#This Row],[Type]]="","",COUNTIF($K$1:IDNMaps[[#This Row],[Type]],IDNMaps[[#This Row],[Type]]))</f>
        <v>8</v>
      </c>
      <c r="M16" s="6" t="str">
        <f ca="1">IFERROR(VLOOKUP(IDNMaps[[#This Row],[Type]],RecordCount[],6,0)&amp;"-"&amp;IDNMaps[[#This Row],[Type Count]],"")</f>
        <v>Resource Relations-8</v>
      </c>
      <c r="N16" s="6" t="str">
        <f ca="1">IFERROR(VLOOKUP(IDNMaps[[#This Row],[Primary]],INDIRECT(VLOOKUP(IDNMaps[[#This Row],[Type]],RecordCount[],2,0)),VLOOKUP(IDNMaps[[#This Row],[Type]],RecordCount[],7,0),0),"")</f>
        <v>Token/Category</v>
      </c>
      <c r="O16" s="6" t="str">
        <f ca="1">IF(IDNMaps[[#This Row],[Name]]="","","("&amp;IDNMaps[[#This Row],[Type]]&amp;") "&amp;IDNMaps[[#This Row],[Name]])</f>
        <v>(Relation) Token/Category</v>
      </c>
      <c r="P16" s="6">
        <f ca="1">IFERROR(VLOOKUP(IDNMaps[[#This Row],[Primary]],INDIRECT(VLOOKUP(IDNMaps[[#This Row],[Type]],RecordCount[],2,0)),VLOOKUP(IDNMaps[[#This Row],[Type]],RecordCount[],8,0),0),"")</f>
        <v>508108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7" s="6">
        <f ca="1">IF(IDNMaps[[#This Row],[Type]]="","",COUNTIF($K$1:IDNMaps[[#This Row],[Type]],IDNMaps[[#This Row],[Type]]))</f>
        <v>9</v>
      </c>
      <c r="M17" s="6" t="str">
        <f ca="1">IFERROR(VLOOKUP(IDNMaps[[#This Row],[Type]],RecordCount[],6,0)&amp;"-"&amp;IDNMaps[[#This Row],[Type Count]],"")</f>
        <v>Resource Relations-9</v>
      </c>
      <c r="N17" s="6" t="str">
        <f ca="1">IFERROR(VLOOKUP(IDNMaps[[#This Row],[Primary]],INDIRECT(VLOOKUP(IDNMaps[[#This Row],[Type]],RecordCount[],2,0)),VLOOKUP(IDNMaps[[#This Row],[Type]],RecordCount[],7,0),0),"")</f>
        <v>Token/Counter</v>
      </c>
      <c r="O17" s="6" t="str">
        <f ca="1">IF(IDNMaps[[#This Row],[Name]]="","","("&amp;IDNMaps[[#This Row],[Type]]&amp;") "&amp;IDNMaps[[#This Row],[Name]])</f>
        <v>(Relation) Token/Counter</v>
      </c>
      <c r="P17" s="6">
        <f ca="1">IFERROR(VLOOKUP(IDNMaps[[#This Row],[Primary]],INDIRECT(VLOOKUP(IDNMaps[[#This Row],[Type]],RecordCount[],2,0)),VLOOKUP(IDNMaps[[#This Row],[Type]],RecordCount[],8,0),0),"")</f>
        <v>508109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" s="6">
        <f ca="1">IF(IDNMaps[[#This Row],[Type]]="","",COUNTIF($K$1:IDNMaps[[#This Row],[Type]],IDNMaps[[#This Row],[Type]]))</f>
        <v>1</v>
      </c>
      <c r="M18" s="6" t="str">
        <f ca="1">IFERROR(VLOOKUP(IDNMaps[[#This Row],[Type]],RecordCount[],6,0)&amp;"-"&amp;IDNMaps[[#This Row],[Type Count]],"")</f>
        <v>Form Fields-1</v>
      </c>
      <c r="N18" s="6" t="str">
        <f ca="1">IFERROR(VLOOKUP(IDNMaps[[#This Row],[Primary]],INDIRECT(VLOOKUP(IDNMaps[[#This Row],[Type]],RecordCount[],2,0)),VLOOKUP(IDNMaps[[#This Row],[Type]],RecordCount[],7,0),0),"")</f>
        <v>Category/CreateCategory/name</v>
      </c>
      <c r="O18" s="6" t="str">
        <f ca="1">IF(IDNMaps[[#This Row],[Name]]="","","("&amp;IDNMaps[[#This Row],[Type]]&amp;") "&amp;IDNMaps[[#This Row],[Name]])</f>
        <v>(Fields) Category/CreateCategory/name</v>
      </c>
      <c r="P18" s="6">
        <f ca="1">IFERROR(VLOOKUP(IDNMaps[[#This Row],[Primary]],INDIRECT(VLOOKUP(IDNMaps[[#This Row],[Type]],RecordCount[],2,0)),VLOOKUP(IDNMaps[[#This Row],[Type]],RecordCount[],8,0),0),"")</f>
        <v>510101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" s="6">
        <f ca="1">IF(IDNMaps[[#This Row],[Type]]="","",COUNTIF($K$1:IDNMaps[[#This Row],[Type]],IDNMaps[[#This Row],[Type]]))</f>
        <v>2</v>
      </c>
      <c r="M19" s="6" t="str">
        <f ca="1">IFERROR(VLOOKUP(IDNMaps[[#This Row],[Type]],RecordCount[],6,0)&amp;"-"&amp;IDNMaps[[#This Row],[Type Count]],"")</f>
        <v>Form Fields-2</v>
      </c>
      <c r="N19" s="6" t="str">
        <f ca="1">IFERROR(VLOOKUP(IDNMaps[[#This Row],[Primary]],INDIRECT(VLOOKUP(IDNMaps[[#This Row],[Type]],RecordCount[],2,0)),VLOOKUP(IDNMaps[[#This Row],[Type]],RecordCount[],7,0),0),"")</f>
        <v>Category/CreateCategory/token_prefix</v>
      </c>
      <c r="O19" s="6" t="str">
        <f ca="1">IF(IDNMaps[[#This Row],[Name]]="","","("&amp;IDNMaps[[#This Row],[Type]]&amp;") "&amp;IDNMaps[[#This Row],[Name]])</f>
        <v>(Fields) Category/CreateCategory/token_prefix</v>
      </c>
      <c r="P19" s="6">
        <f ca="1">IFERROR(VLOOKUP(IDNMaps[[#This Row],[Primary]],INDIRECT(VLOOKUP(IDNMaps[[#This Row],[Type]],RecordCount[],2,0)),VLOOKUP(IDNMaps[[#This Row],[Type]],RecordCount[],8,0),0),"")</f>
        <v>510102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" s="6">
        <f ca="1">IF(IDNMaps[[#This Row],[Type]]="","",COUNTIF($K$1:IDNMaps[[#This Row],[Type]],IDNMaps[[#This Row],[Type]]))</f>
        <v>3</v>
      </c>
      <c r="M20" s="6" t="str">
        <f ca="1">IFERROR(VLOOKUP(IDNMaps[[#This Row],[Type]],RecordCount[],6,0)&amp;"-"&amp;IDNMaps[[#This Row],[Type Count]],"")</f>
        <v>Form Fields-3</v>
      </c>
      <c r="N20" s="6" t="str">
        <f ca="1">IFERROR(VLOOKUP(IDNMaps[[#This Row],[Primary]],INDIRECT(VLOOKUP(IDNMaps[[#This Row],[Type]],RecordCount[],2,0)),VLOOKUP(IDNMaps[[#This Row],[Type]],RecordCount[],7,0),0),"")</f>
        <v>Category/CreateCategory/token_suffix</v>
      </c>
      <c r="O20" s="6" t="str">
        <f ca="1">IF(IDNMaps[[#This Row],[Name]]="","","("&amp;IDNMaps[[#This Row],[Type]]&amp;") "&amp;IDNMaps[[#This Row],[Name]])</f>
        <v>(Fields) Category/CreateCategory/token_suffix</v>
      </c>
      <c r="P20" s="6">
        <f ca="1">IFERROR(VLOOKUP(IDNMaps[[#This Row],[Primary]],INDIRECT(VLOOKUP(IDNMaps[[#This Row],[Type]],RecordCount[],2,0)),VLOOKUP(IDNMaps[[#This Row],[Type]],RecordCount[],8,0),0),"")</f>
        <v>510103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1" s="6">
        <f ca="1">IF(IDNMaps[[#This Row],[Type]]="","",COUNTIF($K$1:IDNMaps[[#This Row],[Type]],IDNMaps[[#This Row],[Type]]))</f>
        <v>4</v>
      </c>
      <c r="M21" s="6" t="str">
        <f ca="1">IFERROR(VLOOKUP(IDNMaps[[#This Row],[Type]],RecordCount[],6,0)&amp;"-"&amp;IDNMaps[[#This Row],[Type Count]],"")</f>
        <v>Form Fields-4</v>
      </c>
      <c r="N21" s="6" t="str">
        <f ca="1">IFERROR(VLOOKUP(IDNMaps[[#This Row],[Primary]],INDIRECT(VLOOKUP(IDNMaps[[#This Row],[Type]],RecordCount[],2,0)),VLOOKUP(IDNMaps[[#This Row],[Type]],RecordCount[],7,0),0),"")</f>
        <v>Category/CreateCategory/digit_length</v>
      </c>
      <c r="O21" s="6" t="str">
        <f ca="1">IF(IDNMaps[[#This Row],[Name]]="","","("&amp;IDNMaps[[#This Row],[Type]]&amp;") "&amp;IDNMaps[[#This Row],[Name]])</f>
        <v>(Fields) Category/CreateCategory/digit_length</v>
      </c>
      <c r="P21" s="6">
        <f ca="1">IFERROR(VLOOKUP(IDNMaps[[#This Row],[Primary]],INDIRECT(VLOOKUP(IDNMaps[[#This Row],[Type]],RecordCount[],2,0)),VLOOKUP(IDNMaps[[#This Row],[Type]],RecordCount[],8,0),0),"")</f>
        <v>510104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2" s="6">
        <f ca="1">IF(IDNMaps[[#This Row],[Type]]="","",COUNTIF($K$1:IDNMaps[[#This Row],[Type]],IDNMaps[[#This Row],[Type]]))</f>
        <v>5</v>
      </c>
      <c r="M22" s="6" t="str">
        <f ca="1">IFERROR(VLOOKUP(IDNMaps[[#This Row],[Type]],RecordCount[],6,0)&amp;"-"&amp;IDNMaps[[#This Row],[Type Count]],"")</f>
        <v>Form Fields-5</v>
      </c>
      <c r="N22" s="6" t="str">
        <f ca="1">IFERROR(VLOOKUP(IDNMaps[[#This Row],[Primary]],INDIRECT(VLOOKUP(IDNMaps[[#This Row],[Type]],RecordCount[],2,0)),VLOOKUP(IDNMaps[[#This Row],[Type]],RecordCount[],7,0),0),"")</f>
        <v>User/CreateServiceUser/name</v>
      </c>
      <c r="O22" s="6" t="str">
        <f ca="1">IF(IDNMaps[[#This Row],[Name]]="","","("&amp;IDNMaps[[#This Row],[Type]]&amp;") "&amp;IDNMaps[[#This Row],[Name]])</f>
        <v>(Fields) User/CreateServiceUser/name</v>
      </c>
      <c r="P22" s="6">
        <f ca="1">IFERROR(VLOOKUP(IDNMaps[[#This Row],[Primary]],INDIRECT(VLOOKUP(IDNMaps[[#This Row],[Type]],RecordCount[],2,0)),VLOOKUP(IDNMaps[[#This Row],[Type]],RecordCount[],8,0),0),"")</f>
        <v>510105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3" s="6">
        <f ca="1">IF(IDNMaps[[#This Row],[Type]]="","",COUNTIF($K$1:IDNMaps[[#This Row],[Type]],IDNMaps[[#This Row],[Type]]))</f>
        <v>6</v>
      </c>
      <c r="M23" s="6" t="str">
        <f ca="1">IFERROR(VLOOKUP(IDNMaps[[#This Row],[Type]],RecordCount[],6,0)&amp;"-"&amp;IDNMaps[[#This Row],[Type Count]],"")</f>
        <v>Form Fields-6</v>
      </c>
      <c r="N23" s="6" t="str">
        <f ca="1">IFERROR(VLOOKUP(IDNMaps[[#This Row],[Primary]],INDIRECT(VLOOKUP(IDNMaps[[#This Row],[Type]],RecordCount[],2,0)),VLOOKUP(IDNMaps[[#This Row],[Type]],RecordCount[],7,0),0),"")</f>
        <v>User/CreateServiceUser/phone</v>
      </c>
      <c r="O23" s="6" t="str">
        <f ca="1">IF(IDNMaps[[#This Row],[Name]]="","","("&amp;IDNMaps[[#This Row],[Type]]&amp;") "&amp;IDNMaps[[#This Row],[Name]])</f>
        <v>(Fields) User/CreateServiceUser/phone</v>
      </c>
      <c r="P23" s="6">
        <f ca="1">IFERROR(VLOOKUP(IDNMaps[[#This Row],[Primary]],INDIRECT(VLOOKUP(IDNMaps[[#This Row],[Type]],RecordCount[],2,0)),VLOOKUP(IDNMaps[[#This Row],[Type]],RecordCount[],8,0),0),"")</f>
        <v>510106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4" s="6">
        <f ca="1">IF(IDNMaps[[#This Row],[Type]]="","",COUNTIF($K$1:IDNMaps[[#This Row],[Type]],IDNMaps[[#This Row],[Type]]))</f>
        <v>7</v>
      </c>
      <c r="M24" s="6" t="str">
        <f ca="1">IFERROR(VLOOKUP(IDNMaps[[#This Row],[Type]],RecordCount[],6,0)&amp;"-"&amp;IDNMaps[[#This Row],[Type Count]],"")</f>
        <v>Form Fields-7</v>
      </c>
      <c r="N24" s="6" t="str">
        <f ca="1">IFERROR(VLOOKUP(IDNMaps[[#This Row],[Primary]],INDIRECT(VLOOKUP(IDNMaps[[#This Row],[Type]],RecordCount[],2,0)),VLOOKUP(IDNMaps[[#This Row],[Type]],RecordCount[],7,0),0),"")</f>
        <v>User/CreateServiceUser/login</v>
      </c>
      <c r="O24" s="6" t="str">
        <f ca="1">IF(IDNMaps[[#This Row],[Name]]="","","("&amp;IDNMaps[[#This Row],[Type]]&amp;") "&amp;IDNMaps[[#This Row],[Name]])</f>
        <v>(Fields) User/CreateServiceUser/login</v>
      </c>
      <c r="P24" s="6">
        <f ca="1">IFERROR(VLOOKUP(IDNMaps[[#This Row],[Primary]],INDIRECT(VLOOKUP(IDNMaps[[#This Row],[Type]],RecordCount[],2,0)),VLOOKUP(IDNMaps[[#This Row],[Type]],RecordCount[],8,0),0),"")</f>
        <v>510107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5" s="6">
        <f ca="1">IF(IDNMaps[[#This Row],[Type]]="","",COUNTIF($K$1:IDNMaps[[#This Row],[Type]],IDNMaps[[#This Row],[Type]]))</f>
        <v>8</v>
      </c>
      <c r="M25" s="6" t="str">
        <f ca="1">IFERROR(VLOOKUP(IDNMaps[[#This Row],[Type]],RecordCount[],6,0)&amp;"-"&amp;IDNMaps[[#This Row],[Type Count]],"")</f>
        <v>Form Fields-8</v>
      </c>
      <c r="N25" s="6" t="str">
        <f ca="1">IFERROR(VLOOKUP(IDNMaps[[#This Row],[Primary]],INDIRECT(VLOOKUP(IDNMaps[[#This Row],[Type]],RecordCount[],2,0)),VLOOKUP(IDNMaps[[#This Row],[Type]],RecordCount[],7,0),0),"")</f>
        <v>User/CreateServiceUser/email</v>
      </c>
      <c r="O25" s="6" t="str">
        <f ca="1">IF(IDNMaps[[#This Row],[Name]]="","","("&amp;IDNMaps[[#This Row],[Type]]&amp;") "&amp;IDNMaps[[#This Row],[Name]])</f>
        <v>(Fields) User/CreateServiceUser/email</v>
      </c>
      <c r="P25" s="6">
        <f ca="1">IFERROR(VLOOKUP(IDNMaps[[#This Row],[Primary]],INDIRECT(VLOOKUP(IDNMaps[[#This Row],[Type]],RecordCount[],2,0)),VLOOKUP(IDNMaps[[#This Row],[Type]],RecordCount[],8,0),0),"")</f>
        <v>510108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6" s="6">
        <f ca="1">IF(IDNMaps[[#This Row],[Type]]="","",COUNTIF($K$1:IDNMaps[[#This Row],[Type]],IDNMaps[[#This Row],[Type]]))</f>
        <v>9</v>
      </c>
      <c r="M26" s="6" t="str">
        <f ca="1">IFERROR(VLOOKUP(IDNMaps[[#This Row],[Type]],RecordCount[],6,0)&amp;"-"&amp;IDNMaps[[#This Row],[Type Count]],"")</f>
        <v>Form Fields-9</v>
      </c>
      <c r="N26" s="6" t="str">
        <f ca="1">IFERROR(VLOOKUP(IDNMaps[[#This Row],[Primary]],INDIRECT(VLOOKUP(IDNMaps[[#This Row],[Type]],RecordCount[],2,0)),VLOOKUP(IDNMaps[[#This Row],[Type]],RecordCount[],7,0),0),"")</f>
        <v>Counter/CreateCounter/name</v>
      </c>
      <c r="O26" s="6" t="str">
        <f ca="1">IF(IDNMaps[[#This Row],[Name]]="","","("&amp;IDNMaps[[#This Row],[Type]]&amp;") "&amp;IDNMaps[[#This Row],[Name]])</f>
        <v>(Fields) Counter/CreateCounter/name</v>
      </c>
      <c r="P26" s="6">
        <f ca="1">IFERROR(VLOOKUP(IDNMaps[[#This Row],[Primary]],INDIRECT(VLOOKUP(IDNMaps[[#This Row],[Type]],RecordCount[],2,0)),VLOOKUP(IDNMaps[[#This Row],[Type]],RecordCount[],8,0),0),"")</f>
        <v>510109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7" s="6">
        <f ca="1">IF(IDNMaps[[#This Row],[Type]]="","",COUNTIF($K$1:IDNMaps[[#This Row],[Type]],IDNMaps[[#This Row],[Type]]))</f>
        <v>10</v>
      </c>
      <c r="M27" s="6" t="str">
        <f ca="1">IFERROR(VLOOKUP(IDNMaps[[#This Row],[Type]],RecordCount[],6,0)&amp;"-"&amp;IDNMaps[[#This Row],[Type Count]],"")</f>
        <v>Form Fields-10</v>
      </c>
      <c r="N27" s="6" t="str">
        <f ca="1">IFERROR(VLOOKUP(IDNMaps[[#This Row],[Primary]],INDIRECT(VLOOKUP(IDNMaps[[#This Row],[Type]],RecordCount[],2,0)),VLOOKUP(IDNMaps[[#This Row],[Type]],RecordCount[],7,0),0),"")</f>
        <v>Counter/CreateCounter/display_name</v>
      </c>
      <c r="O27" s="6" t="str">
        <f ca="1">IF(IDNMaps[[#This Row],[Name]]="","","("&amp;IDNMaps[[#This Row],[Type]]&amp;") "&amp;IDNMaps[[#This Row],[Name]])</f>
        <v>(Fields) Counter/CreateCounter/display_name</v>
      </c>
      <c r="P27" s="6">
        <f ca="1">IFERROR(VLOOKUP(IDNMaps[[#This Row],[Primary]],INDIRECT(VLOOKUP(IDNMaps[[#This Row],[Type]],RecordCount[],2,0)),VLOOKUP(IDNMaps[[#This Row],[Type]],RecordCount[],8,0),0),"")</f>
        <v>510110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8" s="6">
        <f ca="1">IF(IDNMaps[[#This Row],[Type]]="","",COUNTIF($K$1:IDNMaps[[#This Row],[Type]],IDNMaps[[#This Row],[Type]]))</f>
        <v>11</v>
      </c>
      <c r="M28" s="6" t="str">
        <f ca="1">IFERROR(VLOOKUP(IDNMaps[[#This Row],[Type]],RecordCount[],6,0)&amp;"-"&amp;IDNMaps[[#This Row],[Type Count]],"")</f>
        <v>Form Fields-11</v>
      </c>
      <c r="N28" s="6" t="str">
        <f ca="1">IFERROR(VLOOKUP(IDNMaps[[#This Row],[Primary]],INDIRECT(VLOOKUP(IDNMaps[[#This Row],[Type]],RecordCount[],2,0)),VLOOKUP(IDNMaps[[#This Row],[Type]],RecordCount[],7,0),0),"")</f>
        <v>Counter/CreateCounter/status</v>
      </c>
      <c r="O28" s="6" t="str">
        <f ca="1">IF(IDNMaps[[#This Row],[Name]]="","","("&amp;IDNMaps[[#This Row],[Type]]&amp;") "&amp;IDNMaps[[#This Row],[Name]])</f>
        <v>(Fields) Counter/CreateCounter/status</v>
      </c>
      <c r="P28" s="6">
        <f ca="1">IFERROR(VLOOKUP(IDNMaps[[#This Row],[Primary]],INDIRECT(VLOOKUP(IDNMaps[[#This Row],[Type]],RecordCount[],2,0)),VLOOKUP(IDNMaps[[#This Row],[Type]],RecordCount[],8,0),0),"")</f>
        <v>510111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9" s="6">
        <f ca="1">IF(IDNMaps[[#This Row],[Type]]="","",COUNTIF($K$1:IDNMaps[[#This Row],[Type]],IDNMaps[[#This Row],[Type]]))</f>
        <v>12</v>
      </c>
      <c r="M29" s="6" t="str">
        <f ca="1">IFERROR(VLOOKUP(IDNMaps[[#This Row],[Type]],RecordCount[],6,0)&amp;"-"&amp;IDNMaps[[#This Row],[Type Count]],"")</f>
        <v>Form Fields-12</v>
      </c>
      <c r="N29" s="6" t="str">
        <f ca="1">IFERROR(VLOOKUP(IDNMaps[[#This Row],[Primary]],INDIRECT(VLOOKUP(IDNMaps[[#This Row],[Type]],RecordCount[],2,0)),VLOOKUP(IDNMaps[[#This Row],[Type]],RecordCount[],7,0),0),"")</f>
        <v>Customer/CreateCustomer/name</v>
      </c>
      <c r="O29" s="6" t="str">
        <f ca="1">IF(IDNMaps[[#This Row],[Name]]="","","("&amp;IDNMaps[[#This Row],[Type]]&amp;") "&amp;IDNMaps[[#This Row],[Name]])</f>
        <v>(Fields) Customer/CreateCustomer/name</v>
      </c>
      <c r="P29" s="6">
        <f ca="1">IFERROR(VLOOKUP(IDNMaps[[#This Row],[Primary]],INDIRECT(VLOOKUP(IDNMaps[[#This Row],[Type]],RecordCount[],2,0)),VLOOKUP(IDNMaps[[#This Row],[Type]],RecordCount[],8,0),0),"")</f>
        <v>510112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0" s="6">
        <f ca="1">IF(IDNMaps[[#This Row],[Type]]="","",COUNTIF($K$1:IDNMaps[[#This Row],[Type]],IDNMaps[[#This Row],[Type]]))</f>
        <v>13</v>
      </c>
      <c r="M30" s="6" t="str">
        <f ca="1">IFERROR(VLOOKUP(IDNMaps[[#This Row],[Type]],RecordCount[],6,0)&amp;"-"&amp;IDNMaps[[#This Row],[Type Count]],"")</f>
        <v>Form Fields-13</v>
      </c>
      <c r="N30" s="6" t="str">
        <f ca="1">IFERROR(VLOOKUP(IDNMaps[[#This Row],[Primary]],INDIRECT(VLOOKUP(IDNMaps[[#This Row],[Type]],RecordCount[],2,0)),VLOOKUP(IDNMaps[[#This Row],[Type]],RecordCount[],7,0),0),"")</f>
        <v>Customer/CreateCustomer/phone</v>
      </c>
      <c r="O30" s="6" t="str">
        <f ca="1">IF(IDNMaps[[#This Row],[Name]]="","","("&amp;IDNMaps[[#This Row],[Type]]&amp;") "&amp;IDNMaps[[#This Row],[Name]])</f>
        <v>(Fields) Customer/CreateCustomer/phone</v>
      </c>
      <c r="P30" s="6">
        <f ca="1">IFERROR(VLOOKUP(IDNMaps[[#This Row],[Primary]],INDIRECT(VLOOKUP(IDNMaps[[#This Row],[Type]],RecordCount[],2,0)),VLOOKUP(IDNMaps[[#This Row],[Type]],RecordCount[],8,0),0),"")</f>
        <v>510113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1" s="6">
        <f ca="1">IF(IDNMaps[[#This Row],[Type]]="","",COUNTIF($K$1:IDNMaps[[#This Row],[Type]],IDNMaps[[#This Row],[Type]]))</f>
        <v>14</v>
      </c>
      <c r="M31" s="6" t="str">
        <f ca="1">IFERROR(VLOOKUP(IDNMaps[[#This Row],[Type]],RecordCount[],6,0)&amp;"-"&amp;IDNMaps[[#This Row],[Type Count]],"")</f>
        <v>Form Fields-14</v>
      </c>
      <c r="N31" s="6" t="str">
        <f ca="1">IFERROR(VLOOKUP(IDNMaps[[#This Row],[Primary]],INDIRECT(VLOOKUP(IDNMaps[[#This Row],[Type]],RecordCount[],2,0)),VLOOKUP(IDNMaps[[#This Row],[Type]],RecordCount[],7,0),0),"")</f>
        <v>Customer/CreateCustomer/email</v>
      </c>
      <c r="O31" s="6" t="str">
        <f ca="1">IF(IDNMaps[[#This Row],[Name]]="","","("&amp;IDNMaps[[#This Row],[Type]]&amp;") "&amp;IDNMaps[[#This Row],[Name]])</f>
        <v>(Fields) Customer/CreateCustomer/email</v>
      </c>
      <c r="P31" s="6">
        <f ca="1">IFERROR(VLOOKUP(IDNMaps[[#This Row],[Primary]],INDIRECT(VLOOKUP(IDNMaps[[#This Row],[Type]],RecordCount[],2,0)),VLOOKUP(IDNMaps[[#This Row],[Type]],RecordCount[],8,0),0),"")</f>
        <v>510114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2" s="6">
        <f ca="1">IF(IDNMaps[[#This Row],[Type]]="","",COUNTIF($K$1:IDNMaps[[#This Row],[Type]],IDNMaps[[#This Row],[Type]]))</f>
        <v>15</v>
      </c>
      <c r="M32" s="6" t="str">
        <f ca="1">IFERROR(VLOOKUP(IDNMaps[[#This Row],[Type]],RecordCount[],6,0)&amp;"-"&amp;IDNMaps[[#This Row],[Type Count]],"")</f>
        <v>Form Fields-15</v>
      </c>
      <c r="N32" s="6" t="str">
        <f ca="1">IFERROR(VLOOKUP(IDNMaps[[#This Row],[Primary]],INDIRECT(VLOOKUP(IDNMaps[[#This Row],[Type]],RecordCount[],2,0)),VLOOKUP(IDNMaps[[#This Row],[Type]],RecordCount[],7,0),0),"")</f>
        <v>Token/CreateToken/category</v>
      </c>
      <c r="O32" s="6" t="str">
        <f ca="1">IF(IDNMaps[[#This Row],[Name]]="","","("&amp;IDNMaps[[#This Row],[Type]]&amp;") "&amp;IDNMaps[[#This Row],[Name]])</f>
        <v>(Fields) Token/CreateToken/category</v>
      </c>
      <c r="P32" s="6">
        <f ca="1">IFERROR(VLOOKUP(IDNMaps[[#This Row],[Primary]],INDIRECT(VLOOKUP(IDNMaps[[#This Row],[Type]],RecordCount[],2,0)),VLOOKUP(IDNMaps[[#This Row],[Type]],RecordCount[],8,0),0),"")</f>
        <v>510115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3" s="6">
        <f ca="1">IF(IDNMaps[[#This Row],[Type]]="","",COUNTIF($K$1:IDNMaps[[#This Row],[Type]],IDNMaps[[#This Row],[Type]]))</f>
        <v>16</v>
      </c>
      <c r="M33" s="6" t="str">
        <f ca="1">IFERROR(VLOOKUP(IDNMaps[[#This Row],[Type]],RecordCount[],6,0)&amp;"-"&amp;IDNMaps[[#This Row],[Type Count]],"")</f>
        <v>Form Fields-16</v>
      </c>
      <c r="N33" s="6" t="str">
        <f ca="1">IFERROR(VLOOKUP(IDNMaps[[#This Row],[Primary]],INDIRECT(VLOOKUP(IDNMaps[[#This Row],[Type]],RecordCount[],2,0)),VLOOKUP(IDNMaps[[#This Row],[Type]],RecordCount[],7,0),0),"")</f>
        <v>Token/CreateToken/datetime</v>
      </c>
      <c r="O33" s="6" t="str">
        <f ca="1">IF(IDNMaps[[#This Row],[Name]]="","","("&amp;IDNMaps[[#This Row],[Type]]&amp;") "&amp;IDNMaps[[#This Row],[Name]])</f>
        <v>(Fields) Token/CreateToken/datetime</v>
      </c>
      <c r="P33" s="6">
        <f ca="1">IFERROR(VLOOKUP(IDNMaps[[#This Row],[Primary]],INDIRECT(VLOOKUP(IDNMaps[[#This Row],[Type]],RecordCount[],2,0)),VLOOKUP(IDNMaps[[#This Row],[Type]],RecordCount[],8,0),0),"")</f>
        <v>510116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4" s="6">
        <f ca="1">IF(IDNMaps[[#This Row],[Type]]="","",COUNTIF($K$1:IDNMaps[[#This Row],[Type]],IDNMaps[[#This Row],[Type]]))</f>
        <v>17</v>
      </c>
      <c r="M34" s="6" t="str">
        <f ca="1">IFERROR(VLOOKUP(IDNMaps[[#This Row],[Type]],RecordCount[],6,0)&amp;"-"&amp;IDNMaps[[#This Row],[Type Count]],"")</f>
        <v>Form Fields-17</v>
      </c>
      <c r="N34" s="6" t="str">
        <f ca="1">IFERROR(VLOOKUP(IDNMaps[[#This Row],[Primary]],INDIRECT(VLOOKUP(IDNMaps[[#This Row],[Type]],RecordCount[],2,0)),VLOOKUP(IDNMaps[[#This Row],[Type]],RecordCount[],7,0),0),"")</f>
        <v>Token/CreateToken/customer</v>
      </c>
      <c r="O34" s="6" t="str">
        <f ca="1">IF(IDNMaps[[#This Row],[Name]]="","","("&amp;IDNMaps[[#This Row],[Type]]&amp;") "&amp;IDNMaps[[#This Row],[Name]])</f>
        <v>(Fields) Token/CreateToken/customer</v>
      </c>
      <c r="P34" s="6">
        <f ca="1">IFERROR(VLOOKUP(IDNMaps[[#This Row],[Primary]],INDIRECT(VLOOKUP(IDNMaps[[#This Row],[Type]],RecordCount[],2,0)),VLOOKUP(IDNMaps[[#This Row],[Type]],RecordCount[],8,0),0),"")</f>
        <v>510117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5" s="6">
        <f ca="1">IF(IDNMaps[[#This Row],[Type]]="","",COUNTIF($K$1:IDNMaps[[#This Row],[Type]],IDNMaps[[#This Row],[Type]]))</f>
        <v>18</v>
      </c>
      <c r="M35" s="6" t="str">
        <f ca="1">IFERROR(VLOOKUP(IDNMaps[[#This Row],[Type]],RecordCount[],6,0)&amp;"-"&amp;IDNMaps[[#This Row],[Type Count]],"")</f>
        <v>Form Fields-18</v>
      </c>
      <c r="N35" s="6" t="str">
        <f ca="1">IFERROR(VLOOKUP(IDNMaps[[#This Row],[Primary]],INDIRECT(VLOOKUP(IDNMaps[[#This Row],[Type]],RecordCount[],2,0)),VLOOKUP(IDNMaps[[#This Row],[Type]],RecordCount[],7,0),0),"")</f>
        <v>Token/CreateToken/status</v>
      </c>
      <c r="O35" s="6" t="str">
        <f ca="1">IF(IDNMaps[[#This Row],[Name]]="","","("&amp;IDNMaps[[#This Row],[Type]]&amp;") "&amp;IDNMaps[[#This Row],[Name]])</f>
        <v>(Fields) Token/CreateToken/status</v>
      </c>
      <c r="P35" s="6">
        <f ca="1">IFERROR(VLOOKUP(IDNMaps[[#This Row],[Primary]],INDIRECT(VLOOKUP(IDNMaps[[#This Row],[Type]],RecordCount[],2,0)),VLOOKUP(IDNMaps[[#This Row],[Type]],RecordCount[],8,0),0),"")</f>
        <v>510118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" s="6" t="str">
        <f ca="1">IF(IDNMaps[[#This Row],[Type]]="","",COUNTIF($K$1:IDNMaps[[#This Row],[Type]],IDNMaps[[#This Row],[Type]]))</f>
        <v/>
      </c>
      <c r="M36" s="6" t="str">
        <f ca="1">IFERROR(VLOOKUP(IDNMaps[[#This Row],[Type]],RecordCount[],6,0)&amp;"-"&amp;IDNMaps[[#This Row],[Type Count]],"")</f>
        <v/>
      </c>
      <c r="N36" s="6" t="str">
        <f ca="1">IFERROR(VLOOKUP(IDNMaps[[#This Row],[Primary]],INDIRECT(VLOOKUP(IDNMaps[[#This Row],[Type]],RecordCount[],2,0)),VLOOKUP(IDNMaps[[#This Row],[Type]],RecordCount[],7,0),0),"")</f>
        <v/>
      </c>
      <c r="O36" s="6" t="str">
        <f ca="1">IF(IDNMaps[[#This Row],[Name]]="","","("&amp;IDNMaps[[#This Row],[Type]]&amp;") "&amp;IDNMaps[[#This Row],[Name]])</f>
        <v/>
      </c>
      <c r="P36" s="6" t="str">
        <f ca="1">IFERROR(VLOOKUP(IDNMaps[[#This Row],[Primary]],INDIRECT(VLOOKUP(IDNMaps[[#This Row],[Type]],RecordCount[],2,0)),VLOOKUP(IDNMaps[[#This Row],[Type]],RecordCount[],8,0),0),"")</f>
        <v/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" s="6" t="str">
        <f ca="1">IF(IDNMaps[[#This Row],[Type]]="","",COUNTIF($K$1:IDNMaps[[#This Row],[Type]],IDNMaps[[#This Row],[Type]]))</f>
        <v/>
      </c>
      <c r="M37" s="6" t="str">
        <f ca="1">IFERROR(VLOOKUP(IDNMaps[[#This Row],[Type]],RecordCount[],6,0)&amp;"-"&amp;IDNMaps[[#This Row],[Type Count]],"")</f>
        <v/>
      </c>
      <c r="N37" s="6" t="str">
        <f ca="1">IFERROR(VLOOKUP(IDNMaps[[#This Row],[Primary]],INDIRECT(VLOOKUP(IDNMaps[[#This Row],[Type]],RecordCount[],2,0)),VLOOKUP(IDNMaps[[#This Row],[Type]],RecordCount[],7,0),0),"")</f>
        <v/>
      </c>
      <c r="O37" s="6" t="str">
        <f ca="1">IF(IDNMaps[[#This Row],[Name]]="","","("&amp;IDNMaps[[#This Row],[Type]]&amp;") "&amp;IDNMaps[[#This Row],[Name]])</f>
        <v/>
      </c>
      <c r="P37" s="6" t="str">
        <f ca="1">IFERROR(VLOOKUP(IDNMaps[[#This Row],[Primary]],INDIRECT(VLOOKUP(IDNMaps[[#This Row],[Type]],RecordCount[],2,0)),VLOOKUP(IDNMaps[[#This Row],[Type]],RecordCount[],8,0),0),"")</f>
        <v/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" s="6" t="str">
        <f ca="1">IF(IDNMaps[[#This Row],[Type]]="","",COUNTIF($K$1:IDNMaps[[#This Row],[Type]],IDNMaps[[#This Row],[Type]]))</f>
        <v/>
      </c>
      <c r="M38" s="6" t="str">
        <f ca="1">IFERROR(VLOOKUP(IDNMaps[[#This Row],[Type]],RecordCount[],6,0)&amp;"-"&amp;IDNMaps[[#This Row],[Type Count]],"")</f>
        <v/>
      </c>
      <c r="N38" s="6" t="str">
        <f ca="1">IFERROR(VLOOKUP(IDNMaps[[#This Row],[Primary]],INDIRECT(VLOOKUP(IDNMaps[[#This Row],[Type]],RecordCount[],2,0)),VLOOKUP(IDNMaps[[#This Row],[Type]],RecordCount[],7,0),0),"")</f>
        <v/>
      </c>
      <c r="O38" s="6" t="str">
        <f ca="1">IF(IDNMaps[[#This Row],[Name]]="","","("&amp;IDNMaps[[#This Row],[Type]]&amp;") "&amp;IDNMaps[[#This Row],[Name]])</f>
        <v/>
      </c>
      <c r="P38" s="6" t="str">
        <f ca="1">IFERROR(VLOOKUP(IDNMaps[[#This Row],[Primary]],INDIRECT(VLOOKUP(IDNMaps[[#This Row],[Type]],RecordCount[],2,0)),VLOOKUP(IDNMaps[[#This Row],[Type]],RecordCount[],8,0),0),"")</f>
        <v/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" s="6" t="str">
        <f ca="1">IF(IDNMaps[[#This Row],[Type]]="","",COUNTIF($K$1:IDNMaps[[#This Row],[Type]],IDNMaps[[#This Row],[Type]]))</f>
        <v/>
      </c>
      <c r="M39" s="6" t="str">
        <f ca="1">IFERROR(VLOOKUP(IDNMaps[[#This Row],[Type]],RecordCount[],6,0)&amp;"-"&amp;IDNMaps[[#This Row],[Type Count]],"")</f>
        <v/>
      </c>
      <c r="N39" s="6" t="str">
        <f ca="1">IFERROR(VLOOKUP(IDNMaps[[#This Row],[Primary]],INDIRECT(VLOOKUP(IDNMaps[[#This Row],[Type]],RecordCount[],2,0)),VLOOKUP(IDNMaps[[#This Row],[Type]],RecordCount[],7,0),0),"")</f>
        <v/>
      </c>
      <c r="O39" s="6" t="str">
        <f ca="1">IF(IDNMaps[[#This Row],[Name]]="","","("&amp;IDNMaps[[#This Row],[Type]]&amp;") "&amp;IDNMaps[[#This Row],[Name]])</f>
        <v/>
      </c>
      <c r="P39" s="6" t="str">
        <f ca="1">IFERROR(VLOOKUP(IDNMaps[[#This Row],[Primary]],INDIRECT(VLOOKUP(IDNMaps[[#This Row],[Type]],RecordCount[],2,0)),VLOOKUP(IDNMaps[[#This Row],[Type]],RecordCount[],8,0),0),"")</f>
        <v/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" s="6" t="str">
        <f ca="1">IF(IDNMaps[[#This Row],[Type]]="","",COUNTIF($K$1:IDNMaps[[#This Row],[Type]],IDNMaps[[#This Row],[Type]]))</f>
        <v/>
      </c>
      <c r="M40" s="6" t="str">
        <f ca="1">IFERROR(VLOOKUP(IDNMaps[[#This Row],[Type]],RecordCount[],6,0)&amp;"-"&amp;IDNMaps[[#This Row],[Type Count]],"")</f>
        <v/>
      </c>
      <c r="N40" s="6" t="str">
        <f ca="1">IFERROR(VLOOKUP(IDNMaps[[#This Row],[Primary]],INDIRECT(VLOOKUP(IDNMaps[[#This Row],[Type]],RecordCount[],2,0)),VLOOKUP(IDNMaps[[#This Row],[Type]],RecordCount[],7,0),0),"")</f>
        <v/>
      </c>
      <c r="O40" s="6" t="str">
        <f ca="1">IF(IDNMaps[[#This Row],[Name]]="","","("&amp;IDNMaps[[#This Row],[Type]]&amp;") "&amp;IDNMaps[[#This Row],[Name]])</f>
        <v/>
      </c>
      <c r="P40" s="6" t="str">
        <f ca="1">IFERROR(VLOOKUP(IDNMaps[[#This Row],[Primary]],INDIRECT(VLOOKUP(IDNMaps[[#This Row],[Type]],RecordCount[],2,0)),VLOOKUP(IDNMaps[[#This Row],[Type]],RecordCount[],8,0),0),"")</f>
        <v/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" s="6" t="str">
        <f ca="1">IF(IDNMaps[[#This Row],[Type]]="","",COUNTIF($K$1:IDNMaps[[#This Row],[Type]],IDNMaps[[#This Row],[Type]]))</f>
        <v/>
      </c>
      <c r="M41" s="6" t="str">
        <f ca="1">IFERROR(VLOOKUP(IDNMaps[[#This Row],[Type]],RecordCount[],6,0)&amp;"-"&amp;IDNMaps[[#This Row],[Type Count]],"")</f>
        <v/>
      </c>
      <c r="N41" s="6" t="str">
        <f ca="1">IFERROR(VLOOKUP(IDNMaps[[#This Row],[Primary]],INDIRECT(VLOOKUP(IDNMaps[[#This Row],[Type]],RecordCount[],2,0)),VLOOKUP(IDNMaps[[#This Row],[Type]],RecordCount[],7,0),0),"")</f>
        <v/>
      </c>
      <c r="O41" s="6" t="str">
        <f ca="1">IF(IDNMaps[[#This Row],[Name]]="","","("&amp;IDNMaps[[#This Row],[Type]]&amp;") "&amp;IDNMaps[[#This Row],[Name]])</f>
        <v/>
      </c>
      <c r="P41" s="6" t="str">
        <f ca="1">IFERROR(VLOOKUP(IDNMaps[[#This Row],[Primary]],INDIRECT(VLOOKUP(IDNMaps[[#This Row],[Type]],RecordCount[],2,0)),VLOOKUP(IDNMaps[[#This Row],[Type]],RecordCount[],8,0),0),"")</f>
        <v/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" s="6" t="str">
        <f ca="1">IF(IDNMaps[[#This Row],[Type]]="","",COUNTIF($K$1:IDNMaps[[#This Row],[Type]],IDNMaps[[#This Row],[Type]]))</f>
        <v/>
      </c>
      <c r="M42" s="6" t="str">
        <f ca="1">IFERROR(VLOOKUP(IDNMaps[[#This Row],[Type]],RecordCount[],6,0)&amp;"-"&amp;IDNMaps[[#This Row],[Type Count]],"")</f>
        <v/>
      </c>
      <c r="N42" s="6" t="str">
        <f ca="1">IFERROR(VLOOKUP(IDNMaps[[#This Row],[Primary]],INDIRECT(VLOOKUP(IDNMaps[[#This Row],[Type]],RecordCount[],2,0)),VLOOKUP(IDNMaps[[#This Row],[Type]],RecordCount[],7,0),0),"")</f>
        <v/>
      </c>
      <c r="O42" s="6" t="str">
        <f ca="1">IF(IDNMaps[[#This Row],[Name]]="","","("&amp;IDNMaps[[#This Row],[Type]]&amp;") "&amp;IDNMaps[[#This Row],[Name]])</f>
        <v/>
      </c>
      <c r="P42" s="6" t="str">
        <f ca="1">IFERROR(VLOOKUP(IDNMaps[[#This Row],[Primary]],INDIRECT(VLOOKUP(IDNMaps[[#This Row],[Type]],RecordCount[],2,0)),VLOOKUP(IDNMaps[[#This Row],[Type]],RecordCount[],8,0),0),"")</f>
        <v/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" s="6" t="str">
        <f ca="1">IF(IDNMaps[[#This Row],[Type]]="","",COUNTIF($K$1:IDNMaps[[#This Row],[Type]],IDNMaps[[#This Row],[Type]]))</f>
        <v/>
      </c>
      <c r="M43" s="6" t="str">
        <f ca="1">IFERROR(VLOOKUP(IDNMaps[[#This Row],[Type]],RecordCount[],6,0)&amp;"-"&amp;IDNMaps[[#This Row],[Type Count]],"")</f>
        <v/>
      </c>
      <c r="N43" s="6" t="str">
        <f ca="1">IFERROR(VLOOKUP(IDNMaps[[#This Row],[Primary]],INDIRECT(VLOOKUP(IDNMaps[[#This Row],[Type]],RecordCount[],2,0)),VLOOKUP(IDNMaps[[#This Row],[Type]],RecordCount[],7,0),0),"")</f>
        <v/>
      </c>
      <c r="O43" s="6" t="str">
        <f ca="1">IF(IDNMaps[[#This Row],[Name]]="","","("&amp;IDNMaps[[#This Row],[Type]]&amp;") "&amp;IDNMaps[[#This Row],[Name]])</f>
        <v/>
      </c>
      <c r="P43" s="6" t="str">
        <f ca="1">IFERROR(VLOOKUP(IDNMaps[[#This Row],[Primary]],INDIRECT(VLOOKUP(IDNMaps[[#This Row],[Type]],RecordCount[],2,0)),VLOOKUP(IDNMaps[[#This Row],[Type]],RecordCount[],8,0),0),"")</f>
        <v/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" s="6" t="str">
        <f ca="1">IF(IDNMaps[[#This Row],[Type]]="","",COUNTIF($K$1:IDNMaps[[#This Row],[Type]],IDNMaps[[#This Row],[Type]]))</f>
        <v/>
      </c>
      <c r="M44" s="6" t="str">
        <f ca="1">IFERROR(VLOOKUP(IDNMaps[[#This Row],[Type]],RecordCount[],6,0)&amp;"-"&amp;IDNMaps[[#This Row],[Type Count]],"")</f>
        <v/>
      </c>
      <c r="N44" s="6" t="str">
        <f ca="1">IFERROR(VLOOKUP(IDNMaps[[#This Row],[Primary]],INDIRECT(VLOOKUP(IDNMaps[[#This Row],[Type]],RecordCount[],2,0)),VLOOKUP(IDNMaps[[#This Row],[Type]],RecordCount[],7,0),0),"")</f>
        <v/>
      </c>
      <c r="O44" s="6" t="str">
        <f ca="1">IF(IDNMaps[[#This Row],[Name]]="","","("&amp;IDNMaps[[#This Row],[Type]]&amp;") "&amp;IDNMaps[[#This Row],[Name]])</f>
        <v/>
      </c>
      <c r="P44" s="6" t="str">
        <f ca="1">IFERROR(VLOOKUP(IDNMaps[[#This Row],[Primary]],INDIRECT(VLOOKUP(IDNMaps[[#This Row],[Type]],RecordCount[],2,0)),VLOOKUP(IDNMaps[[#This Row],[Type]],RecordCount[],8,0),0),"")</f>
        <v/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" s="6" t="str">
        <f ca="1">IF(IDNMaps[[#This Row],[Type]]="","",COUNTIF($K$1:IDNMaps[[#This Row],[Type]],IDNMaps[[#This Row],[Type]]))</f>
        <v/>
      </c>
      <c r="M45" s="6" t="str">
        <f ca="1">IFERROR(VLOOKUP(IDNMaps[[#This Row],[Type]],RecordCount[],6,0)&amp;"-"&amp;IDNMaps[[#This Row],[Type Count]],"")</f>
        <v/>
      </c>
      <c r="N45" s="6" t="str">
        <f ca="1">IFERROR(VLOOKUP(IDNMaps[[#This Row],[Primary]],INDIRECT(VLOOKUP(IDNMaps[[#This Row],[Type]],RecordCount[],2,0)),VLOOKUP(IDNMaps[[#This Row],[Type]],RecordCount[],7,0),0),"")</f>
        <v/>
      </c>
      <c r="O45" s="6" t="str">
        <f ca="1">IF(IDNMaps[[#This Row],[Name]]="","","("&amp;IDNMaps[[#This Row],[Type]]&amp;") "&amp;IDNMaps[[#This Row],[Name]])</f>
        <v/>
      </c>
      <c r="P45" s="6" t="str">
        <f ca="1">IFERROR(VLOOKUP(IDNMaps[[#This Row],[Primary]],INDIRECT(VLOOKUP(IDNMaps[[#This Row],[Type]],RecordCount[],2,0)),VLOOKUP(IDNMaps[[#This Row],[Type]],RecordCount[],8,0),0),"")</f>
        <v/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" s="6" t="str">
        <f ca="1">IF(IDNMaps[[#This Row],[Type]]="","",COUNTIF($K$1:IDNMaps[[#This Row],[Type]],IDNMaps[[#This Row],[Type]]))</f>
        <v/>
      </c>
      <c r="M46" s="6" t="str">
        <f ca="1">IFERROR(VLOOKUP(IDNMaps[[#This Row],[Type]],RecordCount[],6,0)&amp;"-"&amp;IDNMaps[[#This Row],[Type Count]],"")</f>
        <v/>
      </c>
      <c r="N46" s="6" t="str">
        <f ca="1">IFERROR(VLOOKUP(IDNMaps[[#This Row],[Primary]],INDIRECT(VLOOKUP(IDNMaps[[#This Row],[Type]],RecordCount[],2,0)),VLOOKUP(IDNMaps[[#This Row],[Type]],RecordCount[],7,0),0),"")</f>
        <v/>
      </c>
      <c r="O46" s="6" t="str">
        <f ca="1">IF(IDNMaps[[#This Row],[Name]]="","","("&amp;IDNMaps[[#This Row],[Type]]&amp;") "&amp;IDNMaps[[#This Row],[Name]])</f>
        <v/>
      </c>
      <c r="P46" s="6" t="str">
        <f ca="1">IFERROR(VLOOKUP(IDNMaps[[#This Row],[Primary]],INDIRECT(VLOOKUP(IDNMaps[[#This Row],[Type]],RecordCount[],2,0)),VLOOKUP(IDNMaps[[#This Row],[Type]],RecordCount[],8,0),0),"")</f>
        <v/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" s="6" t="str">
        <f ca="1">IF(IDNMaps[[#This Row],[Type]]="","",COUNTIF($K$1:IDNMaps[[#This Row],[Type]],IDNMaps[[#This Row],[Type]]))</f>
        <v/>
      </c>
      <c r="M47" s="6" t="str">
        <f ca="1">IFERROR(VLOOKUP(IDNMaps[[#This Row],[Type]],RecordCount[],6,0)&amp;"-"&amp;IDNMaps[[#This Row],[Type Count]],"")</f>
        <v/>
      </c>
      <c r="N47" s="6" t="str">
        <f ca="1">IFERROR(VLOOKUP(IDNMaps[[#This Row],[Primary]],INDIRECT(VLOOKUP(IDNMaps[[#This Row],[Type]],RecordCount[],2,0)),VLOOKUP(IDNMaps[[#This Row],[Type]],RecordCount[],7,0),0),"")</f>
        <v/>
      </c>
      <c r="O47" s="6" t="str">
        <f ca="1">IF(IDNMaps[[#This Row],[Name]]="","","("&amp;IDNMaps[[#This Row],[Type]]&amp;") "&amp;IDNMaps[[#This Row],[Name]])</f>
        <v/>
      </c>
      <c r="P47" s="6" t="str">
        <f ca="1">IFERROR(VLOOKUP(IDNMaps[[#This Row],[Primary]],INDIRECT(VLOOKUP(IDNMaps[[#This Row],[Type]],RecordCount[],2,0)),VLOOKUP(IDNMaps[[#This Row],[Type]],RecordCount[],8,0),0),"")</f>
        <v/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" s="6" t="str">
        <f ca="1">IF(IDNMaps[[#This Row],[Type]]="","",COUNTIF($K$1:IDNMaps[[#This Row],[Type]],IDNMaps[[#This Row],[Type]]))</f>
        <v/>
      </c>
      <c r="M48" s="6" t="str">
        <f ca="1">IFERROR(VLOOKUP(IDNMaps[[#This Row],[Type]],RecordCount[],6,0)&amp;"-"&amp;IDNMaps[[#This Row],[Type Count]],"")</f>
        <v/>
      </c>
      <c r="N48" s="6" t="str">
        <f ca="1">IFERROR(VLOOKUP(IDNMaps[[#This Row],[Primary]],INDIRECT(VLOOKUP(IDNMaps[[#This Row],[Type]],RecordCount[],2,0)),VLOOKUP(IDNMaps[[#This Row],[Type]],RecordCount[],7,0),0),"")</f>
        <v/>
      </c>
      <c r="O48" s="6" t="str">
        <f ca="1">IF(IDNMaps[[#This Row],[Name]]="","","("&amp;IDNMaps[[#This Row],[Type]]&amp;") "&amp;IDNMaps[[#This Row],[Name]])</f>
        <v/>
      </c>
      <c r="P48" s="6" t="str">
        <f ca="1">IFERROR(VLOOKUP(IDNMaps[[#This Row],[Primary]],INDIRECT(VLOOKUP(IDNMaps[[#This Row],[Type]],RecordCount[],2,0)),VLOOKUP(IDNMaps[[#This Row],[Type]],RecordCount[],8,0),0),"")</f>
        <v/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" s="6" t="str">
        <f ca="1">IF(IDNMaps[[#This Row],[Type]]="","",COUNTIF($K$1:IDNMaps[[#This Row],[Type]],IDNMaps[[#This Row],[Type]]))</f>
        <v/>
      </c>
      <c r="M49" s="6" t="str">
        <f ca="1">IFERROR(VLOOKUP(IDNMaps[[#This Row],[Type]],RecordCount[],6,0)&amp;"-"&amp;IDNMaps[[#This Row],[Type Count]],"")</f>
        <v/>
      </c>
      <c r="N49" s="6" t="str">
        <f ca="1">IFERROR(VLOOKUP(IDNMaps[[#This Row],[Primary]],INDIRECT(VLOOKUP(IDNMaps[[#This Row],[Type]],RecordCount[],2,0)),VLOOKUP(IDNMaps[[#This Row],[Type]],RecordCount[],7,0),0),"")</f>
        <v/>
      </c>
      <c r="O49" s="6" t="str">
        <f ca="1">IF(IDNMaps[[#This Row],[Name]]="","","("&amp;IDNMaps[[#This Row],[Type]]&amp;") "&amp;IDNMaps[[#This Row],[Name]])</f>
        <v/>
      </c>
      <c r="P49" s="6" t="str">
        <f ca="1">IFERROR(VLOOKUP(IDNMaps[[#This Row],[Primary]],INDIRECT(VLOOKUP(IDNMaps[[#This Row],[Type]],RecordCount[],2,0)),VLOOKUP(IDNMaps[[#This Row],[Type]],RecordCount[],8,0),0),"")</f>
        <v/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" s="6" t="str">
        <f ca="1">IF(IDNMaps[[#This Row],[Type]]="","",COUNTIF($K$1:IDNMaps[[#This Row],[Type]],IDNMaps[[#This Row],[Type]]))</f>
        <v/>
      </c>
      <c r="M50" s="6" t="str">
        <f ca="1">IFERROR(VLOOKUP(IDNMaps[[#This Row],[Type]],RecordCount[],6,0)&amp;"-"&amp;IDNMaps[[#This Row],[Type Count]],"")</f>
        <v/>
      </c>
      <c r="N50" s="6" t="str">
        <f ca="1">IFERROR(VLOOKUP(IDNMaps[[#This Row],[Primary]],INDIRECT(VLOOKUP(IDNMaps[[#This Row],[Type]],RecordCount[],2,0)),VLOOKUP(IDNMaps[[#This Row],[Type]],RecordCount[],7,0),0),"")</f>
        <v/>
      </c>
      <c r="O50" s="6" t="str">
        <f ca="1">IF(IDNMaps[[#This Row],[Name]]="","","("&amp;IDNMaps[[#This Row],[Type]]&amp;") "&amp;IDNMaps[[#This Row],[Name]])</f>
        <v/>
      </c>
      <c r="P50" s="6" t="str">
        <f ca="1">IFERROR(VLOOKUP(IDNMaps[[#This Row],[Primary]],INDIRECT(VLOOKUP(IDNMaps[[#This Row],[Type]],RecordCount[],2,0)),VLOOKUP(IDNMaps[[#This Row],[Type]],RecordCount[],8,0),0),"")</f>
        <v/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1" s="6" t="str">
        <f ca="1">IF(IDNMaps[[#This Row],[Type]]="","",COUNTIF($K$1:IDNMaps[[#This Row],[Type]],IDNMaps[[#This Row],[Type]]))</f>
        <v/>
      </c>
      <c r="M51" s="6" t="str">
        <f ca="1">IFERROR(VLOOKUP(IDNMaps[[#This Row],[Type]],RecordCount[],6,0)&amp;"-"&amp;IDNMaps[[#This Row],[Type Count]],"")</f>
        <v/>
      </c>
      <c r="N51" s="6" t="str">
        <f ca="1">IFERROR(VLOOKUP(IDNMaps[[#This Row],[Primary]],INDIRECT(VLOOKUP(IDNMaps[[#This Row],[Type]],RecordCount[],2,0)),VLOOKUP(IDNMaps[[#This Row],[Type]],RecordCount[],7,0),0),"")</f>
        <v/>
      </c>
      <c r="O51" s="6" t="str">
        <f ca="1">IF(IDNMaps[[#This Row],[Name]]="","","("&amp;IDNMaps[[#This Row],[Type]]&amp;") "&amp;IDNMaps[[#This Row],[Name]])</f>
        <v/>
      </c>
      <c r="P51" s="6" t="str">
        <f ca="1">IFERROR(VLOOKUP(IDNMaps[[#This Row],[Primary]],INDIRECT(VLOOKUP(IDNMaps[[#This Row],[Type]],RecordCount[],2,0)),VLOOKUP(IDNMaps[[#This Row],[Type]],RecordCount[],8,0),0),"")</f>
        <v/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2" s="6" t="str">
        <f ca="1">IF(IDNMaps[[#This Row],[Type]]="","",COUNTIF($K$1:IDNMaps[[#This Row],[Type]],IDNMaps[[#This Row],[Type]]))</f>
        <v/>
      </c>
      <c r="M52" s="6" t="str">
        <f ca="1">IFERROR(VLOOKUP(IDNMaps[[#This Row],[Type]],RecordCount[],6,0)&amp;"-"&amp;IDNMaps[[#This Row],[Type Count]],"")</f>
        <v/>
      </c>
      <c r="N52" s="6" t="str">
        <f ca="1">IFERROR(VLOOKUP(IDNMaps[[#This Row],[Primary]],INDIRECT(VLOOKUP(IDNMaps[[#This Row],[Type]],RecordCount[],2,0)),VLOOKUP(IDNMaps[[#This Row],[Type]],RecordCount[],7,0),0),"")</f>
        <v/>
      </c>
      <c r="O52" s="6" t="str">
        <f ca="1">IF(IDNMaps[[#This Row],[Name]]="","","("&amp;IDNMaps[[#This Row],[Type]]&amp;") "&amp;IDNMaps[[#This Row],[Name]])</f>
        <v/>
      </c>
      <c r="P52" s="6" t="str">
        <f ca="1">IFERROR(VLOOKUP(IDNMaps[[#This Row],[Primary]],INDIRECT(VLOOKUP(IDNMaps[[#This Row],[Type]],RecordCount[],2,0)),VLOOKUP(IDNMaps[[#This Row],[Type]],RecordCount[],8,0),0),"")</f>
        <v/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3" sqref="B3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797</v>
      </c>
    </row>
    <row r="2" spans="1:10" x14ac:dyDescent="0.25">
      <c r="A2" s="1" t="s">
        <v>21</v>
      </c>
      <c r="B2" s="1" t="s">
        <v>855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7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7</v>
      </c>
    </row>
    <row r="5" spans="1:10" x14ac:dyDescent="0.25">
      <c r="A5" s="69" t="s">
        <v>23</v>
      </c>
      <c r="B5" s="69" t="s">
        <v>810</v>
      </c>
      <c r="C5" s="69" t="s">
        <v>23</v>
      </c>
      <c r="D5" s="69">
        <v>255</v>
      </c>
      <c r="E5" s="69" t="s">
        <v>811</v>
      </c>
      <c r="F5" s="69" t="s">
        <v>812</v>
      </c>
      <c r="G5" s="69"/>
      <c r="H5" s="69"/>
      <c r="I5" s="69"/>
      <c r="J5" s="70">
        <f>COUNTIF(TableFields[Field],Columns[[#This Row],[Column]])</f>
        <v>3</v>
      </c>
    </row>
    <row r="6" spans="1:10" x14ac:dyDescent="0.25">
      <c r="A6" s="69" t="s">
        <v>813</v>
      </c>
      <c r="B6" s="69" t="s">
        <v>810</v>
      </c>
      <c r="C6" s="69" t="s">
        <v>813</v>
      </c>
      <c r="D6" s="69">
        <v>5</v>
      </c>
      <c r="E6" s="69" t="s">
        <v>812</v>
      </c>
      <c r="F6" s="69"/>
      <c r="G6" s="69"/>
      <c r="H6" s="69"/>
      <c r="I6" s="69"/>
      <c r="J6" s="70">
        <f>COUNTIF(TableFields[Field],Columns[[#This Row],[Column]])</f>
        <v>1</v>
      </c>
    </row>
    <row r="7" spans="1:10" x14ac:dyDescent="0.25">
      <c r="A7" s="69" t="s">
        <v>814</v>
      </c>
      <c r="B7" s="69" t="s">
        <v>810</v>
      </c>
      <c r="C7" s="69" t="s">
        <v>814</v>
      </c>
      <c r="D7" s="69">
        <v>5</v>
      </c>
      <c r="E7" s="69" t="s">
        <v>812</v>
      </c>
      <c r="F7" s="69"/>
      <c r="G7" s="69"/>
      <c r="H7" s="69"/>
      <c r="I7" s="69"/>
      <c r="J7" s="70">
        <f>COUNTIF(TableFields[Field],Columns[[#This Row],[Column]])</f>
        <v>1</v>
      </c>
    </row>
    <row r="8" spans="1:10" x14ac:dyDescent="0.25">
      <c r="A8" s="69" t="s">
        <v>815</v>
      </c>
      <c r="B8" s="69" t="s">
        <v>816</v>
      </c>
      <c r="C8" s="69" t="s">
        <v>815</v>
      </c>
      <c r="D8" s="69"/>
      <c r="E8" s="69" t="s">
        <v>812</v>
      </c>
      <c r="F8" s="69" t="s">
        <v>817</v>
      </c>
      <c r="G8" s="69"/>
      <c r="H8" s="69"/>
      <c r="I8" s="69"/>
      <c r="J8" s="70">
        <f>COUNTIF(TableFields[Field],Columns[[#This Row],[Column]])</f>
        <v>1</v>
      </c>
    </row>
    <row r="9" spans="1:10" x14ac:dyDescent="0.25">
      <c r="A9" s="69" t="s">
        <v>819</v>
      </c>
      <c r="B9" s="69" t="s">
        <v>818</v>
      </c>
      <c r="C9" s="69" t="s">
        <v>64</v>
      </c>
      <c r="D9" s="69" t="s">
        <v>75</v>
      </c>
      <c r="E9" s="69"/>
      <c r="F9" s="69"/>
      <c r="G9" s="69"/>
      <c r="H9" s="69"/>
      <c r="I9" s="69"/>
      <c r="J9" s="70">
        <f>COUNTIF(TableFields[Field],Columns[[#This Row],[Column]])</f>
        <v>3</v>
      </c>
    </row>
    <row r="10" spans="1:10" x14ac:dyDescent="0.25">
      <c r="A10" s="69" t="s">
        <v>820</v>
      </c>
      <c r="B10" s="69" t="s">
        <v>818</v>
      </c>
      <c r="C10" s="69" t="s">
        <v>821</v>
      </c>
      <c r="D10" s="69" t="s">
        <v>803</v>
      </c>
      <c r="E10" s="69"/>
      <c r="F10" s="69"/>
      <c r="G10" s="69"/>
      <c r="H10" s="69"/>
      <c r="I10" s="69"/>
      <c r="J10" s="70">
        <f>COUNTIF(TableFields[Field],Columns[[#This Row],[Column]])</f>
        <v>3</v>
      </c>
    </row>
    <row r="11" spans="1:10" x14ac:dyDescent="0.25">
      <c r="A11" s="69" t="s">
        <v>822</v>
      </c>
      <c r="B11" s="69" t="s">
        <v>810</v>
      </c>
      <c r="C11" s="69" t="s">
        <v>822</v>
      </c>
      <c r="D11" s="69">
        <v>255</v>
      </c>
      <c r="E11" s="69" t="s">
        <v>812</v>
      </c>
      <c r="F11" s="69"/>
      <c r="G11" s="69"/>
      <c r="H11" s="69"/>
      <c r="I11" s="69"/>
      <c r="J11" s="70">
        <f>COUNTIF(TableFields[Field],Columns[[#This Row],[Column]])</f>
        <v>1</v>
      </c>
    </row>
    <row r="12" spans="1:10" x14ac:dyDescent="0.25">
      <c r="A12" s="69" t="s">
        <v>823</v>
      </c>
      <c r="B12" s="69" t="s">
        <v>824</v>
      </c>
      <c r="C12" s="69" t="s">
        <v>823</v>
      </c>
      <c r="D12" s="69" t="s">
        <v>825</v>
      </c>
      <c r="E12" s="69" t="s">
        <v>812</v>
      </c>
      <c r="F12" s="69" t="s">
        <v>826</v>
      </c>
      <c r="G12" s="69"/>
      <c r="H12" s="69"/>
      <c r="I12" s="69"/>
      <c r="J12" s="70">
        <f>COUNTIF(TableFields[Field],Columns[[#This Row],[Column]])</f>
        <v>2</v>
      </c>
    </row>
    <row r="13" spans="1:10" x14ac:dyDescent="0.25">
      <c r="A13" s="69" t="s">
        <v>827</v>
      </c>
      <c r="B13" s="69" t="s">
        <v>818</v>
      </c>
      <c r="C13" s="69" t="s">
        <v>828</v>
      </c>
      <c r="D13" s="69" t="s">
        <v>805</v>
      </c>
      <c r="E13" s="69"/>
      <c r="F13" s="69"/>
      <c r="G13" s="69"/>
      <c r="H13" s="69"/>
      <c r="I13" s="69"/>
      <c r="J13" s="70">
        <f>COUNTIF(TableFields[Field],Columns[[#This Row],[Column]])</f>
        <v>2</v>
      </c>
    </row>
    <row r="14" spans="1:10" x14ac:dyDescent="0.25">
      <c r="A14" s="69" t="s">
        <v>829</v>
      </c>
      <c r="B14" s="69" t="s">
        <v>810</v>
      </c>
      <c r="C14" s="69" t="s">
        <v>829</v>
      </c>
      <c r="D14" s="69">
        <v>255</v>
      </c>
      <c r="E14" s="69" t="s">
        <v>812</v>
      </c>
      <c r="F14" s="69"/>
      <c r="G14" s="69"/>
      <c r="H14" s="69"/>
      <c r="I14" s="69"/>
      <c r="J14" s="70">
        <f>COUNTIF(TableFields[Field],Columns[[#This Row],[Column]])</f>
        <v>1</v>
      </c>
    </row>
    <row r="15" spans="1:10" x14ac:dyDescent="0.25">
      <c r="A15" s="69" t="s">
        <v>830</v>
      </c>
      <c r="B15" s="69" t="s">
        <v>810</v>
      </c>
      <c r="C15" s="69" t="s">
        <v>830</v>
      </c>
      <c r="D15" s="69">
        <v>255</v>
      </c>
      <c r="E15" s="69" t="s">
        <v>812</v>
      </c>
      <c r="F15" s="69"/>
      <c r="G15" s="69"/>
      <c r="H15" s="69"/>
      <c r="I15" s="69"/>
      <c r="J15" s="70">
        <f>COUNTIF(TableFields[Field],Columns[[#This Row],[Column]])</f>
        <v>1</v>
      </c>
    </row>
    <row r="16" spans="1:10" x14ac:dyDescent="0.25">
      <c r="A16" s="69" t="s">
        <v>831</v>
      </c>
      <c r="B16" s="69" t="s">
        <v>832</v>
      </c>
      <c r="C16" s="69" t="s">
        <v>831</v>
      </c>
      <c r="D16" s="69"/>
      <c r="E16" s="69"/>
      <c r="F16" s="69"/>
      <c r="G16" s="69"/>
      <c r="H16" s="69"/>
      <c r="I16" s="69"/>
      <c r="J16" s="70">
        <f>COUNTIF(TableFields[Field],Columns[[#This Row],[Column]])</f>
        <v>1</v>
      </c>
    </row>
    <row r="17" spans="1:10" x14ac:dyDescent="0.25">
      <c r="A17" s="69" t="s">
        <v>833</v>
      </c>
      <c r="B17" s="69" t="s">
        <v>834</v>
      </c>
      <c r="C17" s="69" t="s">
        <v>835</v>
      </c>
      <c r="D17" s="69" t="s">
        <v>807</v>
      </c>
      <c r="E17" s="69"/>
      <c r="F17" s="69"/>
      <c r="G17" s="69"/>
      <c r="H17" s="69"/>
      <c r="I17" s="69"/>
      <c r="J17" s="70">
        <f>COUNTIF(TableFields[Field],Columns[[#This Row],[Column]])</f>
        <v>2</v>
      </c>
    </row>
    <row r="18" spans="1:10" x14ac:dyDescent="0.25">
      <c r="A18" s="69" t="s">
        <v>836</v>
      </c>
      <c r="B18" s="69" t="s">
        <v>810</v>
      </c>
      <c r="C18" s="69" t="s">
        <v>836</v>
      </c>
      <c r="D18" s="69">
        <v>15</v>
      </c>
      <c r="E18" s="69" t="s">
        <v>812</v>
      </c>
      <c r="F18" s="69"/>
      <c r="G18" s="69"/>
      <c r="H18" s="69"/>
      <c r="I18" s="69"/>
      <c r="J18" s="70">
        <f>COUNTIF(TableFields[Field],Columns[[#This Row],[Column]])</f>
        <v>1</v>
      </c>
    </row>
    <row r="19" spans="1:10" x14ac:dyDescent="0.25">
      <c r="A19" s="69" t="s">
        <v>837</v>
      </c>
      <c r="B19" s="69" t="s">
        <v>832</v>
      </c>
      <c r="C19" s="69" t="s">
        <v>837</v>
      </c>
      <c r="D19" s="69"/>
      <c r="E19" s="69"/>
      <c r="F19" s="69"/>
      <c r="G19" s="69"/>
      <c r="H19" s="69"/>
      <c r="I19" s="69"/>
      <c r="J19" s="70">
        <f>COUNTIF(TableFields[Field],Columns[[#This Row],[Column]])</f>
        <v>1</v>
      </c>
    </row>
    <row r="20" spans="1:10" x14ac:dyDescent="0.25">
      <c r="A20" s="69" t="s">
        <v>838</v>
      </c>
      <c r="B20" s="69" t="s">
        <v>832</v>
      </c>
      <c r="C20" s="69" t="s">
        <v>838</v>
      </c>
      <c r="D20" s="69"/>
      <c r="E20" s="69"/>
      <c r="F20" s="69"/>
      <c r="G20" s="69"/>
      <c r="H20" s="69"/>
      <c r="I20" s="69"/>
      <c r="J20" s="70">
        <f>COUNTIF(TableFields[Field],Columns[[#This Row],[Column]])</f>
        <v>1</v>
      </c>
    </row>
    <row r="21" spans="1:10" x14ac:dyDescent="0.25">
      <c r="A21" s="69" t="s">
        <v>839</v>
      </c>
      <c r="B21" s="69" t="s">
        <v>834</v>
      </c>
      <c r="C21" s="69" t="s">
        <v>840</v>
      </c>
      <c r="D21" s="69" t="s">
        <v>808</v>
      </c>
      <c r="E21" s="69"/>
      <c r="F21" s="69"/>
      <c r="G21" s="69"/>
      <c r="H21" s="69"/>
      <c r="I21" s="69"/>
      <c r="J21" s="70">
        <f>COUNTIF(TableFields[Field],Columns[[#This Row],[Column]])</f>
        <v>1</v>
      </c>
    </row>
  </sheetData>
  <conditionalFormatting sqref="A2:A21">
    <cfRule type="duplicateValues" dxfId="1" priority="39"/>
  </conditionalFormatting>
  <conditionalFormatting sqref="C6:C8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workbookViewId="0">
      <selection activeCell="K33" sqref="K33:K41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hidden="1" x14ac:dyDescent="0.25">
      <c r="A2" s="1" t="s">
        <v>803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hidden="1" x14ac:dyDescent="0.25">
      <c r="A3" s="1" t="s">
        <v>803</v>
      </c>
      <c r="B3" s="69" t="s">
        <v>23</v>
      </c>
      <c r="C3" s="69" t="str">
        <f>VLOOKUP(TableFields[Field],Columns[],2,0)&amp;"("</f>
        <v>string(</v>
      </c>
      <c r="D3" s="69" t="str">
        <f>IF(VLOOKUP(TableFields[Field],Columns[],3,0)&lt;&gt;"","'"&amp;VLOOKUP(TableFields[Field],Columns[],3,0)&amp;"'","")</f>
        <v>'name'</v>
      </c>
      <c r="E3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3" s="69" t="str">
        <f>IF(VLOOKUP(TableFields[Field],Columns[],5,0)=0,"","-&gt;"&amp;VLOOKUP(TableFields[Field],Columns[],5,0))</f>
        <v>-&gt;index()</v>
      </c>
      <c r="G3" s="69" t="str">
        <f>IF(VLOOKUP(TableFields[Field],Columns[],6,0)=0,"","-&gt;"&amp;VLOOKUP(TableFields[Field],Columns[],6,0))</f>
        <v>-&gt;nullable()</v>
      </c>
      <c r="H3" s="69" t="str">
        <f>IF(VLOOKUP(TableFields[Field],Columns[],7,0)=0,"","-&gt;"&amp;VLOOKUP(TableFields[Field],Columns[],7,0))</f>
        <v/>
      </c>
      <c r="I3" s="69" t="str">
        <f>IF(VLOOKUP(TableFields[Field],Columns[],8,0)=0,"","-&gt;"&amp;VLOOKUP(TableFields[Field],Columns[],8,0))</f>
        <v/>
      </c>
      <c r="J3" s="69" t="str">
        <f>IF(VLOOKUP(TableFields[Field],Columns[],9,0)=0,"","-&gt;"&amp;VLOOKUP(TableFields[Field],Columns[],9,0))</f>
        <v/>
      </c>
      <c r="K3" s="69" t="str">
        <f>"$table-&gt;"&amp;TableFields[Type]&amp;TableFields[Name]&amp;TableFields[Arg2]&amp;TableFields[Method1]&amp;TableFields[Method2]&amp;TableFields[Method3]&amp;TableFields[Method4]&amp;TableFields[Method5]&amp;";"</f>
        <v>$table-&gt;string('name', '255')-&gt;index()-&gt;nullable();</v>
      </c>
    </row>
    <row r="4" spans="1:11" hidden="1" x14ac:dyDescent="0.25">
      <c r="A4" s="1" t="s">
        <v>803</v>
      </c>
      <c r="B4" s="69" t="s">
        <v>813</v>
      </c>
      <c r="C4" s="69" t="str">
        <f>VLOOKUP(TableFields[Field],Columns[],2,0)&amp;"("</f>
        <v>string(</v>
      </c>
      <c r="D4" s="69" t="str">
        <f>IF(VLOOKUP(TableFields[Field],Columns[],3,0)&lt;&gt;"","'"&amp;VLOOKUP(TableFields[Field],Columns[],3,0)&amp;"'","")</f>
        <v>'token_prefix'</v>
      </c>
      <c r="E4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4" s="69" t="str">
        <f>IF(VLOOKUP(TableFields[Field],Columns[],5,0)=0,"","-&gt;"&amp;VLOOKUP(TableFields[Field],Columns[],5,0))</f>
        <v>-&gt;nullable()</v>
      </c>
      <c r="G4" s="69" t="str">
        <f>IF(VLOOKUP(TableFields[Field],Columns[],6,0)=0,"","-&gt;"&amp;VLOOKUP(TableFields[Field],Columns[],6,0))</f>
        <v/>
      </c>
      <c r="H4" s="69" t="str">
        <f>IF(VLOOKUP(TableFields[Field],Columns[],7,0)=0,"","-&gt;"&amp;VLOOKUP(TableFields[Field],Columns[],7,0))</f>
        <v/>
      </c>
      <c r="I4" s="69" t="str">
        <f>IF(VLOOKUP(TableFields[Field],Columns[],8,0)=0,"","-&gt;"&amp;VLOOKUP(TableFields[Field],Columns[],8,0))</f>
        <v/>
      </c>
      <c r="J4" s="69" t="str">
        <f>IF(VLOOKUP(TableFields[Field],Columns[],9,0)=0,"","-&gt;"&amp;VLOOKUP(TableFields[Field],Columns[],9,0))</f>
        <v/>
      </c>
      <c r="K4" s="69" t="str">
        <f>"$table-&gt;"&amp;TableFields[Type]&amp;TableFields[Name]&amp;TableFields[Arg2]&amp;TableFields[Method1]&amp;TableFields[Method2]&amp;TableFields[Method3]&amp;TableFields[Method4]&amp;TableFields[Method5]&amp;";"</f>
        <v>$table-&gt;string('token_prefix', '5')-&gt;nullable();</v>
      </c>
    </row>
    <row r="5" spans="1:11" hidden="1" x14ac:dyDescent="0.25">
      <c r="A5" s="1" t="s">
        <v>803</v>
      </c>
      <c r="B5" s="69" t="s">
        <v>814</v>
      </c>
      <c r="C5" s="69" t="str">
        <f>VLOOKUP(TableFields[Field],Columns[],2,0)&amp;"("</f>
        <v>string(</v>
      </c>
      <c r="D5" s="69" t="str">
        <f>IF(VLOOKUP(TableFields[Field],Columns[],3,0)&lt;&gt;"","'"&amp;VLOOKUP(TableFields[Field],Columns[],3,0)&amp;"'","")</f>
        <v>'token_suffix'</v>
      </c>
      <c r="E5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5" s="69" t="str">
        <f>IF(VLOOKUP(TableFields[Field],Columns[],5,0)=0,"","-&gt;"&amp;VLOOKUP(TableFields[Field],Columns[],5,0))</f>
        <v>-&gt;nullable()</v>
      </c>
      <c r="G5" s="69" t="str">
        <f>IF(VLOOKUP(TableFields[Field],Columns[],6,0)=0,"","-&gt;"&amp;VLOOKUP(TableFields[Field],Columns[],6,0))</f>
        <v/>
      </c>
      <c r="H5" s="69" t="str">
        <f>IF(VLOOKUP(TableFields[Field],Columns[],7,0)=0,"","-&gt;"&amp;VLOOKUP(TableFields[Field],Columns[],7,0))</f>
        <v/>
      </c>
      <c r="I5" s="69" t="str">
        <f>IF(VLOOKUP(TableFields[Field],Columns[],8,0)=0,"","-&gt;"&amp;VLOOKUP(TableFields[Field],Columns[],8,0))</f>
        <v/>
      </c>
      <c r="J5" s="69" t="str">
        <f>IF(VLOOKUP(TableFields[Field],Columns[],9,0)=0,"","-&gt;"&amp;VLOOKUP(TableFields[Field],Columns[],9,0))</f>
        <v/>
      </c>
      <c r="K5" s="69" t="str">
        <f>"$table-&gt;"&amp;TableFields[Type]&amp;TableFields[Name]&amp;TableFields[Arg2]&amp;TableFields[Method1]&amp;TableFields[Method2]&amp;TableFields[Method3]&amp;TableFields[Method4]&amp;TableFields[Method5]&amp;";"</f>
        <v>$table-&gt;string('token_suffix', '5')-&gt;nullable();</v>
      </c>
    </row>
    <row r="6" spans="1:11" hidden="1" x14ac:dyDescent="0.25">
      <c r="A6" s="1" t="s">
        <v>803</v>
      </c>
      <c r="B6" s="69" t="s">
        <v>815</v>
      </c>
      <c r="C6" s="69" t="str">
        <f>VLOOKUP(TableFields[Field],Columns[],2,0)&amp;"("</f>
        <v>smallInteger(</v>
      </c>
      <c r="D6" s="69" t="str">
        <f>IF(VLOOKUP(TableFields[Field],Columns[],3,0)&lt;&gt;"","'"&amp;VLOOKUP(TableFields[Field],Columns[],3,0)&amp;"'","")</f>
        <v>'digit_length'</v>
      </c>
      <c r="E6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" s="69" t="str">
        <f>IF(VLOOKUP(TableFields[Field],Columns[],5,0)=0,"","-&gt;"&amp;VLOOKUP(TableFields[Field],Columns[],5,0))</f>
        <v>-&gt;nullable()</v>
      </c>
      <c r="G6" s="69" t="str">
        <f>IF(VLOOKUP(TableFields[Field],Columns[],6,0)=0,"","-&gt;"&amp;VLOOKUP(TableFields[Field],Columns[],6,0))</f>
        <v>-&gt;default(4)</v>
      </c>
      <c r="H6" s="69" t="str">
        <f>IF(VLOOKUP(TableFields[Field],Columns[],7,0)=0,"","-&gt;"&amp;VLOOKUP(TableFields[Field],Columns[],7,0))</f>
        <v/>
      </c>
      <c r="I6" s="69" t="str">
        <f>IF(VLOOKUP(TableFields[Field],Columns[],8,0)=0,"","-&gt;"&amp;VLOOKUP(TableFields[Field],Columns[],8,0))</f>
        <v/>
      </c>
      <c r="J6" s="69" t="str">
        <f>IF(VLOOKUP(TableFields[Field],Columns[],9,0)=0,"","-&gt;"&amp;VLOOKUP(TableFields[Field],Columns[],9,0))</f>
        <v/>
      </c>
      <c r="K6" s="69" t="str">
        <f>"$table-&gt;"&amp;TableFields[Type]&amp;TableFields[Name]&amp;TableFields[Arg2]&amp;TableFields[Method1]&amp;TableFields[Method2]&amp;TableFields[Method3]&amp;TableFields[Method4]&amp;TableFields[Method5]&amp;";"</f>
        <v>$table-&gt;smallInteger('digit_length')-&gt;nullable()-&gt;default(4);</v>
      </c>
    </row>
    <row r="7" spans="1:11" hidden="1" x14ac:dyDescent="0.25">
      <c r="A7" s="1" t="s">
        <v>803</v>
      </c>
      <c r="B7" s="69" t="s">
        <v>288</v>
      </c>
      <c r="C7" s="69" t="str">
        <f>VLOOKUP(TableFields[Field],Columns[],2,0)&amp;"("</f>
        <v>audit(</v>
      </c>
      <c r="D7" s="69" t="str">
        <f>IF(VLOOKUP(TableFields[Field],Columns[],3,0)&lt;&gt;"","'"&amp;VLOOKUP(TableFields[Field],Columns[],3,0)&amp;"'","")</f>
        <v/>
      </c>
      <c r="E7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" s="69" t="str">
        <f>IF(VLOOKUP(TableFields[Field],Columns[],5,0)=0,"","-&gt;"&amp;VLOOKUP(TableFields[Field],Columns[],5,0))</f>
        <v/>
      </c>
      <c r="G7" s="69" t="str">
        <f>IF(VLOOKUP(TableFields[Field],Columns[],6,0)=0,"","-&gt;"&amp;VLOOKUP(TableFields[Field],Columns[],6,0))</f>
        <v/>
      </c>
      <c r="H7" s="69" t="str">
        <f>IF(VLOOKUP(TableFields[Field],Columns[],7,0)=0,"","-&gt;"&amp;VLOOKUP(TableFields[Field],Columns[],7,0))</f>
        <v/>
      </c>
      <c r="I7" s="69" t="str">
        <f>IF(VLOOKUP(TableFields[Field],Columns[],8,0)=0,"","-&gt;"&amp;VLOOKUP(TableFields[Field],Columns[],8,0))</f>
        <v/>
      </c>
      <c r="J7" s="69" t="str">
        <f>IF(VLOOKUP(TableFields[Field],Columns[],9,0)=0,"","-&gt;"&amp;VLOOKUP(TableFields[Field],Columns[],9,0))</f>
        <v/>
      </c>
      <c r="K7" s="69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" spans="1:11" hidden="1" x14ac:dyDescent="0.25">
      <c r="A8" s="69" t="s">
        <v>804</v>
      </c>
      <c r="B8" s="69" t="s">
        <v>21</v>
      </c>
      <c r="C8" s="69" t="str">
        <f>VLOOKUP(TableFields[Field],Columns[],2,0)&amp;"("</f>
        <v>bigIncrements(</v>
      </c>
      <c r="D8" s="69" t="str">
        <f>IF(VLOOKUP(TableFields[Field],Columns[],3,0)&lt;&gt;"","'"&amp;VLOOKUP(TableFields[Field],Columns[],3,0)&amp;"'","")</f>
        <v>'id'</v>
      </c>
      <c r="E8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" s="69" t="str">
        <f>IF(VLOOKUP(TableFields[Field],Columns[],5,0)=0,"","-&gt;"&amp;VLOOKUP(TableFields[Field],Columns[],5,0))</f>
        <v/>
      </c>
      <c r="G8" s="69" t="str">
        <f>IF(VLOOKUP(TableFields[Field],Columns[],6,0)=0,"","-&gt;"&amp;VLOOKUP(TableFields[Field],Columns[],6,0))</f>
        <v/>
      </c>
      <c r="H8" s="69" t="str">
        <f>IF(VLOOKUP(TableFields[Field],Columns[],7,0)=0,"","-&gt;"&amp;VLOOKUP(TableFields[Field],Columns[],7,0))</f>
        <v/>
      </c>
      <c r="I8" s="69" t="str">
        <f>IF(VLOOKUP(TableFields[Field],Columns[],8,0)=0,"","-&gt;"&amp;VLOOKUP(TableFields[Field],Columns[],8,0))</f>
        <v/>
      </c>
      <c r="J8" s="69" t="str">
        <f>IF(VLOOKUP(TableFields[Field],Columns[],9,0)=0,"","-&gt;"&amp;VLOOKUP(TableFields[Field],Columns[],9,0))</f>
        <v/>
      </c>
      <c r="K8" s="69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" spans="1:11" hidden="1" x14ac:dyDescent="0.25">
      <c r="A9" s="69" t="s">
        <v>804</v>
      </c>
      <c r="B9" s="69" t="s">
        <v>819</v>
      </c>
      <c r="C9" s="69" t="str">
        <f>VLOOKUP(TableFields[Field],Columns[],2,0)&amp;"("</f>
        <v>foreignCascade(</v>
      </c>
      <c r="D9" s="69" t="str">
        <f>IF(VLOOKUP(TableFields[Field],Columns[],3,0)&lt;&gt;"","'"&amp;VLOOKUP(TableFields[Field],Columns[],3,0)&amp;"'","")</f>
        <v>'user'</v>
      </c>
      <c r="E9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9" s="69" t="str">
        <f>IF(VLOOKUP(TableFields[Field],Columns[],5,0)=0,"","-&gt;"&amp;VLOOKUP(TableFields[Field],Columns[],5,0))</f>
        <v/>
      </c>
      <c r="G9" s="69" t="str">
        <f>IF(VLOOKUP(TableFields[Field],Columns[],6,0)=0,"","-&gt;"&amp;VLOOKUP(TableFields[Field],Columns[],6,0))</f>
        <v/>
      </c>
      <c r="H9" s="69" t="str">
        <f>IF(VLOOKUP(TableFields[Field],Columns[],7,0)=0,"","-&gt;"&amp;VLOOKUP(TableFields[Field],Columns[],7,0))</f>
        <v/>
      </c>
      <c r="I9" s="69" t="str">
        <f>IF(VLOOKUP(TableFields[Field],Columns[],8,0)=0,"","-&gt;"&amp;VLOOKUP(TableFields[Field],Columns[],8,0))</f>
        <v/>
      </c>
      <c r="J9" s="69" t="str">
        <f>IF(VLOOKUP(TableFields[Field],Columns[],9,0)=0,"","-&gt;"&amp;VLOOKUP(TableFields[Field],Columns[],9,0))</f>
        <v/>
      </c>
      <c r="K9" s="69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0" spans="1:11" hidden="1" x14ac:dyDescent="0.25">
      <c r="A10" s="69" t="s">
        <v>804</v>
      </c>
      <c r="B10" s="69" t="s">
        <v>820</v>
      </c>
      <c r="C10" s="69" t="str">
        <f>VLOOKUP(TableFields[Field],Columns[],2,0)&amp;"("</f>
        <v>foreignCascade(</v>
      </c>
      <c r="D10" s="69" t="str">
        <f>IF(VLOOKUP(TableFields[Field],Columns[],3,0)&lt;&gt;"","'"&amp;VLOOKUP(TableFields[Field],Columns[],3,0)&amp;"'","")</f>
        <v>'category'</v>
      </c>
      <c r="E10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'categories')</v>
      </c>
      <c r="F10" s="69" t="str">
        <f>IF(VLOOKUP(TableFields[Field],Columns[],5,0)=0,"","-&gt;"&amp;VLOOKUP(TableFields[Field],Columns[],5,0))</f>
        <v/>
      </c>
      <c r="G10" s="69" t="str">
        <f>IF(VLOOKUP(TableFields[Field],Columns[],6,0)=0,"","-&gt;"&amp;VLOOKUP(TableFields[Field],Columns[],6,0))</f>
        <v/>
      </c>
      <c r="H10" s="69" t="str">
        <f>IF(VLOOKUP(TableFields[Field],Columns[],7,0)=0,"","-&gt;"&amp;VLOOKUP(TableFields[Field],Columns[],7,0))</f>
        <v/>
      </c>
      <c r="I10" s="69" t="str">
        <f>IF(VLOOKUP(TableFields[Field],Columns[],8,0)=0,"","-&gt;"&amp;VLOOKUP(TableFields[Field],Columns[],8,0))</f>
        <v/>
      </c>
      <c r="J10" s="69" t="str">
        <f>IF(VLOOKUP(TableFields[Field],Columns[],9,0)=0,"","-&gt;"&amp;VLOOKUP(TableFields[Field],Columns[],9,0))</f>
        <v/>
      </c>
      <c r="K10" s="69" t="str">
        <f>"$table-&gt;"&amp;TableFields[Type]&amp;TableFields[Name]&amp;TableFields[Arg2]&amp;TableFields[Method1]&amp;TableFields[Method2]&amp;TableFields[Method3]&amp;TableFields[Method4]&amp;TableFields[Method5]&amp;";"</f>
        <v>$table-&gt;foreignCascade('category', 'categories');</v>
      </c>
    </row>
    <row r="11" spans="1:11" hidden="1" x14ac:dyDescent="0.25">
      <c r="A11" s="69" t="s">
        <v>804</v>
      </c>
      <c r="B11" s="69" t="s">
        <v>288</v>
      </c>
      <c r="C11" s="69" t="str">
        <f>VLOOKUP(TableFields[Field],Columns[],2,0)&amp;"("</f>
        <v>audit(</v>
      </c>
      <c r="D11" s="69" t="str">
        <f>IF(VLOOKUP(TableFields[Field],Columns[],3,0)&lt;&gt;"","'"&amp;VLOOKUP(TableFields[Field],Columns[],3,0)&amp;"'","")</f>
        <v/>
      </c>
      <c r="E11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" s="69" t="str">
        <f>IF(VLOOKUP(TableFields[Field],Columns[],5,0)=0,"","-&gt;"&amp;VLOOKUP(TableFields[Field],Columns[],5,0))</f>
        <v/>
      </c>
      <c r="G11" s="69" t="str">
        <f>IF(VLOOKUP(TableFields[Field],Columns[],6,0)=0,"","-&gt;"&amp;VLOOKUP(TableFields[Field],Columns[],6,0))</f>
        <v/>
      </c>
      <c r="H11" s="69" t="str">
        <f>IF(VLOOKUP(TableFields[Field],Columns[],7,0)=0,"","-&gt;"&amp;VLOOKUP(TableFields[Field],Columns[],7,0))</f>
        <v/>
      </c>
      <c r="I11" s="69" t="str">
        <f>IF(VLOOKUP(TableFields[Field],Columns[],8,0)=0,"","-&gt;"&amp;VLOOKUP(TableFields[Field],Columns[],8,0))</f>
        <v/>
      </c>
      <c r="J11" s="69" t="str">
        <f>IF(VLOOKUP(TableFields[Field],Columns[],9,0)=0,"","-&gt;"&amp;VLOOKUP(TableFields[Field],Columns[],9,0))</f>
        <v/>
      </c>
      <c r="K11" s="69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" spans="1:11" hidden="1" x14ac:dyDescent="0.25">
      <c r="A12" s="69" t="s">
        <v>805</v>
      </c>
      <c r="B12" s="69" t="s">
        <v>21</v>
      </c>
      <c r="C12" s="69" t="str">
        <f>VLOOKUP(TableFields[Field],Columns[],2,0)&amp;"("</f>
        <v>bigIncrements(</v>
      </c>
      <c r="D12" s="69" t="str">
        <f>IF(VLOOKUP(TableFields[Field],Columns[],3,0)&lt;&gt;"","'"&amp;VLOOKUP(TableFields[Field],Columns[],3,0)&amp;"'","")</f>
        <v>'id'</v>
      </c>
      <c r="E12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" s="69" t="str">
        <f>IF(VLOOKUP(TableFields[Field],Columns[],5,0)=0,"","-&gt;"&amp;VLOOKUP(TableFields[Field],Columns[],5,0))</f>
        <v/>
      </c>
      <c r="G12" s="69" t="str">
        <f>IF(VLOOKUP(TableFields[Field],Columns[],6,0)=0,"","-&gt;"&amp;VLOOKUP(TableFields[Field],Columns[],6,0))</f>
        <v/>
      </c>
      <c r="H12" s="69" t="str">
        <f>IF(VLOOKUP(TableFields[Field],Columns[],7,0)=0,"","-&gt;"&amp;VLOOKUP(TableFields[Field],Columns[],7,0))</f>
        <v/>
      </c>
      <c r="I12" s="69" t="str">
        <f>IF(VLOOKUP(TableFields[Field],Columns[],8,0)=0,"","-&gt;"&amp;VLOOKUP(TableFields[Field],Columns[],8,0))</f>
        <v/>
      </c>
      <c r="J12" s="69" t="str">
        <f>IF(VLOOKUP(TableFields[Field],Columns[],9,0)=0,"","-&gt;"&amp;VLOOKUP(TableFields[Field],Columns[],9,0))</f>
        <v/>
      </c>
      <c r="K12" s="69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" spans="1:11" hidden="1" x14ac:dyDescent="0.25">
      <c r="A13" s="69" t="s">
        <v>805</v>
      </c>
      <c r="B13" s="69" t="s">
        <v>23</v>
      </c>
      <c r="C13" s="69" t="str">
        <f>VLOOKUP(TableFields[Field],Columns[],2,0)&amp;"("</f>
        <v>string(</v>
      </c>
      <c r="D13" s="69" t="str">
        <f>IF(VLOOKUP(TableFields[Field],Columns[],3,0)&lt;&gt;"","'"&amp;VLOOKUP(TableFields[Field],Columns[],3,0)&amp;"'","")</f>
        <v>'name'</v>
      </c>
      <c r="E13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13" s="69" t="str">
        <f>IF(VLOOKUP(TableFields[Field],Columns[],5,0)=0,"","-&gt;"&amp;VLOOKUP(TableFields[Field],Columns[],5,0))</f>
        <v>-&gt;index()</v>
      </c>
      <c r="G13" s="69" t="str">
        <f>IF(VLOOKUP(TableFields[Field],Columns[],6,0)=0,"","-&gt;"&amp;VLOOKUP(TableFields[Field],Columns[],6,0))</f>
        <v>-&gt;nullable()</v>
      </c>
      <c r="H13" s="69" t="str">
        <f>IF(VLOOKUP(TableFields[Field],Columns[],7,0)=0,"","-&gt;"&amp;VLOOKUP(TableFields[Field],Columns[],7,0))</f>
        <v/>
      </c>
      <c r="I13" s="69" t="str">
        <f>IF(VLOOKUP(TableFields[Field],Columns[],8,0)=0,"","-&gt;"&amp;VLOOKUP(TableFields[Field],Columns[],8,0))</f>
        <v/>
      </c>
      <c r="J13" s="69" t="str">
        <f>IF(VLOOKUP(TableFields[Field],Columns[],9,0)=0,"","-&gt;"&amp;VLOOKUP(TableFields[Field],Columns[],9,0))</f>
        <v/>
      </c>
      <c r="K13" s="69" t="str">
        <f>"$table-&gt;"&amp;TableFields[Type]&amp;TableFields[Name]&amp;TableFields[Arg2]&amp;TableFields[Method1]&amp;TableFields[Method2]&amp;TableFields[Method3]&amp;TableFields[Method4]&amp;TableFields[Method5]&amp;";"</f>
        <v>$table-&gt;string('name', '255')-&gt;index()-&gt;nullable();</v>
      </c>
    </row>
    <row r="14" spans="1:11" hidden="1" x14ac:dyDescent="0.25">
      <c r="A14" s="69" t="s">
        <v>805</v>
      </c>
      <c r="B14" s="69" t="s">
        <v>822</v>
      </c>
      <c r="C14" s="69" t="str">
        <f>VLOOKUP(TableFields[Field],Columns[],2,0)&amp;"("</f>
        <v>string(</v>
      </c>
      <c r="D14" s="69" t="str">
        <f>IF(VLOOKUP(TableFields[Field],Columns[],3,0)&lt;&gt;"","'"&amp;VLOOKUP(TableFields[Field],Columns[],3,0)&amp;"'","")</f>
        <v>'display_name'</v>
      </c>
      <c r="E14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14" s="69" t="str">
        <f>IF(VLOOKUP(TableFields[Field],Columns[],5,0)=0,"","-&gt;"&amp;VLOOKUP(TableFields[Field],Columns[],5,0))</f>
        <v>-&gt;nullable()</v>
      </c>
      <c r="G14" s="69" t="str">
        <f>IF(VLOOKUP(TableFields[Field],Columns[],6,0)=0,"","-&gt;"&amp;VLOOKUP(TableFields[Field],Columns[],6,0))</f>
        <v/>
      </c>
      <c r="H14" s="69" t="str">
        <f>IF(VLOOKUP(TableFields[Field],Columns[],7,0)=0,"","-&gt;"&amp;VLOOKUP(TableFields[Field],Columns[],7,0))</f>
        <v/>
      </c>
      <c r="I14" s="69" t="str">
        <f>IF(VLOOKUP(TableFields[Field],Columns[],8,0)=0,"","-&gt;"&amp;VLOOKUP(TableFields[Field],Columns[],8,0))</f>
        <v/>
      </c>
      <c r="J14" s="69" t="str">
        <f>IF(VLOOKUP(TableFields[Field],Columns[],9,0)=0,"","-&gt;"&amp;VLOOKUP(TableFields[Field],Columns[],9,0))</f>
        <v/>
      </c>
      <c r="K14" s="69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'255')-&gt;nullable();</v>
      </c>
    </row>
    <row r="15" spans="1:11" hidden="1" x14ac:dyDescent="0.25">
      <c r="A15" s="69" t="s">
        <v>805</v>
      </c>
      <c r="B15" s="69" t="s">
        <v>823</v>
      </c>
      <c r="C15" s="69" t="str">
        <f>VLOOKUP(TableFields[Field],Columns[],2,0)&amp;"("</f>
        <v>enum(</v>
      </c>
      <c r="D15" s="69" t="str">
        <f>IF(VLOOKUP(TableFields[Field],Columns[],3,0)&lt;&gt;"","'"&amp;VLOOKUP(TableFields[Field],Columns[],3,0)&amp;"'","")</f>
        <v>'status'</v>
      </c>
      <c r="E15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" s="69" t="str">
        <f>IF(VLOOKUP(TableFields[Field],Columns[],5,0)=0,"","-&gt;"&amp;VLOOKUP(TableFields[Field],Columns[],5,0))</f>
        <v>-&gt;nullable()</v>
      </c>
      <c r="G15" s="69" t="str">
        <f>IF(VLOOKUP(TableFields[Field],Columns[],6,0)=0,"","-&gt;"&amp;VLOOKUP(TableFields[Field],Columns[],6,0))</f>
        <v>-&gt;default('Active')</v>
      </c>
      <c r="H15" s="69" t="str">
        <f>IF(VLOOKUP(TableFields[Field],Columns[],7,0)=0,"","-&gt;"&amp;VLOOKUP(TableFields[Field],Columns[],7,0))</f>
        <v/>
      </c>
      <c r="I15" s="69" t="str">
        <f>IF(VLOOKUP(TableFields[Field],Columns[],8,0)=0,"","-&gt;"&amp;VLOOKUP(TableFields[Field],Columns[],8,0))</f>
        <v/>
      </c>
      <c r="J15" s="69" t="str">
        <f>IF(VLOOKUP(TableFields[Field],Columns[],9,0)=0,"","-&gt;"&amp;VLOOKUP(TableFields[Field],Columns[],9,0))</f>
        <v/>
      </c>
      <c r="K15" s="69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6" spans="1:11" hidden="1" x14ac:dyDescent="0.25">
      <c r="A16" s="69" t="s">
        <v>805</v>
      </c>
      <c r="B16" s="69" t="s">
        <v>288</v>
      </c>
      <c r="C16" s="69" t="str">
        <f>VLOOKUP(TableFields[Field],Columns[],2,0)&amp;"("</f>
        <v>audit(</v>
      </c>
      <c r="D16" s="69" t="str">
        <f>IF(VLOOKUP(TableFields[Field],Columns[],3,0)&lt;&gt;"","'"&amp;VLOOKUP(TableFields[Field],Columns[],3,0)&amp;"'","")</f>
        <v/>
      </c>
      <c r="E16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" s="69" t="str">
        <f>IF(VLOOKUP(TableFields[Field],Columns[],5,0)=0,"","-&gt;"&amp;VLOOKUP(TableFields[Field],Columns[],5,0))</f>
        <v/>
      </c>
      <c r="G16" s="69" t="str">
        <f>IF(VLOOKUP(TableFields[Field],Columns[],6,0)=0,"","-&gt;"&amp;VLOOKUP(TableFields[Field],Columns[],6,0))</f>
        <v/>
      </c>
      <c r="H16" s="69" t="str">
        <f>IF(VLOOKUP(TableFields[Field],Columns[],7,0)=0,"","-&gt;"&amp;VLOOKUP(TableFields[Field],Columns[],7,0))</f>
        <v/>
      </c>
      <c r="I16" s="69" t="str">
        <f>IF(VLOOKUP(TableFields[Field],Columns[],8,0)=0,"","-&gt;"&amp;VLOOKUP(TableFields[Field],Columns[],8,0))</f>
        <v/>
      </c>
      <c r="J16" s="69" t="str">
        <f>IF(VLOOKUP(TableFields[Field],Columns[],9,0)=0,"","-&gt;"&amp;VLOOKUP(TableFields[Field],Columns[],9,0))</f>
        <v/>
      </c>
      <c r="K16" s="69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" spans="1:11" hidden="1" x14ac:dyDescent="0.25">
      <c r="A17" s="69" t="s">
        <v>806</v>
      </c>
      <c r="B17" s="69" t="s">
        <v>21</v>
      </c>
      <c r="C17" s="69" t="str">
        <f>VLOOKUP(TableFields[Field],Columns[],2,0)&amp;"("</f>
        <v>bigIncrements(</v>
      </c>
      <c r="D17" s="69" t="str">
        <f>IF(VLOOKUP(TableFields[Field],Columns[],3,0)&lt;&gt;"","'"&amp;VLOOKUP(TableFields[Field],Columns[],3,0)&amp;"'","")</f>
        <v>'id'</v>
      </c>
      <c r="E17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" s="69" t="str">
        <f>IF(VLOOKUP(TableFields[Field],Columns[],5,0)=0,"","-&gt;"&amp;VLOOKUP(TableFields[Field],Columns[],5,0))</f>
        <v/>
      </c>
      <c r="G17" s="69" t="str">
        <f>IF(VLOOKUP(TableFields[Field],Columns[],6,0)=0,"","-&gt;"&amp;VLOOKUP(TableFields[Field],Columns[],6,0))</f>
        <v/>
      </c>
      <c r="H17" s="69" t="str">
        <f>IF(VLOOKUP(TableFields[Field],Columns[],7,0)=0,"","-&gt;"&amp;VLOOKUP(TableFields[Field],Columns[],7,0))</f>
        <v/>
      </c>
      <c r="I17" s="69" t="str">
        <f>IF(VLOOKUP(TableFields[Field],Columns[],8,0)=0,"","-&gt;"&amp;VLOOKUP(TableFields[Field],Columns[],8,0))</f>
        <v/>
      </c>
      <c r="J17" s="69" t="str">
        <f>IF(VLOOKUP(TableFields[Field],Columns[],9,0)=0,"","-&gt;"&amp;VLOOKUP(TableFields[Field],Columns[],9,0))</f>
        <v/>
      </c>
      <c r="K17" s="69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" spans="1:11" hidden="1" x14ac:dyDescent="0.25">
      <c r="A18" s="69" t="s">
        <v>806</v>
      </c>
      <c r="B18" s="69" t="s">
        <v>819</v>
      </c>
      <c r="C18" s="69" t="str">
        <f>VLOOKUP(TableFields[Field],Columns[],2,0)&amp;"("</f>
        <v>foreignCascade(</v>
      </c>
      <c r="D18" s="69" t="str">
        <f>IF(VLOOKUP(TableFields[Field],Columns[],3,0)&lt;&gt;"","'"&amp;VLOOKUP(TableFields[Field],Columns[],3,0)&amp;"'","")</f>
        <v>'user'</v>
      </c>
      <c r="E18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8" s="69" t="str">
        <f>IF(VLOOKUP(TableFields[Field],Columns[],5,0)=0,"","-&gt;"&amp;VLOOKUP(TableFields[Field],Columns[],5,0))</f>
        <v/>
      </c>
      <c r="G18" s="69" t="str">
        <f>IF(VLOOKUP(TableFields[Field],Columns[],6,0)=0,"","-&gt;"&amp;VLOOKUP(TableFields[Field],Columns[],6,0))</f>
        <v/>
      </c>
      <c r="H18" s="69" t="str">
        <f>IF(VLOOKUP(TableFields[Field],Columns[],7,0)=0,"","-&gt;"&amp;VLOOKUP(TableFields[Field],Columns[],7,0))</f>
        <v/>
      </c>
      <c r="I18" s="69" t="str">
        <f>IF(VLOOKUP(TableFields[Field],Columns[],8,0)=0,"","-&gt;"&amp;VLOOKUP(TableFields[Field],Columns[],8,0))</f>
        <v/>
      </c>
      <c r="J18" s="69" t="str">
        <f>IF(VLOOKUP(TableFields[Field],Columns[],9,0)=0,"","-&gt;"&amp;VLOOKUP(TableFields[Field],Columns[],9,0))</f>
        <v/>
      </c>
      <c r="K18" s="69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9" spans="1:11" hidden="1" x14ac:dyDescent="0.25">
      <c r="A19" s="69" t="s">
        <v>806</v>
      </c>
      <c r="B19" s="69" t="s">
        <v>827</v>
      </c>
      <c r="C19" s="69" t="str">
        <f>VLOOKUP(TableFields[Field],Columns[],2,0)&amp;"("</f>
        <v>foreignCascade(</v>
      </c>
      <c r="D19" s="69" t="str">
        <f>IF(VLOOKUP(TableFields[Field],Columns[],3,0)&lt;&gt;"","'"&amp;VLOOKUP(TableFields[Field],Columns[],3,0)&amp;"'","")</f>
        <v>'counter'</v>
      </c>
      <c r="E19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'counters')</v>
      </c>
      <c r="F19" s="69" t="str">
        <f>IF(VLOOKUP(TableFields[Field],Columns[],5,0)=0,"","-&gt;"&amp;VLOOKUP(TableFields[Field],Columns[],5,0))</f>
        <v/>
      </c>
      <c r="G19" s="69" t="str">
        <f>IF(VLOOKUP(TableFields[Field],Columns[],6,0)=0,"","-&gt;"&amp;VLOOKUP(TableFields[Field],Columns[],6,0))</f>
        <v/>
      </c>
      <c r="H19" s="69" t="str">
        <f>IF(VLOOKUP(TableFields[Field],Columns[],7,0)=0,"","-&gt;"&amp;VLOOKUP(TableFields[Field],Columns[],7,0))</f>
        <v/>
      </c>
      <c r="I19" s="69" t="str">
        <f>IF(VLOOKUP(TableFields[Field],Columns[],8,0)=0,"","-&gt;"&amp;VLOOKUP(TableFields[Field],Columns[],8,0))</f>
        <v/>
      </c>
      <c r="J19" s="69" t="str">
        <f>IF(VLOOKUP(TableFields[Field],Columns[],9,0)=0,"","-&gt;"&amp;VLOOKUP(TableFields[Field],Columns[],9,0))</f>
        <v/>
      </c>
      <c r="K19" s="69" t="str">
        <f>"$table-&gt;"&amp;TableFields[Type]&amp;TableFields[Name]&amp;TableFields[Arg2]&amp;TableFields[Method1]&amp;TableFields[Method2]&amp;TableFields[Method3]&amp;TableFields[Method4]&amp;TableFields[Method5]&amp;";"</f>
        <v>$table-&gt;foreignCascade('counter', 'counters');</v>
      </c>
    </row>
    <row r="20" spans="1:11" hidden="1" x14ac:dyDescent="0.25">
      <c r="A20" s="69" t="s">
        <v>806</v>
      </c>
      <c r="B20" s="69" t="s">
        <v>288</v>
      </c>
      <c r="C20" s="69" t="str">
        <f>VLOOKUP(TableFields[Field],Columns[],2,0)&amp;"("</f>
        <v>audit(</v>
      </c>
      <c r="D20" s="69" t="str">
        <f>IF(VLOOKUP(TableFields[Field],Columns[],3,0)&lt;&gt;"","'"&amp;VLOOKUP(TableFields[Field],Columns[],3,0)&amp;"'","")</f>
        <v/>
      </c>
      <c r="E20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" s="69" t="str">
        <f>IF(VLOOKUP(TableFields[Field],Columns[],5,0)=0,"","-&gt;"&amp;VLOOKUP(TableFields[Field],Columns[],5,0))</f>
        <v/>
      </c>
      <c r="G20" s="69" t="str">
        <f>IF(VLOOKUP(TableFields[Field],Columns[],6,0)=0,"","-&gt;"&amp;VLOOKUP(TableFields[Field],Columns[],6,0))</f>
        <v/>
      </c>
      <c r="H20" s="69" t="str">
        <f>IF(VLOOKUP(TableFields[Field],Columns[],7,0)=0,"","-&gt;"&amp;VLOOKUP(TableFields[Field],Columns[],7,0))</f>
        <v/>
      </c>
      <c r="I20" s="69" t="str">
        <f>IF(VLOOKUP(TableFields[Field],Columns[],8,0)=0,"","-&gt;"&amp;VLOOKUP(TableFields[Field],Columns[],8,0))</f>
        <v/>
      </c>
      <c r="J20" s="69" t="str">
        <f>IF(VLOOKUP(TableFields[Field],Columns[],9,0)=0,"","-&gt;"&amp;VLOOKUP(TableFields[Field],Columns[],9,0))</f>
        <v/>
      </c>
      <c r="K20" s="69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" spans="1:11" hidden="1" x14ac:dyDescent="0.25">
      <c r="A21" s="69" t="s">
        <v>807</v>
      </c>
      <c r="B21" s="69" t="s">
        <v>21</v>
      </c>
      <c r="C21" s="69" t="str">
        <f>VLOOKUP(TableFields[Field],Columns[],2,0)&amp;"("</f>
        <v>bigIncrements(</v>
      </c>
      <c r="D21" s="69" t="str">
        <f>IF(VLOOKUP(TableFields[Field],Columns[],3,0)&lt;&gt;"","'"&amp;VLOOKUP(TableFields[Field],Columns[],3,0)&amp;"'","")</f>
        <v>'id'</v>
      </c>
      <c r="E21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" s="69" t="str">
        <f>IF(VLOOKUP(TableFields[Field],Columns[],5,0)=0,"","-&gt;"&amp;VLOOKUP(TableFields[Field],Columns[],5,0))</f>
        <v/>
      </c>
      <c r="G21" s="69" t="str">
        <f>IF(VLOOKUP(TableFields[Field],Columns[],6,0)=0,"","-&gt;"&amp;VLOOKUP(TableFields[Field],Columns[],6,0))</f>
        <v/>
      </c>
      <c r="H21" s="69" t="str">
        <f>IF(VLOOKUP(TableFields[Field],Columns[],7,0)=0,"","-&gt;"&amp;VLOOKUP(TableFields[Field],Columns[],7,0))</f>
        <v/>
      </c>
      <c r="I21" s="69" t="str">
        <f>IF(VLOOKUP(TableFields[Field],Columns[],8,0)=0,"","-&gt;"&amp;VLOOKUP(TableFields[Field],Columns[],8,0))</f>
        <v/>
      </c>
      <c r="J21" s="69" t="str">
        <f>IF(VLOOKUP(TableFields[Field],Columns[],9,0)=0,"","-&gt;"&amp;VLOOKUP(TableFields[Field],Columns[],9,0))</f>
        <v/>
      </c>
      <c r="K21" s="69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" spans="1:11" hidden="1" x14ac:dyDescent="0.25">
      <c r="A22" s="69" t="s">
        <v>807</v>
      </c>
      <c r="B22" s="69" t="s">
        <v>23</v>
      </c>
      <c r="C22" s="69" t="str">
        <f>VLOOKUP(TableFields[Field],Columns[],2,0)&amp;"("</f>
        <v>string(</v>
      </c>
      <c r="D22" s="69" t="str">
        <f>IF(VLOOKUP(TableFields[Field],Columns[],3,0)&lt;&gt;"","'"&amp;VLOOKUP(TableFields[Field],Columns[],3,0)&amp;"'","")</f>
        <v>'name'</v>
      </c>
      <c r="E22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2" s="69" t="str">
        <f>IF(VLOOKUP(TableFields[Field],Columns[],5,0)=0,"","-&gt;"&amp;VLOOKUP(TableFields[Field],Columns[],5,0))</f>
        <v>-&gt;index()</v>
      </c>
      <c r="G22" s="69" t="str">
        <f>IF(VLOOKUP(TableFields[Field],Columns[],6,0)=0,"","-&gt;"&amp;VLOOKUP(TableFields[Field],Columns[],6,0))</f>
        <v>-&gt;nullable()</v>
      </c>
      <c r="H22" s="69" t="str">
        <f>IF(VLOOKUP(TableFields[Field],Columns[],7,0)=0,"","-&gt;"&amp;VLOOKUP(TableFields[Field],Columns[],7,0))</f>
        <v/>
      </c>
      <c r="I22" s="69" t="str">
        <f>IF(VLOOKUP(TableFields[Field],Columns[],8,0)=0,"","-&gt;"&amp;VLOOKUP(TableFields[Field],Columns[],8,0))</f>
        <v/>
      </c>
      <c r="J22" s="69" t="str">
        <f>IF(VLOOKUP(TableFields[Field],Columns[],9,0)=0,"","-&gt;"&amp;VLOOKUP(TableFields[Field],Columns[],9,0))</f>
        <v/>
      </c>
      <c r="K22" s="69" t="str">
        <f>"$table-&gt;"&amp;TableFields[Type]&amp;TableFields[Name]&amp;TableFields[Arg2]&amp;TableFields[Method1]&amp;TableFields[Method2]&amp;TableFields[Method3]&amp;TableFields[Method4]&amp;TableFields[Method5]&amp;";"</f>
        <v>$table-&gt;string('name', '255')-&gt;index()-&gt;nullable();</v>
      </c>
    </row>
    <row r="23" spans="1:11" hidden="1" x14ac:dyDescent="0.25">
      <c r="A23" s="69" t="s">
        <v>807</v>
      </c>
      <c r="B23" s="69" t="s">
        <v>829</v>
      </c>
      <c r="C23" s="69" t="str">
        <f>VLOOKUP(TableFields[Field],Columns[],2,0)&amp;"("</f>
        <v>string(</v>
      </c>
      <c r="D23" s="69" t="str">
        <f>IF(VLOOKUP(TableFields[Field],Columns[],3,0)&lt;&gt;"","'"&amp;VLOOKUP(TableFields[Field],Columns[],3,0)&amp;"'","")</f>
        <v>'phone'</v>
      </c>
      <c r="E23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3" s="69" t="str">
        <f>IF(VLOOKUP(TableFields[Field],Columns[],5,0)=0,"","-&gt;"&amp;VLOOKUP(TableFields[Field],Columns[],5,0))</f>
        <v>-&gt;nullable()</v>
      </c>
      <c r="G23" s="69" t="str">
        <f>IF(VLOOKUP(TableFields[Field],Columns[],6,0)=0,"","-&gt;"&amp;VLOOKUP(TableFields[Field],Columns[],6,0))</f>
        <v/>
      </c>
      <c r="H23" s="69" t="str">
        <f>IF(VLOOKUP(TableFields[Field],Columns[],7,0)=0,"","-&gt;"&amp;VLOOKUP(TableFields[Field],Columns[],7,0))</f>
        <v/>
      </c>
      <c r="I23" s="69" t="str">
        <f>IF(VLOOKUP(TableFields[Field],Columns[],8,0)=0,"","-&gt;"&amp;VLOOKUP(TableFields[Field],Columns[],8,0))</f>
        <v/>
      </c>
      <c r="J23" s="69" t="str">
        <f>IF(VLOOKUP(TableFields[Field],Columns[],9,0)=0,"","-&gt;"&amp;VLOOKUP(TableFields[Field],Columns[],9,0))</f>
        <v/>
      </c>
      <c r="K23" s="69" t="str">
        <f>"$table-&gt;"&amp;TableFields[Type]&amp;TableFields[Name]&amp;TableFields[Arg2]&amp;TableFields[Method1]&amp;TableFields[Method2]&amp;TableFields[Method3]&amp;TableFields[Method4]&amp;TableFields[Method5]&amp;";"</f>
        <v>$table-&gt;string('phone', '255')-&gt;nullable();</v>
      </c>
    </row>
    <row r="24" spans="1:11" hidden="1" x14ac:dyDescent="0.25">
      <c r="A24" s="69" t="s">
        <v>807</v>
      </c>
      <c r="B24" s="69" t="s">
        <v>830</v>
      </c>
      <c r="C24" s="69" t="str">
        <f>VLOOKUP(TableFields[Field],Columns[],2,0)&amp;"("</f>
        <v>string(</v>
      </c>
      <c r="D24" s="69" t="str">
        <f>IF(VLOOKUP(TableFields[Field],Columns[],3,0)&lt;&gt;"","'"&amp;VLOOKUP(TableFields[Field],Columns[],3,0)&amp;"'","")</f>
        <v>'email'</v>
      </c>
      <c r="E24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4" s="69" t="str">
        <f>IF(VLOOKUP(TableFields[Field],Columns[],5,0)=0,"","-&gt;"&amp;VLOOKUP(TableFields[Field],Columns[],5,0))</f>
        <v>-&gt;nullable()</v>
      </c>
      <c r="G24" s="69" t="str">
        <f>IF(VLOOKUP(TableFields[Field],Columns[],6,0)=0,"","-&gt;"&amp;VLOOKUP(TableFields[Field],Columns[],6,0))</f>
        <v/>
      </c>
      <c r="H24" s="69" t="str">
        <f>IF(VLOOKUP(TableFields[Field],Columns[],7,0)=0,"","-&gt;"&amp;VLOOKUP(TableFields[Field],Columns[],7,0))</f>
        <v/>
      </c>
      <c r="I24" s="69" t="str">
        <f>IF(VLOOKUP(TableFields[Field],Columns[],8,0)=0,"","-&gt;"&amp;VLOOKUP(TableFields[Field],Columns[],8,0))</f>
        <v/>
      </c>
      <c r="J24" s="69" t="str">
        <f>IF(VLOOKUP(TableFields[Field],Columns[],9,0)=0,"","-&gt;"&amp;VLOOKUP(TableFields[Field],Columns[],9,0))</f>
        <v/>
      </c>
      <c r="K24" s="69" t="str">
        <f>"$table-&gt;"&amp;TableFields[Type]&amp;TableFields[Name]&amp;TableFields[Arg2]&amp;TableFields[Method1]&amp;TableFields[Method2]&amp;TableFields[Method3]&amp;TableFields[Method4]&amp;TableFields[Method5]&amp;";"</f>
        <v>$table-&gt;string('email', '255')-&gt;nullable();</v>
      </c>
    </row>
    <row r="25" spans="1:11" hidden="1" x14ac:dyDescent="0.25">
      <c r="A25" s="69" t="s">
        <v>807</v>
      </c>
      <c r="B25" s="69" t="s">
        <v>288</v>
      </c>
      <c r="C25" s="69" t="str">
        <f>VLOOKUP(TableFields[Field],Columns[],2,0)&amp;"("</f>
        <v>audit(</v>
      </c>
      <c r="D25" s="69" t="str">
        <f>IF(VLOOKUP(TableFields[Field],Columns[],3,0)&lt;&gt;"","'"&amp;VLOOKUP(TableFields[Field],Columns[],3,0)&amp;"'","")</f>
        <v/>
      </c>
      <c r="E25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" s="69" t="str">
        <f>IF(VLOOKUP(TableFields[Field],Columns[],5,0)=0,"","-&gt;"&amp;VLOOKUP(TableFields[Field],Columns[],5,0))</f>
        <v/>
      </c>
      <c r="G25" s="69" t="str">
        <f>IF(VLOOKUP(TableFields[Field],Columns[],6,0)=0,"","-&gt;"&amp;VLOOKUP(TableFields[Field],Columns[],6,0))</f>
        <v/>
      </c>
      <c r="H25" s="69" t="str">
        <f>IF(VLOOKUP(TableFields[Field],Columns[],7,0)=0,"","-&gt;"&amp;VLOOKUP(TableFields[Field],Columns[],7,0))</f>
        <v/>
      </c>
      <c r="I25" s="69" t="str">
        <f>IF(VLOOKUP(TableFields[Field],Columns[],8,0)=0,"","-&gt;"&amp;VLOOKUP(TableFields[Field],Columns[],8,0))</f>
        <v/>
      </c>
      <c r="J25" s="69" t="str">
        <f>IF(VLOOKUP(TableFields[Field],Columns[],9,0)=0,"","-&gt;"&amp;VLOOKUP(TableFields[Field],Columns[],9,0))</f>
        <v/>
      </c>
      <c r="K25" s="69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" spans="1:11" hidden="1" x14ac:dyDescent="0.25">
      <c r="A26" s="69" t="s">
        <v>808</v>
      </c>
      <c r="B26" s="69" t="s">
        <v>21</v>
      </c>
      <c r="C26" s="69" t="str">
        <f>VLOOKUP(TableFields[Field],Columns[],2,0)&amp;"("</f>
        <v>bigIncrements(</v>
      </c>
      <c r="D26" s="69" t="str">
        <f>IF(VLOOKUP(TableFields[Field],Columns[],3,0)&lt;&gt;"","'"&amp;VLOOKUP(TableFields[Field],Columns[],3,0)&amp;"'","")</f>
        <v>'id'</v>
      </c>
      <c r="E26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" s="69" t="str">
        <f>IF(VLOOKUP(TableFields[Field],Columns[],5,0)=0,"","-&gt;"&amp;VLOOKUP(TableFields[Field],Columns[],5,0))</f>
        <v/>
      </c>
      <c r="G26" s="69" t="str">
        <f>IF(VLOOKUP(TableFields[Field],Columns[],6,0)=0,"","-&gt;"&amp;VLOOKUP(TableFields[Field],Columns[],6,0))</f>
        <v/>
      </c>
      <c r="H26" s="69" t="str">
        <f>IF(VLOOKUP(TableFields[Field],Columns[],7,0)=0,"","-&gt;"&amp;VLOOKUP(TableFields[Field],Columns[],7,0))</f>
        <v/>
      </c>
      <c r="I26" s="69" t="str">
        <f>IF(VLOOKUP(TableFields[Field],Columns[],8,0)=0,"","-&gt;"&amp;VLOOKUP(TableFields[Field],Columns[],8,0))</f>
        <v/>
      </c>
      <c r="J26" s="69" t="str">
        <f>IF(VLOOKUP(TableFields[Field],Columns[],9,0)=0,"","-&gt;"&amp;VLOOKUP(TableFields[Field],Columns[],9,0))</f>
        <v/>
      </c>
      <c r="K26" s="69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" spans="1:11" hidden="1" x14ac:dyDescent="0.25">
      <c r="A27" s="69" t="s">
        <v>808</v>
      </c>
      <c r="B27" s="69" t="s">
        <v>820</v>
      </c>
      <c r="C27" s="69" t="str">
        <f>VLOOKUP(TableFields[Field],Columns[],2,0)&amp;"("</f>
        <v>foreignCascade(</v>
      </c>
      <c r="D27" s="69" t="str">
        <f>IF(VLOOKUP(TableFields[Field],Columns[],3,0)&lt;&gt;"","'"&amp;VLOOKUP(TableFields[Field],Columns[],3,0)&amp;"'","")</f>
        <v>'category'</v>
      </c>
      <c r="E27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'categories')</v>
      </c>
      <c r="F27" s="69" t="str">
        <f>IF(VLOOKUP(TableFields[Field],Columns[],5,0)=0,"","-&gt;"&amp;VLOOKUP(TableFields[Field],Columns[],5,0))</f>
        <v/>
      </c>
      <c r="G27" s="69" t="str">
        <f>IF(VLOOKUP(TableFields[Field],Columns[],6,0)=0,"","-&gt;"&amp;VLOOKUP(TableFields[Field],Columns[],6,0))</f>
        <v/>
      </c>
      <c r="H27" s="69" t="str">
        <f>IF(VLOOKUP(TableFields[Field],Columns[],7,0)=0,"","-&gt;"&amp;VLOOKUP(TableFields[Field],Columns[],7,0))</f>
        <v/>
      </c>
      <c r="I27" s="69" t="str">
        <f>IF(VLOOKUP(TableFields[Field],Columns[],8,0)=0,"","-&gt;"&amp;VLOOKUP(TableFields[Field],Columns[],8,0))</f>
        <v/>
      </c>
      <c r="J27" s="69" t="str">
        <f>IF(VLOOKUP(TableFields[Field],Columns[],9,0)=0,"","-&gt;"&amp;VLOOKUP(TableFields[Field],Columns[],9,0))</f>
        <v/>
      </c>
      <c r="K27" s="69" t="str">
        <f>"$table-&gt;"&amp;TableFields[Type]&amp;TableFields[Name]&amp;TableFields[Arg2]&amp;TableFields[Method1]&amp;TableFields[Method2]&amp;TableFields[Method3]&amp;TableFields[Method4]&amp;TableFields[Method5]&amp;";"</f>
        <v>$table-&gt;foreignCascade('category', 'categories');</v>
      </c>
    </row>
    <row r="28" spans="1:11" hidden="1" x14ac:dyDescent="0.25">
      <c r="A28" s="69" t="s">
        <v>808</v>
      </c>
      <c r="B28" s="69" t="s">
        <v>831</v>
      </c>
      <c r="C28" s="69" t="str">
        <f>VLOOKUP(TableFields[Field],Columns[],2,0)&amp;"("</f>
        <v>dateTime(</v>
      </c>
      <c r="D28" s="69" t="str">
        <f>IF(VLOOKUP(TableFields[Field],Columns[],3,0)&lt;&gt;"","'"&amp;VLOOKUP(TableFields[Field],Columns[],3,0)&amp;"'","")</f>
        <v>'datetime'</v>
      </c>
      <c r="E28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" s="69" t="str">
        <f>IF(VLOOKUP(TableFields[Field],Columns[],5,0)=0,"","-&gt;"&amp;VLOOKUP(TableFields[Field],Columns[],5,0))</f>
        <v/>
      </c>
      <c r="G28" s="69" t="str">
        <f>IF(VLOOKUP(TableFields[Field],Columns[],6,0)=0,"","-&gt;"&amp;VLOOKUP(TableFields[Field],Columns[],6,0))</f>
        <v/>
      </c>
      <c r="H28" s="69" t="str">
        <f>IF(VLOOKUP(TableFields[Field],Columns[],7,0)=0,"","-&gt;"&amp;VLOOKUP(TableFields[Field],Columns[],7,0))</f>
        <v/>
      </c>
      <c r="I28" s="69" t="str">
        <f>IF(VLOOKUP(TableFields[Field],Columns[],8,0)=0,"","-&gt;"&amp;VLOOKUP(TableFields[Field],Columns[],8,0))</f>
        <v/>
      </c>
      <c r="J28" s="69" t="str">
        <f>IF(VLOOKUP(TableFields[Field],Columns[],9,0)=0,"","-&gt;"&amp;VLOOKUP(TableFields[Field],Columns[],9,0))</f>
        <v/>
      </c>
      <c r="K28" s="69" t="str">
        <f>"$table-&gt;"&amp;TableFields[Type]&amp;TableFields[Name]&amp;TableFields[Arg2]&amp;TableFields[Method1]&amp;TableFields[Method2]&amp;TableFields[Method3]&amp;TableFields[Method4]&amp;TableFields[Method5]&amp;";"</f>
        <v>$table-&gt;dateTime('datetime');</v>
      </c>
    </row>
    <row r="29" spans="1:11" hidden="1" x14ac:dyDescent="0.25">
      <c r="A29" s="69" t="s">
        <v>808</v>
      </c>
      <c r="B29" s="69" t="s">
        <v>833</v>
      </c>
      <c r="C29" s="69" t="str">
        <f>VLOOKUP(TableFields[Field],Columns[],2,0)&amp;"("</f>
        <v>foreignNullable(</v>
      </c>
      <c r="D29" s="69" t="str">
        <f>IF(VLOOKUP(TableFields[Field],Columns[],3,0)&lt;&gt;"","'"&amp;VLOOKUP(TableFields[Field],Columns[],3,0)&amp;"'","")</f>
        <v>'customer'</v>
      </c>
      <c r="E29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'customers')</v>
      </c>
      <c r="F29" s="69" t="str">
        <f>IF(VLOOKUP(TableFields[Field],Columns[],5,0)=0,"","-&gt;"&amp;VLOOKUP(TableFields[Field],Columns[],5,0))</f>
        <v/>
      </c>
      <c r="G29" s="69" t="str">
        <f>IF(VLOOKUP(TableFields[Field],Columns[],6,0)=0,"","-&gt;"&amp;VLOOKUP(TableFields[Field],Columns[],6,0))</f>
        <v/>
      </c>
      <c r="H29" s="69" t="str">
        <f>IF(VLOOKUP(TableFields[Field],Columns[],7,0)=0,"","-&gt;"&amp;VLOOKUP(TableFields[Field],Columns[],7,0))</f>
        <v/>
      </c>
      <c r="I29" s="69" t="str">
        <f>IF(VLOOKUP(TableFields[Field],Columns[],8,0)=0,"","-&gt;"&amp;VLOOKUP(TableFields[Field],Columns[],8,0))</f>
        <v/>
      </c>
      <c r="J29" s="69" t="str">
        <f>IF(VLOOKUP(TableFields[Field],Columns[],9,0)=0,"","-&gt;"&amp;VLOOKUP(TableFields[Field],Columns[],9,0))</f>
        <v/>
      </c>
      <c r="K29" s="69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'customers');</v>
      </c>
    </row>
    <row r="30" spans="1:11" hidden="1" x14ac:dyDescent="0.25">
      <c r="A30" s="69" t="s">
        <v>808</v>
      </c>
      <c r="B30" s="69" t="s">
        <v>836</v>
      </c>
      <c r="C30" s="69" t="str">
        <f>VLOOKUP(TableFields[Field],Columns[],2,0)&amp;"("</f>
        <v>string(</v>
      </c>
      <c r="D30" s="69" t="str">
        <f>IF(VLOOKUP(TableFields[Field],Columns[],3,0)&lt;&gt;"","'"&amp;VLOOKUP(TableFields[Field],Columns[],3,0)&amp;"'","")</f>
        <v>'code'</v>
      </c>
      <c r="E30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0" s="69" t="str">
        <f>IF(VLOOKUP(TableFields[Field],Columns[],5,0)=0,"","-&gt;"&amp;VLOOKUP(TableFields[Field],Columns[],5,0))</f>
        <v>-&gt;nullable()</v>
      </c>
      <c r="G30" s="69" t="str">
        <f>IF(VLOOKUP(TableFields[Field],Columns[],6,0)=0,"","-&gt;"&amp;VLOOKUP(TableFields[Field],Columns[],6,0))</f>
        <v/>
      </c>
      <c r="H30" s="69" t="str">
        <f>IF(VLOOKUP(TableFields[Field],Columns[],7,0)=0,"","-&gt;"&amp;VLOOKUP(TableFields[Field],Columns[],7,0))</f>
        <v/>
      </c>
      <c r="I30" s="69" t="str">
        <f>IF(VLOOKUP(TableFields[Field],Columns[],8,0)=0,"","-&gt;"&amp;VLOOKUP(TableFields[Field],Columns[],8,0))</f>
        <v/>
      </c>
      <c r="J30" s="69" t="str">
        <f>IF(VLOOKUP(TableFields[Field],Columns[],9,0)=0,"","-&gt;"&amp;VLOOKUP(TableFields[Field],Columns[],9,0))</f>
        <v/>
      </c>
      <c r="K30" s="69" t="str">
        <f>"$table-&gt;"&amp;TableFields[Type]&amp;TableFields[Name]&amp;TableFields[Arg2]&amp;TableFields[Method1]&amp;TableFields[Method2]&amp;TableFields[Method3]&amp;TableFields[Method4]&amp;TableFields[Method5]&amp;";"</f>
        <v>$table-&gt;string('code', '15')-&gt;nullable();</v>
      </c>
    </row>
    <row r="31" spans="1:11" hidden="1" x14ac:dyDescent="0.25">
      <c r="A31" s="69" t="s">
        <v>808</v>
      </c>
      <c r="B31" s="69" t="s">
        <v>823</v>
      </c>
      <c r="C31" s="69" t="str">
        <f>VLOOKUP(TableFields[Field],Columns[],2,0)&amp;"("</f>
        <v>enum(</v>
      </c>
      <c r="D31" s="69" t="str">
        <f>IF(VLOOKUP(TableFields[Field],Columns[],3,0)&lt;&gt;"","'"&amp;VLOOKUP(TableFields[Field],Columns[],3,0)&amp;"'","")</f>
        <v>'status'</v>
      </c>
      <c r="E31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" s="69" t="str">
        <f>IF(VLOOKUP(TableFields[Field],Columns[],5,0)=0,"","-&gt;"&amp;VLOOKUP(TableFields[Field],Columns[],5,0))</f>
        <v>-&gt;nullable()</v>
      </c>
      <c r="G31" s="69" t="str">
        <f>IF(VLOOKUP(TableFields[Field],Columns[],6,0)=0,"","-&gt;"&amp;VLOOKUP(TableFields[Field],Columns[],6,0))</f>
        <v>-&gt;default('Active')</v>
      </c>
      <c r="H31" s="69" t="str">
        <f>IF(VLOOKUP(TableFields[Field],Columns[],7,0)=0,"","-&gt;"&amp;VLOOKUP(TableFields[Field],Columns[],7,0))</f>
        <v/>
      </c>
      <c r="I31" s="69" t="str">
        <f>IF(VLOOKUP(TableFields[Field],Columns[],8,0)=0,"","-&gt;"&amp;VLOOKUP(TableFields[Field],Columns[],8,0))</f>
        <v/>
      </c>
      <c r="J31" s="69" t="str">
        <f>IF(VLOOKUP(TableFields[Field],Columns[],9,0)=0,"","-&gt;"&amp;VLOOKUP(TableFields[Field],Columns[],9,0))</f>
        <v/>
      </c>
      <c r="K31" s="69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2" spans="1:11" hidden="1" x14ac:dyDescent="0.25">
      <c r="A32" s="69" t="s">
        <v>808</v>
      </c>
      <c r="B32" s="69" t="s">
        <v>288</v>
      </c>
      <c r="C32" s="69" t="str">
        <f>VLOOKUP(TableFields[Field],Columns[],2,0)&amp;"("</f>
        <v>audit(</v>
      </c>
      <c r="D32" s="69" t="str">
        <f>IF(VLOOKUP(TableFields[Field],Columns[],3,0)&lt;&gt;"","'"&amp;VLOOKUP(TableFields[Field],Columns[],3,0)&amp;"'","")</f>
        <v/>
      </c>
      <c r="E32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" s="69" t="str">
        <f>IF(VLOOKUP(TableFields[Field],Columns[],5,0)=0,"","-&gt;"&amp;VLOOKUP(TableFields[Field],Columns[],5,0))</f>
        <v/>
      </c>
      <c r="G32" s="69" t="str">
        <f>IF(VLOOKUP(TableFields[Field],Columns[],6,0)=0,"","-&gt;"&amp;VLOOKUP(TableFields[Field],Columns[],6,0))</f>
        <v/>
      </c>
      <c r="H32" s="69" t="str">
        <f>IF(VLOOKUP(TableFields[Field],Columns[],7,0)=0,"","-&gt;"&amp;VLOOKUP(TableFields[Field],Columns[],7,0))</f>
        <v/>
      </c>
      <c r="I32" s="69" t="str">
        <f>IF(VLOOKUP(TableFields[Field],Columns[],8,0)=0,"","-&gt;"&amp;VLOOKUP(TableFields[Field],Columns[],8,0))</f>
        <v/>
      </c>
      <c r="J32" s="69" t="str">
        <f>IF(VLOOKUP(TableFields[Field],Columns[],9,0)=0,"","-&gt;"&amp;VLOOKUP(TableFields[Field],Columns[],9,0))</f>
        <v/>
      </c>
      <c r="K32" s="69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" spans="1:11" x14ac:dyDescent="0.25">
      <c r="A33" s="69" t="s">
        <v>809</v>
      </c>
      <c r="B33" s="69" t="s">
        <v>21</v>
      </c>
      <c r="C33" s="69" t="str">
        <f>VLOOKUP(TableFields[Field],Columns[],2,0)&amp;"("</f>
        <v>bigIncrements(</v>
      </c>
      <c r="D33" s="69" t="str">
        <f>IF(VLOOKUP(TableFields[Field],Columns[],3,0)&lt;&gt;"","'"&amp;VLOOKUP(TableFields[Field],Columns[],3,0)&amp;"'","")</f>
        <v>'id'</v>
      </c>
      <c r="E33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" s="69" t="str">
        <f>IF(VLOOKUP(TableFields[Field],Columns[],5,0)=0,"","-&gt;"&amp;VLOOKUP(TableFields[Field],Columns[],5,0))</f>
        <v/>
      </c>
      <c r="G33" s="69" t="str">
        <f>IF(VLOOKUP(TableFields[Field],Columns[],6,0)=0,"","-&gt;"&amp;VLOOKUP(TableFields[Field],Columns[],6,0))</f>
        <v/>
      </c>
      <c r="H33" s="69" t="str">
        <f>IF(VLOOKUP(TableFields[Field],Columns[],7,0)=0,"","-&gt;"&amp;VLOOKUP(TableFields[Field],Columns[],7,0))</f>
        <v/>
      </c>
      <c r="I33" s="69" t="str">
        <f>IF(VLOOKUP(TableFields[Field],Columns[],8,0)=0,"","-&gt;"&amp;VLOOKUP(TableFields[Field],Columns[],8,0))</f>
        <v/>
      </c>
      <c r="J33" s="69" t="str">
        <f>IF(VLOOKUP(TableFields[Field],Columns[],9,0)=0,"","-&gt;"&amp;VLOOKUP(TableFields[Field],Columns[],9,0))</f>
        <v/>
      </c>
      <c r="K33" s="69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" spans="1:11" x14ac:dyDescent="0.25">
      <c r="A34" s="69" t="s">
        <v>809</v>
      </c>
      <c r="B34" s="69" t="s">
        <v>819</v>
      </c>
      <c r="C34" s="69" t="str">
        <f>VLOOKUP(TableFields[Field],Columns[],2,0)&amp;"("</f>
        <v>foreignCascade(</v>
      </c>
      <c r="D34" s="69" t="str">
        <f>IF(VLOOKUP(TableFields[Field],Columns[],3,0)&lt;&gt;"","'"&amp;VLOOKUP(TableFields[Field],Columns[],3,0)&amp;"'","")</f>
        <v>'user'</v>
      </c>
      <c r="E34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" s="69" t="str">
        <f>IF(VLOOKUP(TableFields[Field],Columns[],5,0)=0,"","-&gt;"&amp;VLOOKUP(TableFields[Field],Columns[],5,0))</f>
        <v/>
      </c>
      <c r="G34" s="69" t="str">
        <f>IF(VLOOKUP(TableFields[Field],Columns[],6,0)=0,"","-&gt;"&amp;VLOOKUP(TableFields[Field],Columns[],6,0))</f>
        <v/>
      </c>
      <c r="H34" s="69" t="str">
        <f>IF(VLOOKUP(TableFields[Field],Columns[],7,0)=0,"","-&gt;"&amp;VLOOKUP(TableFields[Field],Columns[],7,0))</f>
        <v/>
      </c>
      <c r="I34" s="69" t="str">
        <f>IF(VLOOKUP(TableFields[Field],Columns[],8,0)=0,"","-&gt;"&amp;VLOOKUP(TableFields[Field],Columns[],8,0))</f>
        <v/>
      </c>
      <c r="J34" s="69" t="str">
        <f>IF(VLOOKUP(TableFields[Field],Columns[],9,0)=0,"","-&gt;"&amp;VLOOKUP(TableFields[Field],Columns[],9,0))</f>
        <v/>
      </c>
      <c r="K34" s="69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5" spans="1:11" x14ac:dyDescent="0.25">
      <c r="A35" s="69" t="s">
        <v>809</v>
      </c>
      <c r="B35" s="69" t="s">
        <v>820</v>
      </c>
      <c r="C35" s="69" t="str">
        <f>VLOOKUP(TableFields[Field],Columns[],2,0)&amp;"("</f>
        <v>foreignCascade(</v>
      </c>
      <c r="D35" s="69" t="str">
        <f>IF(VLOOKUP(TableFields[Field],Columns[],3,0)&lt;&gt;"","'"&amp;VLOOKUP(TableFields[Field],Columns[],3,0)&amp;"'","")</f>
        <v>'category'</v>
      </c>
      <c r="E35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'categories')</v>
      </c>
      <c r="F35" s="69" t="str">
        <f>IF(VLOOKUP(TableFields[Field],Columns[],5,0)=0,"","-&gt;"&amp;VLOOKUP(TableFields[Field],Columns[],5,0))</f>
        <v/>
      </c>
      <c r="G35" s="69" t="str">
        <f>IF(VLOOKUP(TableFields[Field],Columns[],6,0)=0,"","-&gt;"&amp;VLOOKUP(TableFields[Field],Columns[],6,0))</f>
        <v/>
      </c>
      <c r="H35" s="69" t="str">
        <f>IF(VLOOKUP(TableFields[Field],Columns[],7,0)=0,"","-&gt;"&amp;VLOOKUP(TableFields[Field],Columns[],7,0))</f>
        <v/>
      </c>
      <c r="I35" s="69" t="str">
        <f>IF(VLOOKUP(TableFields[Field],Columns[],8,0)=0,"","-&gt;"&amp;VLOOKUP(TableFields[Field],Columns[],8,0))</f>
        <v/>
      </c>
      <c r="J35" s="69" t="str">
        <f>IF(VLOOKUP(TableFields[Field],Columns[],9,0)=0,"","-&gt;"&amp;VLOOKUP(TableFields[Field],Columns[],9,0))</f>
        <v/>
      </c>
      <c r="K35" s="69" t="str">
        <f>"$table-&gt;"&amp;TableFields[Type]&amp;TableFields[Name]&amp;TableFields[Arg2]&amp;TableFields[Method1]&amp;TableFields[Method2]&amp;TableFields[Method3]&amp;TableFields[Method4]&amp;TableFields[Method5]&amp;";"</f>
        <v>$table-&gt;foreignCascade('category', 'categories');</v>
      </c>
    </row>
    <row r="36" spans="1:11" x14ac:dyDescent="0.25">
      <c r="A36" s="69" t="s">
        <v>809</v>
      </c>
      <c r="B36" s="69" t="s">
        <v>833</v>
      </c>
      <c r="C36" s="69" t="str">
        <f>VLOOKUP(TableFields[Field],Columns[],2,0)&amp;"("</f>
        <v>foreignNullable(</v>
      </c>
      <c r="D36" s="69" t="str">
        <f>IF(VLOOKUP(TableFields[Field],Columns[],3,0)&lt;&gt;"","'"&amp;VLOOKUP(TableFields[Field],Columns[],3,0)&amp;"'","")</f>
        <v>'customer'</v>
      </c>
      <c r="E36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'customers')</v>
      </c>
      <c r="F36" s="69" t="str">
        <f>IF(VLOOKUP(TableFields[Field],Columns[],5,0)=0,"","-&gt;"&amp;VLOOKUP(TableFields[Field],Columns[],5,0))</f>
        <v/>
      </c>
      <c r="G36" s="69" t="str">
        <f>IF(VLOOKUP(TableFields[Field],Columns[],6,0)=0,"","-&gt;"&amp;VLOOKUP(TableFields[Field],Columns[],6,0))</f>
        <v/>
      </c>
      <c r="H36" s="69" t="str">
        <f>IF(VLOOKUP(TableFields[Field],Columns[],7,0)=0,"","-&gt;"&amp;VLOOKUP(TableFields[Field],Columns[],7,0))</f>
        <v/>
      </c>
      <c r="I36" s="69" t="str">
        <f>IF(VLOOKUP(TableFields[Field],Columns[],8,0)=0,"","-&gt;"&amp;VLOOKUP(TableFields[Field],Columns[],8,0))</f>
        <v/>
      </c>
      <c r="J36" s="69" t="str">
        <f>IF(VLOOKUP(TableFields[Field],Columns[],9,0)=0,"","-&gt;"&amp;VLOOKUP(TableFields[Field],Columns[],9,0))</f>
        <v/>
      </c>
      <c r="K36" s="69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'customers');</v>
      </c>
    </row>
    <row r="37" spans="1:11" x14ac:dyDescent="0.25">
      <c r="A37" s="69" t="s">
        <v>809</v>
      </c>
      <c r="B37" s="69" t="s">
        <v>839</v>
      </c>
      <c r="C37" s="69" t="str">
        <f>VLOOKUP(TableFields[Field],Columns[],2,0)&amp;"("</f>
        <v>foreignNullable(</v>
      </c>
      <c r="D37" s="69" t="str">
        <f>IF(VLOOKUP(TableFields[Field],Columns[],3,0)&lt;&gt;"","'"&amp;VLOOKUP(TableFields[Field],Columns[],3,0)&amp;"'","")</f>
        <v>'token'</v>
      </c>
      <c r="E37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'tokens')</v>
      </c>
      <c r="F37" s="69" t="str">
        <f>IF(VLOOKUP(TableFields[Field],Columns[],5,0)=0,"","-&gt;"&amp;VLOOKUP(TableFields[Field],Columns[],5,0))</f>
        <v/>
      </c>
      <c r="G37" s="69" t="str">
        <f>IF(VLOOKUP(TableFields[Field],Columns[],6,0)=0,"","-&gt;"&amp;VLOOKUP(TableFields[Field],Columns[],6,0))</f>
        <v/>
      </c>
      <c r="H37" s="69" t="str">
        <f>IF(VLOOKUP(TableFields[Field],Columns[],7,0)=0,"","-&gt;"&amp;VLOOKUP(TableFields[Field],Columns[],7,0))</f>
        <v/>
      </c>
      <c r="I37" s="69" t="str">
        <f>IF(VLOOKUP(TableFields[Field],Columns[],8,0)=0,"","-&gt;"&amp;VLOOKUP(TableFields[Field],Columns[],8,0))</f>
        <v/>
      </c>
      <c r="J37" s="69" t="str">
        <f>IF(VLOOKUP(TableFields[Field],Columns[],9,0)=0,"","-&gt;"&amp;VLOOKUP(TableFields[Field],Columns[],9,0))</f>
        <v/>
      </c>
      <c r="K37" s="69" t="str">
        <f>"$table-&gt;"&amp;TableFields[Type]&amp;TableFields[Name]&amp;TableFields[Arg2]&amp;TableFields[Method1]&amp;TableFields[Method2]&amp;TableFields[Method3]&amp;TableFields[Method4]&amp;TableFields[Method5]&amp;";"</f>
        <v>$table-&gt;foreignNullable('token', 'tokens');</v>
      </c>
    </row>
    <row r="38" spans="1:11" x14ac:dyDescent="0.25">
      <c r="A38" s="69" t="s">
        <v>809</v>
      </c>
      <c r="B38" s="69" t="s">
        <v>827</v>
      </c>
      <c r="C38" s="69" t="str">
        <f>VLOOKUP(TableFields[Field],Columns[],2,0)&amp;"("</f>
        <v>foreignCascade(</v>
      </c>
      <c r="D38" s="69" t="str">
        <f>IF(VLOOKUP(TableFields[Field],Columns[],3,0)&lt;&gt;"","'"&amp;VLOOKUP(TableFields[Field],Columns[],3,0)&amp;"'","")</f>
        <v>'counter'</v>
      </c>
      <c r="E38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'counters')</v>
      </c>
      <c r="F38" s="69" t="str">
        <f>IF(VLOOKUP(TableFields[Field],Columns[],5,0)=0,"","-&gt;"&amp;VLOOKUP(TableFields[Field],Columns[],5,0))</f>
        <v/>
      </c>
      <c r="G38" s="69" t="str">
        <f>IF(VLOOKUP(TableFields[Field],Columns[],6,0)=0,"","-&gt;"&amp;VLOOKUP(TableFields[Field],Columns[],6,0))</f>
        <v/>
      </c>
      <c r="H38" s="69" t="str">
        <f>IF(VLOOKUP(TableFields[Field],Columns[],7,0)=0,"","-&gt;"&amp;VLOOKUP(TableFields[Field],Columns[],7,0))</f>
        <v/>
      </c>
      <c r="I38" s="69" t="str">
        <f>IF(VLOOKUP(TableFields[Field],Columns[],8,0)=0,"","-&gt;"&amp;VLOOKUP(TableFields[Field],Columns[],8,0))</f>
        <v/>
      </c>
      <c r="J38" s="69" t="str">
        <f>IF(VLOOKUP(TableFields[Field],Columns[],9,0)=0,"","-&gt;"&amp;VLOOKUP(TableFields[Field],Columns[],9,0))</f>
        <v/>
      </c>
      <c r="K38" s="69" t="str">
        <f>"$table-&gt;"&amp;TableFields[Type]&amp;TableFields[Name]&amp;TableFields[Arg2]&amp;TableFields[Method1]&amp;TableFields[Method2]&amp;TableFields[Method3]&amp;TableFields[Method4]&amp;TableFields[Method5]&amp;";"</f>
        <v>$table-&gt;foreignCascade('counter', 'counters');</v>
      </c>
    </row>
    <row r="39" spans="1:11" x14ac:dyDescent="0.25">
      <c r="A39" s="69" t="s">
        <v>809</v>
      </c>
      <c r="B39" s="69" t="s">
        <v>837</v>
      </c>
      <c r="C39" s="69" t="str">
        <f>VLOOKUP(TableFields[Field],Columns[],2,0)&amp;"("</f>
        <v>dateTime(</v>
      </c>
      <c r="D39" s="69" t="str">
        <f>IF(VLOOKUP(TableFields[Field],Columns[],3,0)&lt;&gt;"","'"&amp;VLOOKUP(TableFields[Field],Columns[],3,0)&amp;"'","")</f>
        <v>'start_time'</v>
      </c>
      <c r="E39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" s="69" t="str">
        <f>IF(VLOOKUP(TableFields[Field],Columns[],5,0)=0,"","-&gt;"&amp;VLOOKUP(TableFields[Field],Columns[],5,0))</f>
        <v/>
      </c>
      <c r="G39" s="69" t="str">
        <f>IF(VLOOKUP(TableFields[Field],Columns[],6,0)=0,"","-&gt;"&amp;VLOOKUP(TableFields[Field],Columns[],6,0))</f>
        <v/>
      </c>
      <c r="H39" s="69" t="str">
        <f>IF(VLOOKUP(TableFields[Field],Columns[],7,0)=0,"","-&gt;"&amp;VLOOKUP(TableFields[Field],Columns[],7,0))</f>
        <v/>
      </c>
      <c r="I39" s="69" t="str">
        <f>IF(VLOOKUP(TableFields[Field],Columns[],8,0)=0,"","-&gt;"&amp;VLOOKUP(TableFields[Field],Columns[],8,0))</f>
        <v/>
      </c>
      <c r="J39" s="69" t="str">
        <f>IF(VLOOKUP(TableFields[Field],Columns[],9,0)=0,"","-&gt;"&amp;VLOOKUP(TableFields[Field],Columns[],9,0))</f>
        <v/>
      </c>
      <c r="K39" s="69" t="str">
        <f>"$table-&gt;"&amp;TableFields[Type]&amp;TableFields[Name]&amp;TableFields[Arg2]&amp;TableFields[Method1]&amp;TableFields[Method2]&amp;TableFields[Method3]&amp;TableFields[Method4]&amp;TableFields[Method5]&amp;";"</f>
        <v>$table-&gt;dateTime('start_time');</v>
      </c>
    </row>
    <row r="40" spans="1:11" x14ac:dyDescent="0.25">
      <c r="A40" s="69" t="s">
        <v>809</v>
      </c>
      <c r="B40" s="69" t="s">
        <v>838</v>
      </c>
      <c r="C40" s="69" t="str">
        <f>VLOOKUP(TableFields[Field],Columns[],2,0)&amp;"("</f>
        <v>dateTime(</v>
      </c>
      <c r="D40" s="69" t="str">
        <f>IF(VLOOKUP(TableFields[Field],Columns[],3,0)&lt;&gt;"","'"&amp;VLOOKUP(TableFields[Field],Columns[],3,0)&amp;"'","")</f>
        <v>'end_time'</v>
      </c>
      <c r="E40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" s="69" t="str">
        <f>IF(VLOOKUP(TableFields[Field],Columns[],5,0)=0,"","-&gt;"&amp;VLOOKUP(TableFields[Field],Columns[],5,0))</f>
        <v/>
      </c>
      <c r="G40" s="69" t="str">
        <f>IF(VLOOKUP(TableFields[Field],Columns[],6,0)=0,"","-&gt;"&amp;VLOOKUP(TableFields[Field],Columns[],6,0))</f>
        <v/>
      </c>
      <c r="H40" s="69" t="str">
        <f>IF(VLOOKUP(TableFields[Field],Columns[],7,0)=0,"","-&gt;"&amp;VLOOKUP(TableFields[Field],Columns[],7,0))</f>
        <v/>
      </c>
      <c r="I40" s="69" t="str">
        <f>IF(VLOOKUP(TableFields[Field],Columns[],8,0)=0,"","-&gt;"&amp;VLOOKUP(TableFields[Field],Columns[],8,0))</f>
        <v/>
      </c>
      <c r="J40" s="69" t="str">
        <f>IF(VLOOKUP(TableFields[Field],Columns[],9,0)=0,"","-&gt;"&amp;VLOOKUP(TableFields[Field],Columns[],9,0))</f>
        <v/>
      </c>
      <c r="K40" s="69" t="str">
        <f>"$table-&gt;"&amp;TableFields[Type]&amp;TableFields[Name]&amp;TableFields[Arg2]&amp;TableFields[Method1]&amp;TableFields[Method2]&amp;TableFields[Method3]&amp;TableFields[Method4]&amp;TableFields[Method5]&amp;";"</f>
        <v>$table-&gt;dateTime('end_time');</v>
      </c>
    </row>
    <row r="41" spans="1:11" x14ac:dyDescent="0.25">
      <c r="A41" s="69" t="s">
        <v>809</v>
      </c>
      <c r="B41" s="69" t="s">
        <v>288</v>
      </c>
      <c r="C41" s="69" t="str">
        <f>VLOOKUP(TableFields[Field],Columns[],2,0)&amp;"("</f>
        <v>audit(</v>
      </c>
      <c r="D41" s="69" t="str">
        <f>IF(VLOOKUP(TableFields[Field],Columns[],3,0)&lt;&gt;"","'"&amp;VLOOKUP(TableFields[Field],Columns[],3,0)&amp;"'","")</f>
        <v/>
      </c>
      <c r="E41" s="6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" s="69" t="str">
        <f>IF(VLOOKUP(TableFields[Field],Columns[],5,0)=0,"","-&gt;"&amp;VLOOKUP(TableFields[Field],Columns[],5,0))</f>
        <v/>
      </c>
      <c r="G41" s="69" t="str">
        <f>IF(VLOOKUP(TableFields[Field],Columns[],6,0)=0,"","-&gt;"&amp;VLOOKUP(TableFields[Field],Columns[],6,0))</f>
        <v/>
      </c>
      <c r="H41" s="69" t="str">
        <f>IF(VLOOKUP(TableFields[Field],Columns[],7,0)=0,"","-&gt;"&amp;VLOOKUP(TableFields[Field],Columns[],7,0))</f>
        <v/>
      </c>
      <c r="I41" s="69" t="str">
        <f>IF(VLOOKUP(TableFields[Field],Columns[],8,0)=0,"","-&gt;"&amp;VLOOKUP(TableFields[Field],Columns[],8,0))</f>
        <v/>
      </c>
      <c r="J41" s="69" t="str">
        <f>IF(VLOOKUP(TableFields[Field],Columns[],9,0)=0,"","-&gt;"&amp;VLOOKUP(TableFields[Field],Columns[],9,0))</f>
        <v/>
      </c>
      <c r="K41" s="69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1" spans="1:11" s="20" customFormat="1" x14ac:dyDescent="0.25">
      <c r="A61"/>
      <c r="B61"/>
      <c r="C61"/>
      <c r="D61"/>
      <c r="E61"/>
      <c r="F61"/>
      <c r="G61"/>
      <c r="H61"/>
      <c r="I61"/>
      <c r="J61"/>
      <c r="K61"/>
    </row>
    <row r="306" spans="1:11" s="20" customFormat="1" x14ac:dyDescent="0.25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:B41">
      <formula1>AvailableFields</formula1>
    </dataValidation>
    <dataValidation type="list" allowBlank="1" showInputMessage="1" showErrorMessage="1" sqref="A2:A41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B1" workbookViewId="0">
      <selection activeCell="D11" sqref="D11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60" t="str">
        <f>TableData[Table Name]&amp;"-"&amp;(COUNTIF($B$1:TableData[[#This Row],[Table Name]],TableData[[#This Row],[Table Name]])-1)</f>
        <v>Groups-0</v>
      </c>
      <c r="B2" s="74" t="s">
        <v>76</v>
      </c>
      <c r="C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74" t="s">
        <v>23</v>
      </c>
      <c r="E2" s="74" t="s">
        <v>24</v>
      </c>
      <c r="F2" s="74" t="s">
        <v>25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</row>
    <row r="3" spans="1:18" x14ac:dyDescent="0.25">
      <c r="A3" s="60" t="str">
        <f>TableData[Table Name]&amp;"-"&amp;(COUNTIF($B$1:TableData[[#This Row],[Table Name]],TableData[[#This Row],[Table Name]])-1)</f>
        <v>Roles-0</v>
      </c>
      <c r="B3" s="7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74" t="s">
        <v>23</v>
      </c>
      <c r="E3" s="74" t="s">
        <v>24</v>
      </c>
      <c r="F3" s="74" t="s">
        <v>25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x14ac:dyDescent="0.25">
      <c r="A4" s="60" t="str">
        <f>TableData[Table Name]&amp;"-"&amp;(COUNTIF($B$1:TableData[[#This Row],[Table Name]],TableData[[#This Row],[Table Name]])-1)</f>
        <v>Group Roles-0</v>
      </c>
      <c r="B4" s="74" t="s">
        <v>93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74" t="s">
        <v>63</v>
      </c>
      <c r="E4" s="74" t="s">
        <v>65</v>
      </c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</row>
    <row r="5" spans="1:18" x14ac:dyDescent="0.25">
      <c r="A5" s="60" t="str">
        <f>TableData[Table Name]&amp;"-"&amp;(COUNTIF($B$1:TableData[[#This Row],[Table Name]],TableData[[#This Row],[Table Name]])-1)</f>
        <v>Resource Roles-0</v>
      </c>
      <c r="B5" s="74" t="s">
        <v>94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74" t="s">
        <v>22</v>
      </c>
      <c r="E5" s="74" t="s">
        <v>65</v>
      </c>
      <c r="F5" s="74" t="s">
        <v>874</v>
      </c>
      <c r="G5" s="74" t="s">
        <v>875</v>
      </c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8" x14ac:dyDescent="0.25">
      <c r="A6" s="60" t="str">
        <f>TableData[Table Name]&amp;"-"&amp;(COUNTIF($B$1:TableData[[#This Row],[Table Name]],TableData[[#This Row],[Table Name]])-1)</f>
        <v>Groups-1</v>
      </c>
      <c r="B6" s="74" t="s">
        <v>76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501101</v>
      </c>
      <c r="D6" s="74" t="s">
        <v>876</v>
      </c>
      <c r="E6" s="74" t="s">
        <v>877</v>
      </c>
      <c r="F6" s="74" t="s">
        <v>878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</row>
    <row r="7" spans="1:18" x14ac:dyDescent="0.25">
      <c r="A7" s="60" t="str">
        <f>TableData[Table Name]&amp;"-"&amp;(COUNTIF($B$1:TableData[[#This Row],[Table Name]],TableData[[#This Row],[Table Name]])-1)</f>
        <v>Roles-1</v>
      </c>
      <c r="B7" s="74" t="s">
        <v>79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503101</v>
      </c>
      <c r="D7" s="74" t="s">
        <v>876</v>
      </c>
      <c r="E7" s="74" t="s">
        <v>879</v>
      </c>
      <c r="F7" s="74" t="s">
        <v>878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</row>
    <row r="8" spans="1:18" x14ac:dyDescent="0.25">
      <c r="A8" s="60" t="str">
        <f>TableData[Table Name]&amp;"-"&amp;(COUNTIF($B$1:TableData[[#This Row],[Table Name]],TableData[[#This Row],[Table Name]])-1)</f>
        <v>Group Roles-1</v>
      </c>
      <c r="B8" s="74" t="s">
        <v>93</v>
      </c>
      <c r="C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504101</v>
      </c>
      <c r="D8" s="74">
        <v>501101</v>
      </c>
      <c r="E8" s="74">
        <v>503101</v>
      </c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</row>
    <row r="9" spans="1:18" x14ac:dyDescent="0.25">
      <c r="A9" s="60" t="str">
        <f>TableData[Table Name]&amp;"-"&amp;(COUNTIF($B$1:TableData[[#This Row],[Table Name]],TableData[[#This Row],[Table Name]])-1)</f>
        <v>Resource Roles-1</v>
      </c>
      <c r="B9" s="74" t="s">
        <v>94</v>
      </c>
      <c r="C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506101</v>
      </c>
      <c r="D9" s="74">
        <v>505107</v>
      </c>
      <c r="E9" s="60">
        <v>503101</v>
      </c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</row>
    <row r="10" spans="1:18" x14ac:dyDescent="0.25">
      <c r="A10" s="60" t="str">
        <f>TableData[Table Name]&amp;"-"&amp;(COUNTIF($B$1:TableData[[#This Row],[Table Name]],TableData[[#This Row],[Table Name]])-1)</f>
        <v>Resource Roles-2</v>
      </c>
      <c r="B10" s="74" t="s">
        <v>94</v>
      </c>
      <c r="C1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506102</v>
      </c>
      <c r="D10" s="74">
        <v>505101</v>
      </c>
      <c r="E10" s="60">
        <v>3</v>
      </c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</row>
    <row r="11" spans="1:18" x14ac:dyDescent="0.25">
      <c r="A11" s="60" t="str">
        <f>TableData[Table Name]&amp;"-"&amp;(COUNTIF($B$1:TableData[[#This Row],[Table Name]],TableData[[#This Row],[Table Name]])-1)</f>
        <v>Resource Roles-3</v>
      </c>
      <c r="B11" s="74" t="s">
        <v>94</v>
      </c>
      <c r="C1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506103</v>
      </c>
      <c r="D11" s="74">
        <v>505102</v>
      </c>
      <c r="E11" s="60">
        <v>3</v>
      </c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</row>
    <row r="12" spans="1:18" x14ac:dyDescent="0.25">
      <c r="A12" s="60" t="str">
        <f>TableData[Table Name]&amp;"-"&amp;(COUNTIF($B$1:TableData[[#This Row],[Table Name]],TableData[[#This Row],[Table Name]])-1)</f>
        <v>Resource Roles-4</v>
      </c>
      <c r="B12" s="74" t="s">
        <v>94</v>
      </c>
      <c r="C1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506104</v>
      </c>
      <c r="D12" s="74">
        <v>505103</v>
      </c>
      <c r="E12" s="60">
        <v>3</v>
      </c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</row>
    <row r="13" spans="1:18" x14ac:dyDescent="0.25">
      <c r="A13" s="60" t="str">
        <f>TableData[Table Name]&amp;"-"&amp;(COUNTIF($B$1:TableData[[#This Row],[Table Name]],TableData[[#This Row],[Table Name]])-1)</f>
        <v>Resource Roles-5</v>
      </c>
      <c r="B13" s="74" t="s">
        <v>94</v>
      </c>
      <c r="C1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506105</v>
      </c>
      <c r="D13" s="74">
        <v>505104</v>
      </c>
      <c r="E13" s="60">
        <v>3</v>
      </c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</row>
    <row r="14" spans="1:18" x14ac:dyDescent="0.25">
      <c r="A14" s="60" t="str">
        <f>TableData[Table Name]&amp;"-"&amp;(COUNTIF($B$1:TableData[[#This Row],[Table Name]],TableData[[#This Row],[Table Name]])-1)</f>
        <v>Resource Roles-6</v>
      </c>
      <c r="B14" s="74" t="s">
        <v>94</v>
      </c>
      <c r="C1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506106</v>
      </c>
      <c r="D14" s="74">
        <v>505105</v>
      </c>
      <c r="E14" s="60">
        <v>3</v>
      </c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</row>
    <row r="15" spans="1:18" x14ac:dyDescent="0.25">
      <c r="A15" s="60" t="str">
        <f>TableData[Table Name]&amp;"-"&amp;(COUNTIF($B$1:TableData[[#This Row],[Table Name]],TableData[[#This Row],[Table Name]])-1)</f>
        <v>Resource Roles-7</v>
      </c>
      <c r="B15" s="74" t="s">
        <v>94</v>
      </c>
      <c r="C1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506107</v>
      </c>
      <c r="D15" s="74">
        <v>505106</v>
      </c>
      <c r="E15" s="60">
        <v>3</v>
      </c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</row>
    <row r="16" spans="1:18" x14ac:dyDescent="0.25">
      <c r="A16" s="60" t="str">
        <f>TableData[Table Name]&amp;"-"&amp;(COUNTIF($B$1:TableData[[#This Row],[Table Name]],TableData[[#This Row],[Table Name]])-1)</f>
        <v>Resource Roles-8</v>
      </c>
      <c r="B16" s="74" t="s">
        <v>94</v>
      </c>
      <c r="C1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506108</v>
      </c>
      <c r="D16" s="74">
        <v>505107</v>
      </c>
      <c r="E16" s="60">
        <v>3</v>
      </c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</row>
    <row r="17" spans="1:18" x14ac:dyDescent="0.25">
      <c r="A17" s="60" t="str">
        <f>TableData[Table Name]&amp;"-"&amp;(COUNTIF($B$1:TableData[[#This Row],[Table Name]],TableData[[#This Row],[Table Name]])-1)</f>
        <v>Resource Roles-9</v>
      </c>
      <c r="B17" s="74" t="s">
        <v>94</v>
      </c>
      <c r="C1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506109</v>
      </c>
      <c r="D17" s="74">
        <v>505108</v>
      </c>
      <c r="E17" s="60">
        <v>3</v>
      </c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8" sqref="B8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798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796</v>
      </c>
      <c r="I2" s="11">
        <v>500100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AUTO_INCREMENT=500101');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500100');\DB::statement('ALTER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796</v>
      </c>
      <c r="I3" s="11">
        <v>501100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AUTO_INCREMENT=501101');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501100');\DB::statement('ALTER TABLE `__groups` AUTO_INCREMENT=1');</v>
      </c>
    </row>
    <row r="4" spans="1:11" x14ac:dyDescent="0.25">
      <c r="A4" s="5" t="s">
        <v>799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796</v>
      </c>
      <c r="I4" s="11">
        <v>502100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AUTO_INCREMENT=502101');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502100');\DB::statement('ALTER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796</v>
      </c>
      <c r="I5" s="11">
        <v>503100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AUTO_INCREMENT=503101');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503100');\DB::statement('ALTER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796</v>
      </c>
      <c r="I6" s="11">
        <v>504100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AUTO_INCREMENT=504101');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504100');\DB::statement('ALTER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796</v>
      </c>
      <c r="I7" s="11">
        <v>505100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AUTO_INCREMENT=505101');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505100');\DB::statement('ALTER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796</v>
      </c>
      <c r="I8" s="11">
        <v>506100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AUTO_INCREMENT=506101');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506100');\DB::statement('ALTER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796</v>
      </c>
      <c r="I9" s="11">
        <v>507100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AUTO_INCREMENT=507101');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507100');\DB::statement('ALTER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796</v>
      </c>
      <c r="I10" s="11">
        <v>508100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AUTO_INCREMENT=508101');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508100');\DB::statement('ALTER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796</v>
      </c>
      <c r="I11" s="11">
        <v>509100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AUTO_INCREMENT=509101');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509100');\DB::statement('ALTER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796</v>
      </c>
      <c r="I12" s="11">
        <v>510100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AUTO_INCREMENT=510101');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510100');\DB::statement('ALTER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796</v>
      </c>
      <c r="I13" s="11">
        <v>511100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AUTO_INCREMENT=511101');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511100');\DB::statement('ALTER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796</v>
      </c>
      <c r="I14" s="11">
        <v>512100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AUTO_INCREMENT=512101');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512100');\DB::statement('ALTER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796</v>
      </c>
      <c r="I15" s="11">
        <v>513100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AUTO_INCREMENT=513101');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513100');\DB::statement('ALTER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796</v>
      </c>
      <c r="I16" s="11">
        <v>514100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AUTO_INCREMENT=514101');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514100');\DB::statement('ALTER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796</v>
      </c>
      <c r="I17" s="11">
        <v>515100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AUTO_INCREMENT=515101');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515100');\DB::statement('ALTER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796</v>
      </c>
      <c r="I18" s="11">
        <v>516100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AUTO_INCREMENT=516101');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516100');\DB::statement('ALTER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796</v>
      </c>
      <c r="I19" s="11">
        <v>517100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AUTO_INCREMENT=517101');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517100');\DB::statement('ALTER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796</v>
      </c>
      <c r="I20" s="11">
        <v>518100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AUTO_INCREMENT=518101');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518100');\DB::statement('ALTER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796</v>
      </c>
      <c r="I21" s="11">
        <v>519100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AUTO_INCREMENT=519101');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519100');\DB::statement('ALTER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796</v>
      </c>
      <c r="I22" s="11">
        <v>520100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AUTO_INCREMENT=520101');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520100');\DB::statement('ALTER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796</v>
      </c>
      <c r="I23" s="11">
        <v>521100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AUTO_INCREMENT=521101');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521100');\DB::statement('ALTER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796</v>
      </c>
      <c r="I24" s="11">
        <v>522100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AUTO_INCREMENT=522101');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522100');\DB::statement('ALTER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796</v>
      </c>
      <c r="I25" s="11">
        <v>523100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AUTO_INCREMENT=523101');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523100');\DB::statement('ALTER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796</v>
      </c>
      <c r="I26" s="11">
        <v>524100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AUTO_INCREMENT=524101');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524100');\DB::statement('ALTER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796</v>
      </c>
      <c r="I27" s="11">
        <v>525100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AUTO_INCREMENT=525101');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525100');\DB::statement('ALTER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796</v>
      </c>
      <c r="I28" s="11">
        <v>526100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AUTO_INCREMENT=526101');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526100');\DB::statement('ALTER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796</v>
      </c>
      <c r="I29" s="11">
        <v>527100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AUTO_INCREMENT=527101');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527100');\DB::statement('ALTER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796</v>
      </c>
      <c r="I30" s="11">
        <v>528100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AUTO_INCREMENT=528101');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528100');\DB::statement('ALTER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796</v>
      </c>
      <c r="I31" s="11">
        <v>529100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AUTO_INCREMENT=529101');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529100');\DB::statement('ALTER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545</v>
      </c>
      <c r="G32" s="11">
        <v>3</v>
      </c>
      <c r="H32" s="6" t="s">
        <v>796</v>
      </c>
      <c r="I32" s="11">
        <v>530100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AUTO_INCREMENT=530101');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530100');\DB::statement('ALTER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796</v>
      </c>
      <c r="I33" s="11">
        <v>531100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AUTO_INCREMENT=531101');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531100');\DB::statement('ALTER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796</v>
      </c>
      <c r="I34" s="11">
        <v>532100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AUTO_INCREMENT=532101');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532100');\DB::statement('ALTER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800</v>
      </c>
      <c r="G35" s="11">
        <v>1</v>
      </c>
      <c r="H35" s="6" t="s">
        <v>796</v>
      </c>
      <c r="I35" s="11">
        <v>533100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AUTO_INCREMENT=533101');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533100');\DB::statement('ALTER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796</v>
      </c>
      <c r="I36" s="11">
        <v>534100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AUTO_INCREMENT=534101');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534100');\DB::statement('ALTER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796</v>
      </c>
      <c r="I37" s="11">
        <v>535100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AUTO_INCREMENT=535101');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535100');\DB::statement('ALTER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796</v>
      </c>
      <c r="I38" s="11">
        <v>536100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AUTO_INCREMENT=536101');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536100');\DB::statement('ALTER TABLE `__resource_action_data` AUTO_INCREMENT=1');</v>
      </c>
    </row>
    <row r="39" spans="1:11" x14ac:dyDescent="0.25">
      <c r="A39" s="2" t="s">
        <v>538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543</v>
      </c>
      <c r="F39" s="1" t="s">
        <v>544</v>
      </c>
      <c r="G39" s="11">
        <v>1</v>
      </c>
      <c r="H39" s="6" t="s">
        <v>796</v>
      </c>
      <c r="I39" s="11">
        <v>537100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AUTO_INCREMENT=537101');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537100');\DB::statement('ALTER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796</v>
      </c>
      <c r="I40" s="11">
        <v>538100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AUTO_INCREMENT=538101');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538100');\DB::statement('ALTER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796</v>
      </c>
      <c r="I41" s="11">
        <v>539100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AUTO_INCREMENT=539101');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539100');\DB::statement('ALTER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796</v>
      </c>
      <c r="I42" s="11">
        <v>540100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AUTO_INCREMENT=540101');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540100');\DB::statement('ALTER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796</v>
      </c>
      <c r="I43" s="11">
        <v>541100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AUTO_INCREMENT=541101');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541100');\DB::statement('ALTER TABLE `__resource_dashboard_section_items` AUTO_INCREMENT=1');</v>
      </c>
    </row>
  </sheetData>
  <dataValidations count="2">
    <dataValidation type="list" allowBlank="1" showInputMessage="1" showErrorMessage="1" sqref="B2:B43">
      <formula1>TableNames</formula1>
    </dataValidation>
    <dataValidation type="list" allowBlank="1" showInputMessage="1" showErrorMessage="1" sqref="H2:H43">
      <formula1>"truncate,query"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workbookViewId="0">
      <selection activeCell="E13" sqref="E13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64" t="s">
        <v>331</v>
      </c>
      <c r="B1" s="64"/>
      <c r="C1" s="64"/>
      <c r="D1" s="64"/>
      <c r="E1" s="65" t="str">
        <f>"\"&amp;VLOOKUP($A$1,SeedMap[],3,0)&amp;"\"&amp;VLOOKUP($A$1,SeedMap[],4,0)&amp;"::"&amp;VLOOKUP($A$1,SeedMap[],8,0)&amp;"()"</f>
        <v>\Milestone\Appframe\Model\ResourceActionMethod::query()</v>
      </c>
      <c r="F1" s="65"/>
      <c r="G1" s="65"/>
      <c r="H1" s="65"/>
      <c r="I1" s="66" t="s">
        <v>73</v>
      </c>
      <c r="J1" s="66"/>
      <c r="K1" s="66"/>
      <c r="L1" s="66"/>
      <c r="M1" s="66"/>
      <c r="N1" s="66"/>
      <c r="O1" s="66"/>
      <c r="P1" s="66"/>
      <c r="Q1" s="66"/>
      <c r="R1" s="66"/>
      <c r="S1" s="23" t="str">
        <f>""</f>
        <v/>
      </c>
      <c r="T1" s="10"/>
    </row>
    <row r="2" spans="1:20" s="28" customFormat="1" ht="15" customHeight="1" x14ac:dyDescent="0.25">
      <c r="A2" s="64"/>
      <c r="B2" s="64"/>
      <c r="C2" s="64"/>
      <c r="D2" s="64"/>
      <c r="E2" s="65" t="str">
        <f>VLOOKUP($A$1,SeedMap[],5,0)</f>
        <v>ResourceAction</v>
      </c>
      <c r="F2" s="65"/>
      <c r="G2" s="65"/>
      <c r="H2" s="65"/>
      <c r="I2" s="66" t="s">
        <v>72</v>
      </c>
      <c r="J2" s="66"/>
      <c r="K2" s="66"/>
      <c r="L2" s="66"/>
      <c r="M2" s="66"/>
      <c r="N2" s="66"/>
      <c r="O2" s="66"/>
      <c r="P2" s="66"/>
      <c r="Q2" s="66"/>
      <c r="R2" s="66"/>
      <c r="S2" s="23" t="str">
        <f>";"</f>
        <v>;</v>
      </c>
      <c r="T2" s="10"/>
    </row>
    <row r="3" spans="1:20" s="28" customFormat="1" ht="15" customHeight="1" x14ac:dyDescent="0.25">
      <c r="A3" s="64"/>
      <c r="B3" s="64"/>
      <c r="C3" s="64"/>
      <c r="D3" s="64"/>
      <c r="E3" s="65" t="str">
        <f>VLOOKUP($A$1,SeedMap[],6,0)</f>
        <v>[[Primary Method]:[IDN 5]]</v>
      </c>
      <c r="F3" s="65"/>
      <c r="G3" s="65"/>
      <c r="H3" s="65"/>
      <c r="I3" s="66" t="s">
        <v>158</v>
      </c>
      <c r="J3" s="66"/>
      <c r="K3" s="66"/>
      <c r="L3" s="66"/>
      <c r="M3" s="66"/>
      <c r="N3" s="66"/>
      <c r="O3" s="66"/>
      <c r="P3" s="66"/>
      <c r="Q3" s="66"/>
      <c r="R3" s="66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resource_action</v>
      </c>
      <c r="E5" s="25" t="str">
        <f t="shared" ca="1" si="1"/>
        <v>type</v>
      </c>
      <c r="F5" s="25" t="str">
        <f t="shared" ca="1" si="1"/>
        <v>idn1</v>
      </c>
      <c r="G5" s="25" t="str">
        <f t="shared" ca="1" si="1"/>
        <v>idn2</v>
      </c>
      <c r="H5" s="25" t="str">
        <f t="shared" ca="1" si="1"/>
        <v>idn3</v>
      </c>
      <c r="I5" s="25" t="str">
        <f t="shared" ca="1" si="1"/>
        <v>idn4</v>
      </c>
      <c r="J5" s="25" t="str">
        <f t="shared" ca="1" si="1"/>
        <v>idn5</v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61" t="str">
        <f>$I$1</f>
        <v>$_ = \DB::statement('SELECT @@GLOBAL.foreign_key_checks');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10"/>
      <c r="T6" s="10"/>
    </row>
    <row r="7" spans="1:20" x14ac:dyDescent="0.25">
      <c r="A7" s="24"/>
      <c r="B7" s="62" t="str">
        <f>$I$2</f>
        <v>\DB::statement('set foreign_key_checks = 0');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</row>
    <row r="8" spans="1:20" x14ac:dyDescent="0.25">
      <c r="A8" s="24"/>
      <c r="B8" s="63" t="str">
        <f>$E$1</f>
        <v>\Milestone\Appframe\Model\ResourceActionMethod::query()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'533101',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'resource_action' =&gt; '532101', </v>
      </c>
      <c r="E9" s="50" t="str">
        <f t="shared" ca="1" si="2"/>
        <v xml:space="preserve">'type' =&gt; 'Form', </v>
      </c>
      <c r="F9" s="50" t="str">
        <f t="shared" ca="1" si="2"/>
        <v xml:space="preserve">'idn1' =&gt; '509102',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'533102', </v>
      </c>
      <c r="D10" s="50" t="str">
        <f t="shared" ca="1" si="2"/>
        <v xml:space="preserve">'resource_action' =&gt; '532102', </v>
      </c>
      <c r="E10" s="50" t="str">
        <f t="shared" ca="1" si="2"/>
        <v xml:space="preserve">'type' =&gt; 'Form', </v>
      </c>
      <c r="F10" s="50" t="str">
        <f t="shared" ca="1" si="2"/>
        <v xml:space="preserve">'idn1' =&gt; '509101',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'533103', </v>
      </c>
      <c r="D11" s="50" t="str">
        <f t="shared" ca="1" si="2"/>
        <v xml:space="preserve">'resource_action' =&gt; '532103', </v>
      </c>
      <c r="E11" s="50" t="str">
        <f t="shared" ca="1" si="2"/>
        <v xml:space="preserve">'type' =&gt; 'Form', </v>
      </c>
      <c r="F11" s="50" t="str">
        <f t="shared" ca="1" si="2"/>
        <v xml:space="preserve">'idn1' =&gt; '509103',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'533104', </v>
      </c>
      <c r="D12" s="50" t="str">
        <f t="shared" ca="1" si="2"/>
        <v xml:space="preserve">'resource_action' =&gt; '532104', </v>
      </c>
      <c r="E12" s="50" t="str">
        <f t="shared" ca="1" si="2"/>
        <v xml:space="preserve">'type' =&gt; 'Form', </v>
      </c>
      <c r="F12" s="50" t="str">
        <f t="shared" ca="1" si="2"/>
        <v xml:space="preserve">'idn1' =&gt; '509104',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'533105', </v>
      </c>
      <c r="D13" s="50" t="str">
        <f t="shared" ca="1" si="2"/>
        <v xml:space="preserve">'resource_action' =&gt; '532105', </v>
      </c>
      <c r="E13" s="50" t="str">
        <f t="shared" ca="1" si="2"/>
        <v xml:space="preserve">'type' =&gt; 'Form', </v>
      </c>
      <c r="F13" s="50" t="str">
        <f t="shared" ca="1" si="2"/>
        <v xml:space="preserve">'idn1' =&gt; '509105',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'533106', </v>
      </c>
      <c r="D14" s="50" t="str">
        <f t="shared" ca="1" si="2"/>
        <v xml:space="preserve">'resource_action' =&gt; '532106', </v>
      </c>
      <c r="E14" s="50" t="str">
        <f t="shared" ca="1" si="2"/>
        <v xml:space="preserve">'type' =&gt; 'List', </v>
      </c>
      <c r="F14" s="50" t="str">
        <f t="shared" ca="1" si="2"/>
        <v xml:space="preserve">'idn1' =&gt; '522101',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'533107', </v>
      </c>
      <c r="D15" s="50" t="str">
        <f t="shared" ca="1" si="2"/>
        <v xml:space="preserve">'resource_action' =&gt; '532107', </v>
      </c>
      <c r="E15" s="50" t="str">
        <f t="shared" ca="1" si="2"/>
        <v xml:space="preserve">'type' =&gt; 'List', </v>
      </c>
      <c r="F15" s="50" t="str">
        <f t="shared" ca="1" si="2"/>
        <v xml:space="preserve">'idn1' =&gt; '522102',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;</v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 x14ac:dyDescent="0.25">
      <c r="A17" s="21">
        <v>9</v>
      </c>
      <c r="B17" s="22" t="str">
        <f t="shared" ca="1" si="3"/>
        <v>\DB::statement('set foreign_key_checks = ' . $_);</v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 x14ac:dyDescent="0.25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 x14ac:dyDescent="0.25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opLeftCell="I1" zoomScaleNormal="100" workbookViewId="0">
      <selection activeCell="M3" sqref="M3:M10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539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540</v>
      </c>
      <c r="X1" s="20" t="s">
        <v>541</v>
      </c>
      <c r="Y1" s="20" t="s">
        <v>542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70" t="str">
        <f>Page&amp;"-"&amp;(COUNTA($E$1:ResourceTable[[#This Row],[Name]])-2)</f>
        <v>Resources-1</v>
      </c>
      <c r="B3" s="60" t="str">
        <f>ResourceTable[[#This Row],[Name]]</f>
        <v>User</v>
      </c>
      <c r="C3" s="70">
        <f>COUNTA($A$1:ResourceTable[[#This Row],[Primary]])-2</f>
        <v>1</v>
      </c>
      <c r="D3" s="70">
        <f>IF(ResourceTable[[#This Row],[RID]]=0,"id",ResourceTable[[#This Row],[RID]]+IF(ISNUMBER(VLOOKUP(Page,SeedMap[],9,0)),VLOOKUP(Page,SeedMap[],9,0),0))</f>
        <v>505101</v>
      </c>
      <c r="E3" s="69" t="s">
        <v>74</v>
      </c>
      <c r="F3" s="69"/>
      <c r="G3" s="69" t="s">
        <v>78</v>
      </c>
      <c r="H3" s="68" t="str">
        <f>"Milestone\QMS\Model"</f>
        <v>Milestone\QMS\Model</v>
      </c>
      <c r="I3" s="69" t="s">
        <v>75</v>
      </c>
      <c r="J3" s="69"/>
      <c r="K3" s="69"/>
      <c r="L3" s="69"/>
      <c r="M3" s="70">
        <f>ResourceTable[No]</f>
        <v>505101</v>
      </c>
    </row>
    <row r="4" spans="1:26" x14ac:dyDescent="0.25">
      <c r="A4" s="68" t="str">
        <f>Page&amp;"-"&amp;(COUNTA($E$1:ResourceTable[[#This Row],[Name]])-2)</f>
        <v>Resources-2</v>
      </c>
      <c r="B4" s="60" t="str">
        <f>ResourceTable[[#This Row],[Name]]</f>
        <v>Category</v>
      </c>
      <c r="C4" s="70">
        <f>COUNTA($A$1:ResourceTable[[#This Row],[Primary]])-2</f>
        <v>2</v>
      </c>
      <c r="D4" s="70">
        <f>IF(ResourceTable[[#This Row],[RID]]=0,"id",ResourceTable[[#This Row],[RID]]+IF(ISNUMBER(VLOOKUP(Page,SeedMap[],9,0)),VLOOKUP(Page,SeedMap[],9,0),0))</f>
        <v>505102</v>
      </c>
      <c r="E4" s="69" t="s">
        <v>841</v>
      </c>
      <c r="F4" s="69"/>
      <c r="G4" s="69" t="s">
        <v>848</v>
      </c>
      <c r="H4" s="68" t="str">
        <f>"Milestone\QMS\Model"</f>
        <v>Milestone\QMS\Model</v>
      </c>
      <c r="I4" s="69" t="s">
        <v>803</v>
      </c>
      <c r="J4" s="69"/>
      <c r="K4" s="69"/>
      <c r="L4" s="69"/>
      <c r="M4" s="70">
        <f>ResourceTable[No]</f>
        <v>505102</v>
      </c>
    </row>
    <row r="5" spans="1:26" x14ac:dyDescent="0.25">
      <c r="A5" s="68" t="str">
        <f>Page&amp;"-"&amp;(COUNTA($E$1:ResourceTable[[#This Row],[Name]])-2)</f>
        <v>Resources-3</v>
      </c>
      <c r="B5" s="60" t="str">
        <f>ResourceTable[[#This Row],[Name]]</f>
        <v>UserCategory</v>
      </c>
      <c r="C5" s="70">
        <f>COUNTA($A$1:ResourceTable[[#This Row],[Primary]])-2</f>
        <v>3</v>
      </c>
      <c r="D5" s="70">
        <f>IF(ResourceTable[[#This Row],[RID]]=0,"id",ResourceTable[[#This Row],[RID]]+IF(ISNUMBER(VLOOKUP(Page,SeedMap[],9,0)),VLOOKUP(Page,SeedMap[],9,0),0))</f>
        <v>505103</v>
      </c>
      <c r="E5" s="69" t="s">
        <v>842</v>
      </c>
      <c r="F5" s="69"/>
      <c r="G5" s="69" t="s">
        <v>849</v>
      </c>
      <c r="H5" s="68" t="str">
        <f t="shared" ref="H5:H10" si="0">"Milestone\QMS\Model"</f>
        <v>Milestone\QMS\Model</v>
      </c>
      <c r="I5" s="69" t="s">
        <v>804</v>
      </c>
      <c r="J5" s="69"/>
      <c r="K5" s="69"/>
      <c r="L5" s="69"/>
      <c r="M5" s="70">
        <f>ResourceTable[No]</f>
        <v>505103</v>
      </c>
    </row>
    <row r="6" spans="1:26" x14ac:dyDescent="0.25">
      <c r="A6" s="68" t="str">
        <f>Page&amp;"-"&amp;(COUNTA($E$1:ResourceTable[[#This Row],[Name]])-2)</f>
        <v>Resources-4</v>
      </c>
      <c r="B6" s="60" t="str">
        <f>ResourceTable[[#This Row],[Name]]</f>
        <v>Counter</v>
      </c>
      <c r="C6" s="70">
        <f>COUNTA($A$1:ResourceTable[[#This Row],[Primary]])-2</f>
        <v>4</v>
      </c>
      <c r="D6" s="70">
        <f>IF(ResourceTable[[#This Row],[RID]]=0,"id",ResourceTable[[#This Row],[RID]]+IF(ISNUMBER(VLOOKUP(Page,SeedMap[],9,0)),VLOOKUP(Page,SeedMap[],9,0),0))</f>
        <v>505104</v>
      </c>
      <c r="E6" s="69" t="s">
        <v>843</v>
      </c>
      <c r="F6" s="69"/>
      <c r="G6" s="69" t="s">
        <v>850</v>
      </c>
      <c r="H6" s="68" t="str">
        <f t="shared" si="0"/>
        <v>Milestone\QMS\Model</v>
      </c>
      <c r="I6" s="69" t="s">
        <v>805</v>
      </c>
      <c r="J6" s="69"/>
      <c r="K6" s="69"/>
      <c r="L6" s="69"/>
      <c r="M6" s="70">
        <f>ResourceTable[No]</f>
        <v>505104</v>
      </c>
    </row>
    <row r="7" spans="1:26" x14ac:dyDescent="0.25">
      <c r="A7" s="68" t="str">
        <f>Page&amp;"-"&amp;(COUNTA($E$1:ResourceTable[[#This Row],[Name]])-2)</f>
        <v>Resources-5</v>
      </c>
      <c r="B7" s="60" t="str">
        <f>ResourceTable[[#This Row],[Name]]</f>
        <v>CounterUser</v>
      </c>
      <c r="C7" s="70">
        <f>COUNTA($A$1:ResourceTable[[#This Row],[Primary]])-2</f>
        <v>5</v>
      </c>
      <c r="D7" s="70">
        <f>IF(ResourceTable[[#This Row],[RID]]=0,"id",ResourceTable[[#This Row],[RID]]+IF(ISNUMBER(VLOOKUP(Page,SeedMap[],9,0)),VLOOKUP(Page,SeedMap[],9,0),0))</f>
        <v>505105</v>
      </c>
      <c r="E7" s="69" t="s">
        <v>844</v>
      </c>
      <c r="F7" s="69"/>
      <c r="G7" s="69" t="s">
        <v>851</v>
      </c>
      <c r="H7" s="68" t="str">
        <f t="shared" si="0"/>
        <v>Milestone\QMS\Model</v>
      </c>
      <c r="I7" s="69" t="s">
        <v>806</v>
      </c>
      <c r="J7" s="69"/>
      <c r="K7" s="69"/>
      <c r="L7" s="69"/>
      <c r="M7" s="70">
        <f>ResourceTable[No]</f>
        <v>505105</v>
      </c>
    </row>
    <row r="8" spans="1:26" x14ac:dyDescent="0.25">
      <c r="A8" s="68" t="str">
        <f>Page&amp;"-"&amp;(COUNTA($E$1:ResourceTable[[#This Row],[Name]])-2)</f>
        <v>Resources-6</v>
      </c>
      <c r="B8" s="60" t="str">
        <f>ResourceTable[[#This Row],[Name]]</f>
        <v>Customer</v>
      </c>
      <c r="C8" s="70">
        <f>COUNTA($A$1:ResourceTable[[#This Row],[Primary]])-2</f>
        <v>6</v>
      </c>
      <c r="D8" s="70">
        <f>IF(ResourceTable[[#This Row],[RID]]=0,"id",ResourceTable[[#This Row],[RID]]+IF(ISNUMBER(VLOOKUP(Page,SeedMap[],9,0)),VLOOKUP(Page,SeedMap[],9,0),0))</f>
        <v>505106</v>
      </c>
      <c r="E8" s="69" t="s">
        <v>845</v>
      </c>
      <c r="F8" s="69"/>
      <c r="G8" s="69" t="s">
        <v>852</v>
      </c>
      <c r="H8" s="68" t="str">
        <f t="shared" si="0"/>
        <v>Milestone\QMS\Model</v>
      </c>
      <c r="I8" s="69" t="s">
        <v>807</v>
      </c>
      <c r="J8" s="69"/>
      <c r="K8" s="69"/>
      <c r="L8" s="69"/>
      <c r="M8" s="70">
        <f>ResourceTable[No]</f>
        <v>505106</v>
      </c>
    </row>
    <row r="9" spans="1:26" x14ac:dyDescent="0.25">
      <c r="A9" s="68" t="str">
        <f>Page&amp;"-"&amp;(COUNTA($E$1:ResourceTable[[#This Row],[Name]])-2)</f>
        <v>Resources-7</v>
      </c>
      <c r="B9" s="60" t="str">
        <f>ResourceTable[[#This Row],[Name]]</f>
        <v>Token</v>
      </c>
      <c r="C9" s="70">
        <f>COUNTA($A$1:ResourceTable[[#This Row],[Primary]])-2</f>
        <v>7</v>
      </c>
      <c r="D9" s="70">
        <f>IF(ResourceTable[[#This Row],[RID]]=0,"id",ResourceTable[[#This Row],[RID]]+IF(ISNUMBER(VLOOKUP(Page,SeedMap[],9,0)),VLOOKUP(Page,SeedMap[],9,0),0))</f>
        <v>505107</v>
      </c>
      <c r="E9" s="69" t="s">
        <v>846</v>
      </c>
      <c r="F9" s="69"/>
      <c r="G9" s="69" t="s">
        <v>853</v>
      </c>
      <c r="H9" s="68" t="str">
        <f t="shared" si="0"/>
        <v>Milestone\QMS\Model</v>
      </c>
      <c r="I9" s="69" t="s">
        <v>808</v>
      </c>
      <c r="J9" s="69"/>
      <c r="K9" s="69"/>
      <c r="L9" s="69"/>
      <c r="M9" s="70">
        <f>ResourceTable[No]</f>
        <v>505107</v>
      </c>
    </row>
    <row r="10" spans="1:26" x14ac:dyDescent="0.25">
      <c r="A10" s="68" t="str">
        <f>Page&amp;"-"&amp;(COUNTA($E$1:ResourceTable[[#This Row],[Name]])-2)</f>
        <v>Resources-8</v>
      </c>
      <c r="B10" s="60" t="str">
        <f>ResourceTable[[#This Row],[Name]]</f>
        <v>TokenCounter</v>
      </c>
      <c r="C10" s="70">
        <f>COUNTA($A$1:ResourceTable[[#This Row],[Primary]])-2</f>
        <v>8</v>
      </c>
      <c r="D10" s="70">
        <f>IF(ResourceTable[[#This Row],[RID]]=0,"id",ResourceTable[[#This Row],[RID]]+IF(ISNUMBER(VLOOKUP(Page,SeedMap[],9,0)),VLOOKUP(Page,SeedMap[],9,0),0))</f>
        <v>505108</v>
      </c>
      <c r="E10" s="69" t="s">
        <v>847</v>
      </c>
      <c r="F10" s="69"/>
      <c r="G10" s="69" t="s">
        <v>854</v>
      </c>
      <c r="H10" s="68" t="str">
        <f t="shared" si="0"/>
        <v>Milestone\QMS\Model</v>
      </c>
      <c r="I10" s="69" t="s">
        <v>809</v>
      </c>
      <c r="J10" s="69"/>
      <c r="K10" s="69"/>
      <c r="L10" s="69"/>
      <c r="M10" s="70">
        <f>ResourceTable[No]</f>
        <v>505108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opLeftCell="E1" workbookViewId="0">
      <selection activeCell="L11" sqref="L11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71" t="str">
        <f>Page&amp;"-"&amp;(COUNTA($E$1:RelationTable[[#This Row],[Resource]])-1)</f>
        <v>Resource Relations-1</v>
      </c>
      <c r="B3" s="70">
        <f>IF(RelationTable[[#This Row],[Resource]]="","id",COUNTA($E$2:RelationTable[[#This Row],[Resource]])+IF(ISNUMBER(VLOOKUP('Table Seed Map'!$A$10,SeedMap[],9,0)),VLOOKUP('Table Seed Map'!$A$10,SeedMap[],9,0),0))</f>
        <v>508101</v>
      </c>
      <c r="C3" s="60" t="str">
        <f>RelationTable[[#This Row],[Resource]]&amp;"/"&amp;RelationTable[[#This Row],[Method]]</f>
        <v>User/Categories</v>
      </c>
      <c r="D3" s="60">
        <f>RelationTable[[#This Row],[No]]</f>
        <v>508101</v>
      </c>
      <c r="E3" s="60" t="s">
        <v>74</v>
      </c>
      <c r="F3" s="68" t="s">
        <v>841</v>
      </c>
      <c r="G3" s="60">
        <f>RelationTable[[#This Row],[No]]</f>
        <v>508101</v>
      </c>
      <c r="H3" s="60">
        <f>IF(RelationTable[[#This Row],[No]]="id","resource",VLOOKUP(RelationTable[Resource],CHOOSE({1,2},ResourceTable[Name],ResourceTable[No]),2,0))</f>
        <v>505101</v>
      </c>
      <c r="I3" s="60" t="s">
        <v>862</v>
      </c>
      <c r="J3" s="60"/>
      <c r="K3" s="60" t="s">
        <v>848</v>
      </c>
      <c r="L3" s="60" t="s">
        <v>863</v>
      </c>
      <c r="M3" s="72">
        <f>VLOOKUP(RelationTable[Relate Resource],CHOOSE({1,2},ResourceTable[Name],ResourceTable[No]),2,0)</f>
        <v>505102</v>
      </c>
      <c r="N3" s="73">
        <f>RelationTable[RELID]</f>
        <v>508101</v>
      </c>
    </row>
    <row r="4" spans="1:23" x14ac:dyDescent="0.25">
      <c r="A4" s="71" t="str">
        <f>Page&amp;"-"&amp;(COUNTA($E$1:RelationTable[[#This Row],[Resource]])-1)</f>
        <v>Resource Relations-2</v>
      </c>
      <c r="B4" s="70">
        <f>IF(RelationTable[[#This Row],[Resource]]="","id",COUNTA($E$2:RelationTable[[#This Row],[Resource]])+IF(ISNUMBER(VLOOKUP('Table Seed Map'!$A$10,SeedMap[],9,0)),VLOOKUP('Table Seed Map'!$A$10,SeedMap[],9,0),0))</f>
        <v>508102</v>
      </c>
      <c r="C4" s="60" t="str">
        <f>RelationTable[[#This Row],[Resource]]&amp;"/"&amp;RelationTable[[#This Row],[Method]]</f>
        <v>Category/Users</v>
      </c>
      <c r="D4" s="60">
        <f>RelationTable[[#This Row],[No]]</f>
        <v>508102</v>
      </c>
      <c r="E4" s="60" t="s">
        <v>841</v>
      </c>
      <c r="F4" s="68" t="s">
        <v>74</v>
      </c>
      <c r="G4" s="60">
        <f>RelationTable[[#This Row],[No]]</f>
        <v>508102</v>
      </c>
      <c r="H4" s="60">
        <f>IF(RelationTable[[#This Row],[No]]="id","resource",VLOOKUP(RelationTable[Resource],CHOOSE({1,2},ResourceTable[Name],ResourceTable[No]),2,0))</f>
        <v>505102</v>
      </c>
      <c r="I4" s="60" t="s">
        <v>864</v>
      </c>
      <c r="J4" s="60"/>
      <c r="K4" s="60" t="s">
        <v>78</v>
      </c>
      <c r="L4" s="60" t="s">
        <v>863</v>
      </c>
      <c r="M4" s="72">
        <f>VLOOKUP(RelationTable[Relate Resource],CHOOSE({1,2},ResourceTable[Name],ResourceTable[No]),2,0)</f>
        <v>505101</v>
      </c>
      <c r="N4" s="73">
        <f>RelationTable[RELID]</f>
        <v>508102</v>
      </c>
    </row>
    <row r="5" spans="1:23" x14ac:dyDescent="0.25">
      <c r="A5" s="71" t="str">
        <f>Page&amp;"-"&amp;(COUNTA($E$1:RelationTable[[#This Row],[Resource]])-1)</f>
        <v>Resource Relations-3</v>
      </c>
      <c r="B5" s="70">
        <f>IF(RelationTable[[#This Row],[Resource]]="","id",COUNTA($E$2:RelationTable[[#This Row],[Resource]])+IF(ISNUMBER(VLOOKUP('Table Seed Map'!$A$10,SeedMap[],9,0)),VLOOKUP('Table Seed Map'!$A$10,SeedMap[],9,0),0))</f>
        <v>508103</v>
      </c>
      <c r="C5" s="60" t="str">
        <f>RelationTable[[#This Row],[Resource]]&amp;"/"&amp;RelationTable[[#This Row],[Method]]</f>
        <v>User/Counters</v>
      </c>
      <c r="D5" s="60">
        <f>RelationTable[[#This Row],[No]]</f>
        <v>508103</v>
      </c>
      <c r="E5" s="60" t="s">
        <v>74</v>
      </c>
      <c r="F5" s="68" t="s">
        <v>843</v>
      </c>
      <c r="G5" s="60">
        <f>RelationTable[[#This Row],[No]]</f>
        <v>508103</v>
      </c>
      <c r="H5" s="60">
        <f>IF(RelationTable[[#This Row],[No]]="id","resource",VLOOKUP(RelationTable[Resource],CHOOSE({1,2},ResourceTable[Name],ResourceTable[No]),2,0))</f>
        <v>505101</v>
      </c>
      <c r="I5" s="60" t="s">
        <v>865</v>
      </c>
      <c r="J5" s="60"/>
      <c r="K5" s="60" t="s">
        <v>850</v>
      </c>
      <c r="L5" s="60" t="s">
        <v>863</v>
      </c>
      <c r="M5" s="72">
        <f>VLOOKUP(RelationTable[Relate Resource],CHOOSE({1,2},ResourceTable[Name],ResourceTable[No]),2,0)</f>
        <v>505104</v>
      </c>
      <c r="N5" s="73">
        <f>RelationTable[RELID]</f>
        <v>508103</v>
      </c>
    </row>
    <row r="6" spans="1:23" x14ac:dyDescent="0.25">
      <c r="A6" s="71" t="str">
        <f>Page&amp;"-"&amp;(COUNTA($E$1:RelationTable[[#This Row],[Resource]])-1)</f>
        <v>Resource Relations-4</v>
      </c>
      <c r="B6" s="70">
        <f>IF(RelationTable[[#This Row],[Resource]]="","id",COUNTA($E$2:RelationTable[[#This Row],[Resource]])+IF(ISNUMBER(VLOOKUP('Table Seed Map'!$A$10,SeedMap[],9,0)),VLOOKUP('Table Seed Map'!$A$10,SeedMap[],9,0),0))</f>
        <v>508104</v>
      </c>
      <c r="C6" s="60" t="str">
        <f>RelationTable[[#This Row],[Resource]]&amp;"/"&amp;RelationTable[[#This Row],[Method]]</f>
        <v>Counter/Users</v>
      </c>
      <c r="D6" s="60">
        <f>RelationTable[[#This Row],[No]]</f>
        <v>508104</v>
      </c>
      <c r="E6" s="60" t="s">
        <v>843</v>
      </c>
      <c r="F6" s="68" t="s">
        <v>74</v>
      </c>
      <c r="G6" s="60">
        <f>RelationTable[[#This Row],[No]]</f>
        <v>508104</v>
      </c>
      <c r="H6" s="60">
        <f>IF(RelationTable[[#This Row],[No]]="id","resource",VLOOKUP(RelationTable[Resource],CHOOSE({1,2},ResourceTable[Name],ResourceTable[No]),2,0))</f>
        <v>505104</v>
      </c>
      <c r="I6" s="60" t="s">
        <v>866</v>
      </c>
      <c r="J6" s="60"/>
      <c r="K6" s="60" t="s">
        <v>78</v>
      </c>
      <c r="L6" s="60" t="s">
        <v>863</v>
      </c>
      <c r="M6" s="72">
        <f>VLOOKUP(RelationTable[Relate Resource],CHOOSE({1,2},ResourceTable[Name],ResourceTable[No]),2,0)</f>
        <v>505101</v>
      </c>
      <c r="N6" s="73">
        <f>RelationTable[RELID]</f>
        <v>508104</v>
      </c>
    </row>
    <row r="7" spans="1:23" x14ac:dyDescent="0.25">
      <c r="A7" s="71" t="str">
        <f>Page&amp;"-"&amp;(COUNTA($E$1:RelationTable[[#This Row],[Resource]])-1)</f>
        <v>Resource Relations-5</v>
      </c>
      <c r="B7" s="70">
        <f>IF(RelationTable[[#This Row],[Resource]]="","id",COUNTA($E$2:RelationTable[[#This Row],[Resource]])+IF(ISNUMBER(VLOOKUP('Table Seed Map'!$A$10,SeedMap[],9,0)),VLOOKUP('Table Seed Map'!$A$10,SeedMap[],9,0),0))</f>
        <v>508105</v>
      </c>
      <c r="C7" s="60" t="str">
        <f>RelationTable[[#This Row],[Resource]]&amp;"/"&amp;RelationTable[[#This Row],[Method]]</f>
        <v>Customer/Tokens</v>
      </c>
      <c r="D7" s="60">
        <f>RelationTable[[#This Row],[No]]</f>
        <v>508105</v>
      </c>
      <c r="E7" s="60" t="s">
        <v>845</v>
      </c>
      <c r="F7" s="68" t="s">
        <v>846</v>
      </c>
      <c r="G7" s="60">
        <f>RelationTable[[#This Row],[No]]</f>
        <v>508105</v>
      </c>
      <c r="H7" s="60">
        <f>IF(RelationTable[[#This Row],[No]]="id","resource",VLOOKUP(RelationTable[Resource],CHOOSE({1,2},ResourceTable[Name],ResourceTable[No]),2,0))</f>
        <v>505106</v>
      </c>
      <c r="I7" s="60" t="s">
        <v>867</v>
      </c>
      <c r="J7" s="60"/>
      <c r="K7" s="60" t="s">
        <v>853</v>
      </c>
      <c r="L7" s="60" t="s">
        <v>868</v>
      </c>
      <c r="M7" s="72">
        <f>VLOOKUP(RelationTable[Relate Resource],CHOOSE({1,2},ResourceTable[Name],ResourceTable[No]),2,0)</f>
        <v>505107</v>
      </c>
      <c r="N7" s="73">
        <f>RelationTable[RELID]</f>
        <v>508105</v>
      </c>
    </row>
    <row r="8" spans="1:23" x14ac:dyDescent="0.25">
      <c r="A8" s="71" t="str">
        <f>Page&amp;"-"&amp;(COUNTA($E$1:RelationTable[[#This Row],[Resource]])-1)</f>
        <v>Resource Relations-6</v>
      </c>
      <c r="B8" s="70">
        <f>IF(RelationTable[[#This Row],[Resource]]="","id",COUNTA($E$2:RelationTable[[#This Row],[Resource]])+IF(ISNUMBER(VLOOKUP('Table Seed Map'!$A$10,SeedMap[],9,0)),VLOOKUP('Table Seed Map'!$A$10,SeedMap[],9,0),0))</f>
        <v>508106</v>
      </c>
      <c r="C8" s="60" t="str">
        <f>RelationTable[[#This Row],[Resource]]&amp;"/"&amp;RelationTable[[#This Row],[Method]]</f>
        <v>Token/Customer</v>
      </c>
      <c r="D8" s="60">
        <f>RelationTable[[#This Row],[No]]</f>
        <v>508106</v>
      </c>
      <c r="E8" s="60" t="s">
        <v>846</v>
      </c>
      <c r="F8" s="68" t="s">
        <v>845</v>
      </c>
      <c r="G8" s="60">
        <f>RelationTable[[#This Row],[No]]</f>
        <v>508106</v>
      </c>
      <c r="H8" s="60">
        <f>IF(RelationTable[[#This Row],[No]]="id","resource",VLOOKUP(RelationTable[Resource],CHOOSE({1,2},ResourceTable[Name],ResourceTable[No]),2,0))</f>
        <v>505107</v>
      </c>
      <c r="I8" s="60" t="s">
        <v>869</v>
      </c>
      <c r="J8" s="60"/>
      <c r="K8" s="60" t="s">
        <v>845</v>
      </c>
      <c r="L8" s="60" t="s">
        <v>870</v>
      </c>
      <c r="M8" s="72">
        <f>VLOOKUP(RelationTable[Relate Resource],CHOOSE({1,2},ResourceTable[Name],ResourceTable[No]),2,0)</f>
        <v>505106</v>
      </c>
      <c r="N8" s="73">
        <f>RelationTable[RELID]</f>
        <v>508106</v>
      </c>
    </row>
    <row r="9" spans="1:23" x14ac:dyDescent="0.25">
      <c r="A9" s="71" t="str">
        <f>Page&amp;"-"&amp;(COUNTA($E$1:RelationTable[[#This Row],[Resource]])-1)</f>
        <v>Resource Relations-7</v>
      </c>
      <c r="B9" s="70">
        <f>IF(RelationTable[[#This Row],[Resource]]="","id",COUNTA($E$2:RelationTable[[#This Row],[Resource]])+IF(ISNUMBER(VLOOKUP('Table Seed Map'!$A$10,SeedMap[],9,0)),VLOOKUP('Table Seed Map'!$A$10,SeedMap[],9,0),0))</f>
        <v>508107</v>
      </c>
      <c r="C9" s="60" t="str">
        <f>RelationTable[[#This Row],[Resource]]&amp;"/"&amp;RelationTable[[#This Row],[Method]]</f>
        <v>Category/Tokens</v>
      </c>
      <c r="D9" s="60">
        <f>RelationTable[[#This Row],[No]]</f>
        <v>508107</v>
      </c>
      <c r="E9" s="60" t="s">
        <v>841</v>
      </c>
      <c r="F9" s="68" t="s">
        <v>846</v>
      </c>
      <c r="G9" s="60">
        <f>RelationTable[[#This Row],[No]]</f>
        <v>508107</v>
      </c>
      <c r="H9" s="60">
        <f>IF(RelationTable[[#This Row],[No]]="id","resource",VLOOKUP(RelationTable[Resource],CHOOSE({1,2},ResourceTable[Name],ResourceTable[No]),2,0))</f>
        <v>505102</v>
      </c>
      <c r="I9" s="60" t="s">
        <v>871</v>
      </c>
      <c r="J9" s="60"/>
      <c r="K9" s="60" t="s">
        <v>853</v>
      </c>
      <c r="L9" s="60" t="s">
        <v>868</v>
      </c>
      <c r="M9" s="72">
        <f>VLOOKUP(RelationTable[Relate Resource],CHOOSE({1,2},ResourceTable[Name],ResourceTable[No]),2,0)</f>
        <v>505107</v>
      </c>
      <c r="N9" s="73">
        <f>RelationTable[RELID]</f>
        <v>508107</v>
      </c>
    </row>
    <row r="10" spans="1:23" x14ac:dyDescent="0.25">
      <c r="A10" s="71" t="str">
        <f>Page&amp;"-"&amp;(COUNTA($E$1:RelationTable[[#This Row],[Resource]])-1)</f>
        <v>Resource Relations-8</v>
      </c>
      <c r="B10" s="70">
        <f>IF(RelationTable[[#This Row],[Resource]]="","id",COUNTA($E$2:RelationTable[[#This Row],[Resource]])+IF(ISNUMBER(VLOOKUP('Table Seed Map'!$A$10,SeedMap[],9,0)),VLOOKUP('Table Seed Map'!$A$10,SeedMap[],9,0),0))</f>
        <v>508108</v>
      </c>
      <c r="C10" s="60" t="str">
        <f>RelationTable[[#This Row],[Resource]]&amp;"/"&amp;RelationTable[[#This Row],[Method]]</f>
        <v>Token/Category</v>
      </c>
      <c r="D10" s="60">
        <f>RelationTable[[#This Row],[No]]</f>
        <v>508108</v>
      </c>
      <c r="E10" s="60" t="s">
        <v>846</v>
      </c>
      <c r="F10" s="68" t="s">
        <v>841</v>
      </c>
      <c r="G10" s="60">
        <f>RelationTable[[#This Row],[No]]</f>
        <v>508108</v>
      </c>
      <c r="H10" s="60">
        <f>IF(RelationTable[[#This Row],[No]]="id","resource",VLOOKUP(RelationTable[Resource],CHOOSE({1,2},ResourceTable[Name],ResourceTable[No]),2,0))</f>
        <v>505107</v>
      </c>
      <c r="I10" s="60" t="s">
        <v>872</v>
      </c>
      <c r="J10" s="60"/>
      <c r="K10" s="60" t="s">
        <v>841</v>
      </c>
      <c r="L10" s="60" t="s">
        <v>870</v>
      </c>
      <c r="M10" s="72">
        <f>VLOOKUP(RelationTable[Relate Resource],CHOOSE({1,2},ResourceTable[Name],ResourceTable[No]),2,0)</f>
        <v>505102</v>
      </c>
      <c r="N10" s="73">
        <f>RelationTable[RELID]</f>
        <v>508108</v>
      </c>
    </row>
    <row r="11" spans="1:23" x14ac:dyDescent="0.25">
      <c r="A11" s="71" t="str">
        <f>Page&amp;"-"&amp;(COUNTA($E$1:RelationTable[[#This Row],[Resource]])-1)</f>
        <v>Resource Relations-9</v>
      </c>
      <c r="B11" s="70">
        <f>IF(RelationTable[[#This Row],[Resource]]="","id",COUNTA($E$2:RelationTable[[#This Row],[Resource]])+IF(ISNUMBER(VLOOKUP('Table Seed Map'!$A$10,SeedMap[],9,0)),VLOOKUP('Table Seed Map'!$A$10,SeedMap[],9,0),0))</f>
        <v>508109</v>
      </c>
      <c r="C11" s="60" t="str">
        <f>RelationTable[[#This Row],[Resource]]&amp;"/"&amp;RelationTable[[#This Row],[Method]]</f>
        <v>Token/Counter</v>
      </c>
      <c r="D11" s="60">
        <f>RelationTable[[#This Row],[No]]</f>
        <v>508109</v>
      </c>
      <c r="E11" s="60" t="s">
        <v>846</v>
      </c>
      <c r="F11" s="68" t="s">
        <v>843</v>
      </c>
      <c r="G11" s="60">
        <f>RelationTable[[#This Row],[No]]</f>
        <v>508109</v>
      </c>
      <c r="H11" s="60">
        <f>IF(RelationTable[[#This Row],[No]]="id","resource",VLOOKUP(RelationTable[Resource],CHOOSE({1,2},ResourceTable[Name],ResourceTable[No]),2,0))</f>
        <v>505107</v>
      </c>
      <c r="I11" s="60" t="s">
        <v>847</v>
      </c>
      <c r="J11" s="60"/>
      <c r="K11" s="60" t="s">
        <v>843</v>
      </c>
      <c r="L11" s="60" t="s">
        <v>873</v>
      </c>
      <c r="M11" s="72">
        <f>VLOOKUP(RelationTable[Relate Resource],CHOOSE({1,2},ResourceTable[Name],ResourceTable[No]),2,0)</f>
        <v>505104</v>
      </c>
      <c r="N11" s="73">
        <f>RelationTable[RELID]</f>
        <v>508109</v>
      </c>
    </row>
  </sheetData>
  <dataValidations count="1">
    <dataValidation type="list" allowBlank="1" showInputMessage="1" showErrorMessage="1" sqref="Q2 E2:F1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topLeftCell="C1" workbookViewId="0">
      <selection activeCell="T9" sqref="T9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76" t="str">
        <f>'Table Seed Map'!$A$34&amp;"-"&amp;(COUNTA($E$1:ResourceAction[[#This Row],[Resource]])-2)</f>
        <v>Resource Actions-1</v>
      </c>
      <c r="B3" s="76" t="str">
        <f>ResourceAction[[#This Row],[Resource Name]]&amp;"/"&amp;ResourceAction[[#This Row],[Name]]</f>
        <v>User/CreateServiceUserAction</v>
      </c>
      <c r="C3" s="58" t="s">
        <v>74</v>
      </c>
      <c r="D3" s="76">
        <f>IF(ResourceAction[[#This Row],[Resource Name]]="","id",COUNTA($C$1:ResourceAction[[#This Row],[Resource Name]])-1+IF(VLOOKUP('Table Seed Map'!$A$34,SeedMap[],9,0),VLOOKUP('Table Seed Map'!$A$34,SeedMap[],9,0),0))</f>
        <v>532101</v>
      </c>
      <c r="E3" s="76">
        <f>IFERROR(VLOOKUP(ResourceAction[[#This Row],[Resource Name]],ResourceTable[[RName]:[No]],3,0),"resource")</f>
        <v>505101</v>
      </c>
      <c r="F3" s="76" t="s">
        <v>900</v>
      </c>
      <c r="G3" s="76"/>
      <c r="H3" s="76"/>
      <c r="I3" s="76"/>
      <c r="J3" s="76" t="s">
        <v>911</v>
      </c>
      <c r="K3" s="75" t="str">
        <f>'Table Seed Map'!$A$35&amp;"-"&amp;(COUNTA($E$1:ResourceAction[[#This Row],[Resource]])-2)</f>
        <v>Action Method-1</v>
      </c>
      <c r="L3" s="76">
        <f>IF(ResourceAction[[#This Row],[No]]="id","id",-2+COUNTA($E$1:ResourceAction[[#This Row],[Resource]])+IF(ISNUMBER(VLOOKUP('Table Seed Map'!$A$35,SeedMap[],9,0)),VLOOKUP('Table Seed Map'!$A$35,SeedMap[],9,0),0))</f>
        <v>533101</v>
      </c>
      <c r="M3" s="76">
        <f>IF(ResourceAction[[#This Row],[No]]="id","resource_action",ResourceAction[[#This Row],[No]])</f>
        <v>532101</v>
      </c>
      <c r="N3" s="87" t="s">
        <v>121</v>
      </c>
      <c r="O3" s="88">
        <f ca="1">IF(ResourceAction[[#This Row],[Resource Name]]="","idn1",IF(ResourceAction[[#This Row],[IDN1]]="","",VLOOKUP(ResourceAction[[#This Row],[IDN1]],IDNMaps[[Display]:[ID]],2,0)))</f>
        <v>509102</v>
      </c>
      <c r="P3" s="88" t="str">
        <f>IF(ResourceAction[[#This Row],[Resource Name]]="","idn2",IF(ResourceAction[[#This Row],[IDN2]]="","",VLOOKUP(ResourceAction[[#This Row],[IDN2]],IDNMaps[[Display]:[ID]],2,0)))</f>
        <v/>
      </c>
      <c r="Q3" s="88" t="str">
        <f>IF(ResourceAction[[#This Row],[Resource Name]]="","idn3",IF(ResourceAction[[#This Row],[IDN3]]="","",VLOOKUP(ResourceAction[[#This Row],[IDN3]],IDNMaps[[Display]:[ID]],2,0)))</f>
        <v/>
      </c>
      <c r="R3" s="88" t="str">
        <f>IF(ResourceAction[[#This Row],[Resource Name]]="","idn4",IF(ResourceAction[[#This Row],[IDN4]]="","",VLOOKUP(ResourceAction[[#This Row],[IDN4]],IDNMaps[[Display]:[ID]],2,0)))</f>
        <v/>
      </c>
      <c r="S3" s="88" t="str">
        <f>IF(ResourceAction[[#This Row],[Resource Name]]="","idn5",IF(ResourceAction[[#This Row],[IDN5]]="","",VLOOKUP(ResourceAction[[#This Row],[IDN5]],IDNMaps[[Display]:[ID]],2,0)))</f>
        <v/>
      </c>
      <c r="T3" s="89" t="s">
        <v>899</v>
      </c>
      <c r="U3" s="89"/>
      <c r="V3" s="89"/>
      <c r="W3" s="89"/>
      <c r="X3" s="89"/>
      <c r="Y3" s="83">
        <f>ResourceAction[No]</f>
        <v>532101</v>
      </c>
      <c r="Z3"/>
    </row>
    <row r="4" spans="1:45" x14ac:dyDescent="0.25">
      <c r="A4" s="76" t="str">
        <f>'Table Seed Map'!$A$34&amp;"-"&amp;(COUNTA($E$1:ResourceAction[[#This Row],[Resource]])-2)</f>
        <v>Resource Actions-2</v>
      </c>
      <c r="B4" s="76" t="str">
        <f>ResourceAction[[#This Row],[Resource Name]]&amp;"/"&amp;ResourceAction[[#This Row],[Name]]</f>
        <v>Category/CreateCategoryAction</v>
      </c>
      <c r="C4" s="58" t="s">
        <v>841</v>
      </c>
      <c r="D4" s="76">
        <f>IF(ResourceAction[[#This Row],[Resource Name]]="","id",COUNTA($C$1:ResourceAction[[#This Row],[Resource Name]])-1+IF(VLOOKUP('Table Seed Map'!$A$34,SeedMap[],9,0),VLOOKUP('Table Seed Map'!$A$34,SeedMap[],9,0),0))</f>
        <v>532102</v>
      </c>
      <c r="E4" s="76">
        <f>IFERROR(VLOOKUP(ResourceAction[[#This Row],[Resource Name]],ResourceTable[[RName]:[No]],3,0),"resource")</f>
        <v>505102</v>
      </c>
      <c r="F4" s="76" t="s">
        <v>901</v>
      </c>
      <c r="G4" s="76"/>
      <c r="H4" s="76"/>
      <c r="I4" s="76"/>
      <c r="J4" s="76" t="s">
        <v>911</v>
      </c>
      <c r="K4" s="75" t="str">
        <f>'Table Seed Map'!$A$35&amp;"-"&amp;(COUNTA($E$1:ResourceAction[[#This Row],[Resource]])-2)</f>
        <v>Action Method-2</v>
      </c>
      <c r="L4" s="76">
        <f>IF(ResourceAction[[#This Row],[No]]="id","id",-2+COUNTA($E$1:ResourceAction[[#This Row],[Resource]])+IF(ISNUMBER(VLOOKUP('Table Seed Map'!$A$35,SeedMap[],9,0)),VLOOKUP('Table Seed Map'!$A$35,SeedMap[],9,0),0))</f>
        <v>533102</v>
      </c>
      <c r="M4" s="76">
        <f>IF(ResourceAction[[#This Row],[No]]="id","resource_action",ResourceAction[[#This Row],[No]])</f>
        <v>532102</v>
      </c>
      <c r="N4" s="87" t="s">
        <v>121</v>
      </c>
      <c r="O4" s="88">
        <f ca="1">IF(ResourceAction[[#This Row],[Resource Name]]="","idn1",IF(ResourceAction[[#This Row],[IDN1]]="","",VLOOKUP(ResourceAction[[#This Row],[IDN1]],IDNMaps[[Display]:[ID]],2,0)))</f>
        <v>509101</v>
      </c>
      <c r="P4" s="88" t="str">
        <f>IF(ResourceAction[[#This Row],[Resource Name]]="","idn2",IF(ResourceAction[[#This Row],[IDN2]]="","",VLOOKUP(ResourceAction[[#This Row],[IDN2]],IDNMaps[[Display]:[ID]],2,0)))</f>
        <v/>
      </c>
      <c r="Q4" s="88" t="str">
        <f>IF(ResourceAction[[#This Row],[Resource Name]]="","idn3",IF(ResourceAction[[#This Row],[IDN3]]="","",VLOOKUP(ResourceAction[[#This Row],[IDN3]],IDNMaps[[Display]:[ID]],2,0)))</f>
        <v/>
      </c>
      <c r="R4" s="88" t="str">
        <f>IF(ResourceAction[[#This Row],[Resource Name]]="","idn4",IF(ResourceAction[[#This Row],[IDN4]]="","",VLOOKUP(ResourceAction[[#This Row],[IDN4]],IDNMaps[[Display]:[ID]],2,0)))</f>
        <v/>
      </c>
      <c r="S4" s="88" t="str">
        <f>IF(ResourceAction[[#This Row],[Resource Name]]="","idn5",IF(ResourceAction[[#This Row],[IDN5]]="","",VLOOKUP(ResourceAction[[#This Row],[IDN5]],IDNMaps[[Display]:[ID]],2,0)))</f>
        <v/>
      </c>
      <c r="T4" s="89" t="s">
        <v>902</v>
      </c>
      <c r="U4" s="89"/>
      <c r="V4" s="89"/>
      <c r="W4" s="89"/>
      <c r="X4" s="89"/>
      <c r="Y4" s="83">
        <f>ResourceAction[No]</f>
        <v>532102</v>
      </c>
      <c r="Z4"/>
    </row>
    <row r="5" spans="1:45" x14ac:dyDescent="0.25">
      <c r="A5" s="76" t="str">
        <f>'Table Seed Map'!$A$34&amp;"-"&amp;(COUNTA($E$1:ResourceAction[[#This Row],[Resource]])-2)</f>
        <v>Resource Actions-3</v>
      </c>
      <c r="B5" s="76" t="str">
        <f>ResourceAction[[#This Row],[Resource Name]]&amp;"/"&amp;ResourceAction[[#This Row],[Name]]</f>
        <v>Counter/CreateCounterAction</v>
      </c>
      <c r="C5" s="58" t="s">
        <v>843</v>
      </c>
      <c r="D5" s="76">
        <f>IF(ResourceAction[[#This Row],[Resource Name]]="","id",COUNTA($C$1:ResourceAction[[#This Row],[Resource Name]])-1+IF(VLOOKUP('Table Seed Map'!$A$34,SeedMap[],9,0),VLOOKUP('Table Seed Map'!$A$34,SeedMap[],9,0),0))</f>
        <v>532103</v>
      </c>
      <c r="E5" s="76">
        <f>IFERROR(VLOOKUP(ResourceAction[[#This Row],[Resource Name]],ResourceTable[[RName]:[No]],3,0),"resource")</f>
        <v>505104</v>
      </c>
      <c r="F5" s="76" t="s">
        <v>906</v>
      </c>
      <c r="G5" s="76"/>
      <c r="H5" s="76"/>
      <c r="I5" s="76"/>
      <c r="J5" s="76" t="s">
        <v>911</v>
      </c>
      <c r="K5" s="75" t="str">
        <f>'Table Seed Map'!$A$35&amp;"-"&amp;(COUNTA($E$1:ResourceAction[[#This Row],[Resource]])-2)</f>
        <v>Action Method-3</v>
      </c>
      <c r="L5" s="76">
        <f>IF(ResourceAction[[#This Row],[No]]="id","id",-2+COUNTA($E$1:ResourceAction[[#This Row],[Resource]])+IF(ISNUMBER(VLOOKUP('Table Seed Map'!$A$35,SeedMap[],9,0)),VLOOKUP('Table Seed Map'!$A$35,SeedMap[],9,0),0))</f>
        <v>533103</v>
      </c>
      <c r="M5" s="76">
        <f>IF(ResourceAction[[#This Row],[No]]="id","resource_action",ResourceAction[[#This Row],[No]])</f>
        <v>532103</v>
      </c>
      <c r="N5" s="87" t="s">
        <v>121</v>
      </c>
      <c r="O5" s="88">
        <f ca="1">IF(ResourceAction[[#This Row],[Resource Name]]="","idn1",IF(ResourceAction[[#This Row],[IDN1]]="","",VLOOKUP(ResourceAction[[#This Row],[IDN1]],IDNMaps[[Display]:[ID]],2,0)))</f>
        <v>509103</v>
      </c>
      <c r="P5" s="88" t="str">
        <f>IF(ResourceAction[[#This Row],[Resource Name]]="","idn2",IF(ResourceAction[[#This Row],[IDN2]]="","",VLOOKUP(ResourceAction[[#This Row],[IDN2]],IDNMaps[[Display]:[ID]],2,0)))</f>
        <v/>
      </c>
      <c r="Q5" s="88" t="str">
        <f>IF(ResourceAction[[#This Row],[Resource Name]]="","idn3",IF(ResourceAction[[#This Row],[IDN3]]="","",VLOOKUP(ResourceAction[[#This Row],[IDN3]],IDNMaps[[Display]:[ID]],2,0)))</f>
        <v/>
      </c>
      <c r="R5" s="88" t="str">
        <f>IF(ResourceAction[[#This Row],[Resource Name]]="","idn4",IF(ResourceAction[[#This Row],[IDN4]]="","",VLOOKUP(ResourceAction[[#This Row],[IDN4]],IDNMaps[[Display]:[ID]],2,0)))</f>
        <v/>
      </c>
      <c r="S5" s="88" t="str">
        <f>IF(ResourceAction[[#This Row],[Resource Name]]="","idn5",IF(ResourceAction[[#This Row],[IDN5]]="","",VLOOKUP(ResourceAction[[#This Row],[IDN5]],IDNMaps[[Display]:[ID]],2,0)))</f>
        <v/>
      </c>
      <c r="T5" s="89" t="s">
        <v>903</v>
      </c>
      <c r="U5" s="89"/>
      <c r="V5" s="89"/>
      <c r="W5" s="89"/>
      <c r="X5" s="89"/>
      <c r="Y5" s="83">
        <f>ResourceAction[No]</f>
        <v>532103</v>
      </c>
      <c r="Z5"/>
    </row>
    <row r="6" spans="1:45" x14ac:dyDescent="0.25">
      <c r="A6" s="76" t="str">
        <f>'Table Seed Map'!$A$34&amp;"-"&amp;(COUNTA($E$1:ResourceAction[[#This Row],[Resource]])-2)</f>
        <v>Resource Actions-4</v>
      </c>
      <c r="B6" s="76" t="str">
        <f>ResourceAction[[#This Row],[Resource Name]]&amp;"/"&amp;ResourceAction[[#This Row],[Name]]</f>
        <v>Customer/CreateCustomerAction</v>
      </c>
      <c r="C6" s="58" t="s">
        <v>845</v>
      </c>
      <c r="D6" s="76">
        <f>IF(ResourceAction[[#This Row],[Resource Name]]="","id",COUNTA($C$1:ResourceAction[[#This Row],[Resource Name]])-1+IF(VLOOKUP('Table Seed Map'!$A$34,SeedMap[],9,0),VLOOKUP('Table Seed Map'!$A$34,SeedMap[],9,0),0))</f>
        <v>532104</v>
      </c>
      <c r="E6" s="76">
        <f>IFERROR(VLOOKUP(ResourceAction[[#This Row],[Resource Name]],ResourceTable[[RName]:[No]],3,0),"resource")</f>
        <v>505106</v>
      </c>
      <c r="F6" s="76" t="s">
        <v>907</v>
      </c>
      <c r="G6" s="76"/>
      <c r="H6" s="76"/>
      <c r="I6" s="76"/>
      <c r="J6" s="76" t="s">
        <v>911</v>
      </c>
      <c r="K6" s="75" t="str">
        <f>'Table Seed Map'!$A$35&amp;"-"&amp;(COUNTA($E$1:ResourceAction[[#This Row],[Resource]])-2)</f>
        <v>Action Method-4</v>
      </c>
      <c r="L6" s="76">
        <f>IF(ResourceAction[[#This Row],[No]]="id","id",-2+COUNTA($E$1:ResourceAction[[#This Row],[Resource]])+IF(ISNUMBER(VLOOKUP('Table Seed Map'!$A$35,SeedMap[],9,0)),VLOOKUP('Table Seed Map'!$A$35,SeedMap[],9,0),0))</f>
        <v>533104</v>
      </c>
      <c r="M6" s="76">
        <f>IF(ResourceAction[[#This Row],[No]]="id","resource_action",ResourceAction[[#This Row],[No]])</f>
        <v>532104</v>
      </c>
      <c r="N6" s="87" t="s">
        <v>121</v>
      </c>
      <c r="O6" s="88">
        <f ca="1">IF(ResourceAction[[#This Row],[Resource Name]]="","idn1",IF(ResourceAction[[#This Row],[IDN1]]="","",VLOOKUP(ResourceAction[[#This Row],[IDN1]],IDNMaps[[Display]:[ID]],2,0)))</f>
        <v>509104</v>
      </c>
      <c r="P6" s="88" t="str">
        <f>IF(ResourceAction[[#This Row],[Resource Name]]="","idn2",IF(ResourceAction[[#This Row],[IDN2]]="","",VLOOKUP(ResourceAction[[#This Row],[IDN2]],IDNMaps[[Display]:[ID]],2,0)))</f>
        <v/>
      </c>
      <c r="Q6" s="88" t="str">
        <f>IF(ResourceAction[[#This Row],[Resource Name]]="","idn3",IF(ResourceAction[[#This Row],[IDN3]]="","",VLOOKUP(ResourceAction[[#This Row],[IDN3]],IDNMaps[[Display]:[ID]],2,0)))</f>
        <v/>
      </c>
      <c r="R6" s="88" t="str">
        <f>IF(ResourceAction[[#This Row],[Resource Name]]="","idn4",IF(ResourceAction[[#This Row],[IDN4]]="","",VLOOKUP(ResourceAction[[#This Row],[IDN4]],IDNMaps[[Display]:[ID]],2,0)))</f>
        <v/>
      </c>
      <c r="S6" s="88" t="str">
        <f>IF(ResourceAction[[#This Row],[Resource Name]]="","idn5",IF(ResourceAction[[#This Row],[IDN5]]="","",VLOOKUP(ResourceAction[[#This Row],[IDN5]],IDNMaps[[Display]:[ID]],2,0)))</f>
        <v/>
      </c>
      <c r="T6" s="89" t="s">
        <v>904</v>
      </c>
      <c r="U6" s="89"/>
      <c r="V6" s="89"/>
      <c r="W6" s="89"/>
      <c r="X6" s="89"/>
      <c r="Y6" s="83">
        <f>ResourceAction[No]</f>
        <v>532104</v>
      </c>
      <c r="Z6"/>
    </row>
    <row r="7" spans="1:45" x14ac:dyDescent="0.25">
      <c r="A7" s="76" t="str">
        <f>'Table Seed Map'!$A$34&amp;"-"&amp;(COUNTA($E$1:ResourceAction[[#This Row],[Resource]])-2)</f>
        <v>Resource Actions-5</v>
      </c>
      <c r="B7" s="76" t="str">
        <f>ResourceAction[[#This Row],[Resource Name]]&amp;"/"&amp;ResourceAction[[#This Row],[Name]]</f>
        <v>Token/CreateTokenAction</v>
      </c>
      <c r="C7" s="58" t="s">
        <v>846</v>
      </c>
      <c r="D7" s="76">
        <f>IF(ResourceAction[[#This Row],[Resource Name]]="","id",COUNTA($C$1:ResourceAction[[#This Row],[Resource Name]])-1+IF(VLOOKUP('Table Seed Map'!$A$34,SeedMap[],9,0),VLOOKUP('Table Seed Map'!$A$34,SeedMap[],9,0),0))</f>
        <v>532105</v>
      </c>
      <c r="E7" s="76">
        <f>IFERROR(VLOOKUP(ResourceAction[[#This Row],[Resource Name]],ResourceTable[[RName]:[No]],3,0),"resource")</f>
        <v>505107</v>
      </c>
      <c r="F7" s="76" t="s">
        <v>908</v>
      </c>
      <c r="G7" s="76"/>
      <c r="H7" s="76"/>
      <c r="I7" s="76"/>
      <c r="J7" s="76" t="s">
        <v>911</v>
      </c>
      <c r="K7" s="75" t="str">
        <f>'Table Seed Map'!$A$35&amp;"-"&amp;(COUNTA($E$1:ResourceAction[[#This Row],[Resource]])-2)</f>
        <v>Action Method-5</v>
      </c>
      <c r="L7" s="76">
        <f>IF(ResourceAction[[#This Row],[No]]="id","id",-2+COUNTA($E$1:ResourceAction[[#This Row],[Resource]])+IF(ISNUMBER(VLOOKUP('Table Seed Map'!$A$35,SeedMap[],9,0)),VLOOKUP('Table Seed Map'!$A$35,SeedMap[],9,0),0))</f>
        <v>533105</v>
      </c>
      <c r="M7" s="76">
        <f>IF(ResourceAction[[#This Row],[No]]="id","resource_action",ResourceAction[[#This Row],[No]])</f>
        <v>532105</v>
      </c>
      <c r="N7" s="87" t="s">
        <v>121</v>
      </c>
      <c r="O7" s="88">
        <f ca="1">IF(ResourceAction[[#This Row],[Resource Name]]="","idn1",IF(ResourceAction[[#This Row],[IDN1]]="","",VLOOKUP(ResourceAction[[#This Row],[IDN1]],IDNMaps[[Display]:[ID]],2,0)))</f>
        <v>509105</v>
      </c>
      <c r="P7" s="88" t="str">
        <f>IF(ResourceAction[[#This Row],[Resource Name]]="","idn2",IF(ResourceAction[[#This Row],[IDN2]]="","",VLOOKUP(ResourceAction[[#This Row],[IDN2]],IDNMaps[[Display]:[ID]],2,0)))</f>
        <v/>
      </c>
      <c r="Q7" s="88" t="str">
        <f>IF(ResourceAction[[#This Row],[Resource Name]]="","idn3",IF(ResourceAction[[#This Row],[IDN3]]="","",VLOOKUP(ResourceAction[[#This Row],[IDN3]],IDNMaps[[Display]:[ID]],2,0)))</f>
        <v/>
      </c>
      <c r="R7" s="88" t="str">
        <f>IF(ResourceAction[[#This Row],[Resource Name]]="","idn4",IF(ResourceAction[[#This Row],[IDN4]]="","",VLOOKUP(ResourceAction[[#This Row],[IDN4]],IDNMaps[[Display]:[ID]],2,0)))</f>
        <v/>
      </c>
      <c r="S7" s="88" t="str">
        <f>IF(ResourceAction[[#This Row],[Resource Name]]="","idn5",IF(ResourceAction[[#This Row],[IDN5]]="","",VLOOKUP(ResourceAction[[#This Row],[IDN5]],IDNMaps[[Display]:[ID]],2,0)))</f>
        <v/>
      </c>
      <c r="T7" s="89" t="s">
        <v>905</v>
      </c>
      <c r="U7" s="89"/>
      <c r="V7" s="89"/>
      <c r="W7" s="89"/>
      <c r="X7" s="89"/>
      <c r="Y7" s="83">
        <f>ResourceAction[No]</f>
        <v>532105</v>
      </c>
      <c r="Z7"/>
    </row>
    <row r="8" spans="1:45" x14ac:dyDescent="0.25">
      <c r="A8" s="76" t="str">
        <f>'Table Seed Map'!$A$34&amp;"-"&amp;(COUNTA($E$1:ResourceAction[[#This Row],[Resource]])-2)</f>
        <v>Resource Actions-6</v>
      </c>
      <c r="B8" s="76" t="str">
        <f>ResourceAction[[#This Row],[Resource Name]]&amp;"/"&amp;ResourceAction[[#This Row],[Name]]</f>
        <v>Category/ListCategoryAction</v>
      </c>
      <c r="C8" s="58" t="s">
        <v>841</v>
      </c>
      <c r="D8" s="76">
        <f>IF(ResourceAction[[#This Row],[Resource Name]]="","id",COUNTA($C$1:ResourceAction[[#This Row],[Resource Name]])-1+IF(VLOOKUP('Table Seed Map'!$A$34,SeedMap[],9,0),VLOOKUP('Table Seed Map'!$A$34,SeedMap[],9,0),0))</f>
        <v>532106</v>
      </c>
      <c r="E8" s="76">
        <f>IFERROR(VLOOKUP(ResourceAction[[#This Row],[Resource Name]],ResourceTable[[RName]:[No]],3,0),"resource")</f>
        <v>505102</v>
      </c>
      <c r="F8" s="76" t="s">
        <v>909</v>
      </c>
      <c r="G8" s="76"/>
      <c r="H8" s="76"/>
      <c r="I8" s="76"/>
      <c r="J8" s="76" t="s">
        <v>848</v>
      </c>
      <c r="K8" s="75" t="str">
        <f>'Table Seed Map'!$A$35&amp;"-"&amp;(COUNTA($E$1:ResourceAction[[#This Row],[Resource]])-2)</f>
        <v>Action Method-6</v>
      </c>
      <c r="L8" s="76">
        <f>IF(ResourceAction[[#This Row],[No]]="id","id",-2+COUNTA($E$1:ResourceAction[[#This Row],[Resource]])+IF(ISNUMBER(VLOOKUP('Table Seed Map'!$A$35,SeedMap[],9,0)),VLOOKUP('Table Seed Map'!$A$35,SeedMap[],9,0),0))</f>
        <v>533106</v>
      </c>
      <c r="M8" s="76">
        <f>IF(ResourceAction[[#This Row],[No]]="id","resource_action",ResourceAction[[#This Row],[No]])</f>
        <v>532106</v>
      </c>
      <c r="N8" s="87" t="s">
        <v>122</v>
      </c>
      <c r="O8" s="88">
        <f ca="1">IF(ResourceAction[[#This Row],[Resource Name]]="","idn1",IF(ResourceAction[[#This Row],[IDN1]]="","",VLOOKUP(ResourceAction[[#This Row],[IDN1]],IDNMaps[[Display]:[ID]],2,0)))</f>
        <v>522101</v>
      </c>
      <c r="P8" s="88" t="str">
        <f>IF(ResourceAction[[#This Row],[Resource Name]]="","idn2",IF(ResourceAction[[#This Row],[IDN2]]="","",VLOOKUP(ResourceAction[[#This Row],[IDN2]],IDNMaps[[Display]:[ID]],2,0)))</f>
        <v/>
      </c>
      <c r="Q8" s="88" t="str">
        <f>IF(ResourceAction[[#This Row],[Resource Name]]="","idn3",IF(ResourceAction[[#This Row],[IDN3]]="","",VLOOKUP(ResourceAction[[#This Row],[IDN3]],IDNMaps[[Display]:[ID]],2,0)))</f>
        <v/>
      </c>
      <c r="R8" s="88" t="str">
        <f>IF(ResourceAction[[#This Row],[Resource Name]]="","idn4",IF(ResourceAction[[#This Row],[IDN4]]="","",VLOOKUP(ResourceAction[[#This Row],[IDN4]],IDNMaps[[Display]:[ID]],2,0)))</f>
        <v/>
      </c>
      <c r="S8" s="88" t="str">
        <f>IF(ResourceAction[[#This Row],[Resource Name]]="","idn5",IF(ResourceAction[[#This Row],[IDN5]]="","",VLOOKUP(ResourceAction[[#This Row],[IDN5]],IDNMaps[[Display]:[ID]],2,0)))</f>
        <v/>
      </c>
      <c r="T8" s="89" t="s">
        <v>910</v>
      </c>
      <c r="U8" s="89"/>
      <c r="V8" s="89"/>
      <c r="W8" s="89"/>
      <c r="X8" s="89"/>
      <c r="Y8" s="83">
        <f>ResourceAction[No]</f>
        <v>532106</v>
      </c>
      <c r="Z8"/>
    </row>
    <row r="9" spans="1:45" x14ac:dyDescent="0.25">
      <c r="A9" s="76" t="str">
        <f>'Table Seed Map'!$A$34&amp;"-"&amp;(COUNTA($E$1:ResourceAction[[#This Row],[Resource]])-2)</f>
        <v>Resource Actions-7</v>
      </c>
      <c r="B9" s="76" t="str">
        <f>ResourceAction[[#This Row],[Resource Name]]&amp;"/"&amp;ResourceAction[[#This Row],[Name]]</f>
        <v>Counter/ListCounterAction</v>
      </c>
      <c r="C9" s="58" t="s">
        <v>843</v>
      </c>
      <c r="D9" s="76">
        <f>IF(ResourceAction[[#This Row],[Resource Name]]="","id",COUNTA($C$1:ResourceAction[[#This Row],[Resource Name]])-1+IF(VLOOKUP('Table Seed Map'!$A$34,SeedMap[],9,0),VLOOKUP('Table Seed Map'!$A$34,SeedMap[],9,0),0))</f>
        <v>532107</v>
      </c>
      <c r="E9" s="76">
        <f>IFERROR(VLOOKUP(ResourceAction[[#This Row],[Resource Name]],ResourceTable[[RName]:[No]],3,0),"resource")</f>
        <v>505104</v>
      </c>
      <c r="F9" s="76" t="s">
        <v>913</v>
      </c>
      <c r="G9" s="76"/>
      <c r="H9" s="76"/>
      <c r="I9" s="76"/>
      <c r="J9" s="76" t="s">
        <v>850</v>
      </c>
      <c r="K9" s="75" t="str">
        <f>'Table Seed Map'!$A$35&amp;"-"&amp;(COUNTA($E$1:ResourceAction[[#This Row],[Resource]])-2)</f>
        <v>Action Method-7</v>
      </c>
      <c r="L9" s="76">
        <f>IF(ResourceAction[[#This Row],[No]]="id","id",-2+COUNTA($E$1:ResourceAction[[#This Row],[Resource]])+IF(ISNUMBER(VLOOKUP('Table Seed Map'!$A$35,SeedMap[],9,0)),VLOOKUP('Table Seed Map'!$A$35,SeedMap[],9,0),0))</f>
        <v>533107</v>
      </c>
      <c r="M9" s="76">
        <f>IF(ResourceAction[[#This Row],[No]]="id","resource_action",ResourceAction[[#This Row],[No]])</f>
        <v>532107</v>
      </c>
      <c r="N9" s="87" t="s">
        <v>122</v>
      </c>
      <c r="O9" s="88">
        <f ca="1">IF(ResourceAction[[#This Row],[Resource Name]]="","idn1",IF(ResourceAction[[#This Row],[IDN1]]="","",VLOOKUP(ResourceAction[[#This Row],[IDN1]],IDNMaps[[Display]:[ID]],2,0)))</f>
        <v>522102</v>
      </c>
      <c r="P9" s="88" t="str">
        <f>IF(ResourceAction[[#This Row],[Resource Name]]="","idn2",IF(ResourceAction[[#This Row],[IDN2]]="","",VLOOKUP(ResourceAction[[#This Row],[IDN2]],IDNMaps[[Display]:[ID]],2,0)))</f>
        <v/>
      </c>
      <c r="Q9" s="88" t="str">
        <f>IF(ResourceAction[[#This Row],[Resource Name]]="","idn3",IF(ResourceAction[[#This Row],[IDN3]]="","",VLOOKUP(ResourceAction[[#This Row],[IDN3]],IDNMaps[[Display]:[ID]],2,0)))</f>
        <v/>
      </c>
      <c r="R9" s="88" t="str">
        <f>IF(ResourceAction[[#This Row],[Resource Name]]="","idn4",IF(ResourceAction[[#This Row],[IDN4]]="","",VLOOKUP(ResourceAction[[#This Row],[IDN4]],IDNMaps[[Display]:[ID]],2,0)))</f>
        <v/>
      </c>
      <c r="S9" s="88" t="str">
        <f>IF(ResourceAction[[#This Row],[Resource Name]]="","idn5",IF(ResourceAction[[#This Row],[IDN5]]="","",VLOOKUP(ResourceAction[[#This Row],[IDN5]],IDNMaps[[Display]:[ID]],2,0)))</f>
        <v/>
      </c>
      <c r="T9" s="89" t="s">
        <v>914</v>
      </c>
      <c r="U9" s="89"/>
      <c r="V9" s="89"/>
      <c r="W9" s="89"/>
      <c r="X9" s="89"/>
      <c r="Y9" s="83">
        <f>ResourceAction[No]</f>
        <v>532107</v>
      </c>
      <c r="Z9"/>
    </row>
    <row r="10" spans="1:45" x14ac:dyDescent="0.25">
      <c r="Z10"/>
    </row>
    <row r="11" spans="1:45" x14ac:dyDescent="0.25">
      <c r="Z11"/>
    </row>
    <row r="12" spans="1:45" x14ac:dyDescent="0.25">
      <c r="Z12"/>
    </row>
  </sheetData>
  <dataValidations count="7">
    <dataValidation type="list" allowBlank="1" showInputMessage="1" showErrorMessage="1" sqref="AN2 AA2">
      <formula1>ActionsName</formula1>
    </dataValidation>
    <dataValidation type="list" allowBlank="1" showInputMessage="1" showErrorMessage="1" sqref="AC2">
      <formula1>ListNames</formula1>
    </dataValidation>
    <dataValidation type="list" allowBlank="1" showInputMessage="1" showErrorMessage="1" sqref="AD2">
      <formula1>DataNames</formula1>
    </dataValidation>
    <dataValidation type="list" allowBlank="1" showInputMessage="1" showErrorMessage="1" sqref="I2:I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9">
      <formula1>Resources</formula1>
    </dataValidation>
    <dataValidation type="list" allowBlank="1" showInputMessage="1" showErrorMessage="1" sqref="T2:X9">
      <formula1>IDNs</formula1>
    </dataValidation>
    <dataValidation type="list" allowBlank="1" showInputMessage="1" showErrorMessage="1" sqref="N2:N9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2019-09-03T14:04:04Z</dcterms:modified>
</cp:coreProperties>
</file>