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650" tabRatio="758" firstSheet="3" activeTab="5"/>
  </bookViews>
  <sheets>
    <sheet name="Tables" sheetId="1" state="hidden" r:id="rId1"/>
    <sheet name="Fields" sheetId="2" state="hidden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W39" i="28" l="1"/>
  <c r="AV39" i="28"/>
  <c r="B38" i="27"/>
  <c r="D38" i="27"/>
  <c r="AB38" i="27" s="1"/>
  <c r="E38" i="27"/>
  <c r="S38" i="27"/>
  <c r="T38" i="27"/>
  <c r="U38" i="27"/>
  <c r="V38" i="27"/>
  <c r="AV50" i="28"/>
  <c r="AW50" i="28"/>
  <c r="AZ50" i="28"/>
  <c r="BA50" i="28"/>
  <c r="BB50" i="28"/>
  <c r="AV44" i="28"/>
  <c r="AZ44" i="28"/>
  <c r="BA44" i="28"/>
  <c r="BB44" i="28"/>
  <c r="AV46" i="28"/>
  <c r="AV47" i="28"/>
  <c r="AV48" i="28"/>
  <c r="AV49" i="28"/>
  <c r="BB49" i="28"/>
  <c r="BA49" i="28"/>
  <c r="AZ49" i="28"/>
  <c r="BB48" i="28"/>
  <c r="BA48" i="28"/>
  <c r="AZ48" i="28"/>
  <c r="BB47" i="28"/>
  <c r="BA47" i="28"/>
  <c r="AZ47" i="28"/>
  <c r="BB46" i="28"/>
  <c r="BA46" i="28"/>
  <c r="AZ46" i="28"/>
  <c r="BB45" i="28"/>
  <c r="BA45" i="28"/>
  <c r="AZ45" i="28"/>
  <c r="AV45" i="28"/>
  <c r="AN39" i="28"/>
  <c r="AM39" i="28"/>
  <c r="AL39" i="28"/>
  <c r="AK39" i="28"/>
  <c r="AN38" i="28"/>
  <c r="AM38" i="28"/>
  <c r="AL38" i="28"/>
  <c r="AK38" i="28"/>
  <c r="AH39" i="28"/>
  <c r="AH38" i="28"/>
  <c r="W20" i="28"/>
  <c r="W21" i="28"/>
  <c r="AA20" i="28"/>
  <c r="AA21" i="28"/>
  <c r="AA22" i="28"/>
  <c r="A18" i="28"/>
  <c r="C18" i="28"/>
  <c r="D18" i="28"/>
  <c r="K18" i="28" s="1"/>
  <c r="E18" i="28"/>
  <c r="P11" i="19"/>
  <c r="R11" i="19"/>
  <c r="S11" i="19"/>
  <c r="T11" i="19"/>
  <c r="P10" i="19"/>
  <c r="R10" i="19"/>
  <c r="S10" i="19"/>
  <c r="T10" i="19"/>
  <c r="B37" i="27"/>
  <c r="D37" i="27"/>
  <c r="AB37" i="27" s="1"/>
  <c r="E37" i="27"/>
  <c r="A38" i="27" s="1"/>
  <c r="S37" i="27"/>
  <c r="T37" i="27"/>
  <c r="U37" i="27"/>
  <c r="V37" i="27"/>
  <c r="AV43" i="28"/>
  <c r="AV42" i="28"/>
  <c r="AV41" i="28"/>
  <c r="AV40" i="28"/>
  <c r="AH37" i="28"/>
  <c r="AH36" i="28"/>
  <c r="A17" i="28"/>
  <c r="C17" i="28"/>
  <c r="D17" i="28"/>
  <c r="K17" i="28" s="1"/>
  <c r="E17" i="28"/>
  <c r="N38" i="27" l="1"/>
  <c r="P38" i="27"/>
  <c r="O38" i="27"/>
  <c r="P37" i="27"/>
  <c r="BE30" i="9"/>
  <c r="BE31" i="9"/>
  <c r="BE32" i="9"/>
  <c r="BE33" i="9"/>
  <c r="BD30" i="9"/>
  <c r="BD31" i="9"/>
  <c r="BD32" i="9"/>
  <c r="BD33" i="9"/>
  <c r="AH26" i="27" l="1"/>
  <c r="AH27" i="27"/>
  <c r="AI26" i="27"/>
  <c r="AI27" i="27"/>
  <c r="AL26" i="27"/>
  <c r="AL27" i="27"/>
  <c r="AM26" i="27"/>
  <c r="AM27" i="27"/>
  <c r="AO26" i="27"/>
  <c r="AO27" i="27"/>
  <c r="AH25" i="27"/>
  <c r="AI25" i="27"/>
  <c r="AL25" i="27"/>
  <c r="AM25" i="27"/>
  <c r="AO25" i="27"/>
  <c r="B36" i="27"/>
  <c r="D36" i="27"/>
  <c r="P36" i="27" s="1"/>
  <c r="T36" i="27"/>
  <c r="U36" i="27"/>
  <c r="V36" i="27"/>
  <c r="O35" i="9"/>
  <c r="M35" i="9" s="1"/>
  <c r="P35" i="9"/>
  <c r="AE35" i="9"/>
  <c r="AB35" i="9" s="1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Q35" i="9" l="1"/>
  <c r="AB36" i="27"/>
  <c r="AN35" i="9"/>
  <c r="BA35" i="9"/>
  <c r="AD35" i="9"/>
  <c r="Q34" i="9"/>
  <c r="BF32" i="9" s="1"/>
  <c r="AE34" i="9"/>
  <c r="AB34" i="9" s="1"/>
  <c r="AB33" i="9"/>
  <c r="Q33" i="9"/>
  <c r="BF31" i="9" s="1"/>
  <c r="A23" i="24"/>
  <c r="C23" i="24"/>
  <c r="AY35" i="9" l="1"/>
  <c r="BF33" i="9"/>
  <c r="AD34" i="9"/>
  <c r="AY34" i="9"/>
  <c r="BA34" i="9"/>
  <c r="AN34" i="9"/>
  <c r="AD33" i="9"/>
  <c r="AY33" i="9"/>
  <c r="BA33" i="9"/>
  <c r="AN33" i="9"/>
  <c r="AV38" i="28"/>
  <c r="AV37" i="28"/>
  <c r="AH24" i="27"/>
  <c r="AI24" i="27"/>
  <c r="AL24" i="27"/>
  <c r="AM24" i="27"/>
  <c r="AO24" i="27"/>
  <c r="C8" i="29"/>
  <c r="B35" i="27"/>
  <c r="D35" i="27"/>
  <c r="AB35" i="27" s="1"/>
  <c r="T35" i="27"/>
  <c r="U35" i="27"/>
  <c r="V35" i="27"/>
  <c r="B34" i="27"/>
  <c r="D34" i="27"/>
  <c r="P34" i="27" s="1"/>
  <c r="S34" i="27"/>
  <c r="T34" i="27"/>
  <c r="U34" i="27"/>
  <c r="V34" i="27"/>
  <c r="AH35" i="28"/>
  <c r="AH34" i="28"/>
  <c r="AH33" i="28"/>
  <c r="A16" i="28"/>
  <c r="C16" i="28"/>
  <c r="D16" i="28"/>
  <c r="K16" i="28" s="1"/>
  <c r="AT32" i="9"/>
  <c r="AJ32" i="9"/>
  <c r="P32" i="9"/>
  <c r="O32" i="9"/>
  <c r="AE32" i="9" s="1"/>
  <c r="AB32" i="9" s="1"/>
  <c r="AT31" i="9"/>
  <c r="AJ31" i="9"/>
  <c r="P31" i="9"/>
  <c r="O31" i="9"/>
  <c r="AE31" i="9" s="1"/>
  <c r="AB31" i="9" s="1"/>
  <c r="AT30" i="9"/>
  <c r="AJ30" i="9"/>
  <c r="P30" i="9"/>
  <c r="O30" i="9"/>
  <c r="AE30" i="9" s="1"/>
  <c r="AB30" i="9" s="1"/>
  <c r="A22" i="24"/>
  <c r="C22" i="24"/>
  <c r="H10" i="14"/>
  <c r="A10" i="14"/>
  <c r="B10" i="14"/>
  <c r="AH23" i="27"/>
  <c r="AI23" i="27"/>
  <c r="AL23" i="27"/>
  <c r="AM23" i="27"/>
  <c r="AH22" i="27"/>
  <c r="AI22" i="27"/>
  <c r="AL22" i="27"/>
  <c r="AM22" i="27"/>
  <c r="AH21" i="27"/>
  <c r="AI21" i="27"/>
  <c r="AL21" i="27"/>
  <c r="AM21" i="27"/>
  <c r="AH20" i="27"/>
  <c r="AI20" i="27"/>
  <c r="AL20" i="27"/>
  <c r="AM20" i="27"/>
  <c r="B33" i="27"/>
  <c r="D33" i="27"/>
  <c r="AB33" i="27" s="1"/>
  <c r="T33" i="27"/>
  <c r="U33" i="27"/>
  <c r="V33" i="27"/>
  <c r="B32" i="27"/>
  <c r="D32" i="27"/>
  <c r="AB32" i="27" s="1"/>
  <c r="T32" i="27"/>
  <c r="U32" i="27"/>
  <c r="V32" i="27"/>
  <c r="B31" i="27"/>
  <c r="D31" i="27"/>
  <c r="AB31" i="27" s="1"/>
  <c r="T31" i="27"/>
  <c r="U31" i="27"/>
  <c r="V31" i="27"/>
  <c r="B30" i="27"/>
  <c r="D30" i="27"/>
  <c r="AB30" i="27" s="1"/>
  <c r="T30" i="27"/>
  <c r="U30" i="27"/>
  <c r="V30" i="27"/>
  <c r="C7" i="29"/>
  <c r="C6" i="29"/>
  <c r="C5" i="29"/>
  <c r="C4" i="29"/>
  <c r="B11" i="9"/>
  <c r="B10" i="9"/>
  <c r="P35" i="27" l="1"/>
  <c r="AB34" i="27"/>
  <c r="Q32" i="9"/>
  <c r="BF30" i="9" s="1"/>
  <c r="Q31" i="9"/>
  <c r="Q30" i="9"/>
  <c r="BA30" i="9" s="1"/>
  <c r="P33" i="27"/>
  <c r="P32" i="27"/>
  <c r="P31" i="27"/>
  <c r="P30" i="27"/>
  <c r="AV8" i="28"/>
  <c r="BA32" i="9" l="1"/>
  <c r="AD32" i="9"/>
  <c r="AY32" i="9"/>
  <c r="AN32" i="9"/>
  <c r="BA31" i="9"/>
  <c r="AD31" i="9"/>
  <c r="AY31" i="9"/>
  <c r="AN31" i="9"/>
  <c r="AY30" i="9"/>
  <c r="AD30" i="9"/>
  <c r="AN30" i="9"/>
  <c r="AH19" i="27"/>
  <c r="AI19" i="27"/>
  <c r="AL19" i="27"/>
  <c r="AM19" i="27"/>
  <c r="B29" i="27"/>
  <c r="D29" i="27"/>
  <c r="U29" i="27"/>
  <c r="V29" i="27"/>
  <c r="A21" i="24"/>
  <c r="C21" i="24"/>
  <c r="AV22" i="28"/>
  <c r="AB29" i="27" l="1"/>
  <c r="P29" i="27"/>
  <c r="P9" i="19"/>
  <c r="R9" i="19"/>
  <c r="S9" i="19"/>
  <c r="AV27" i="28"/>
  <c r="AV17" i="28"/>
  <c r="AV11" i="28"/>
  <c r="AH18" i="27"/>
  <c r="AI18" i="27"/>
  <c r="AL18" i="27"/>
  <c r="AM18" i="27"/>
  <c r="AH17" i="27"/>
  <c r="AI17" i="27"/>
  <c r="AL17" i="27"/>
  <c r="AM17" i="27"/>
  <c r="B28" i="27"/>
  <c r="D28" i="27"/>
  <c r="AB28" i="27" s="1"/>
  <c r="T28" i="27"/>
  <c r="U28" i="27"/>
  <c r="V28" i="27"/>
  <c r="B27" i="27"/>
  <c r="D27" i="27"/>
  <c r="T27" i="27"/>
  <c r="U27" i="27"/>
  <c r="V27" i="27"/>
  <c r="AH16" i="27"/>
  <c r="AI16" i="27"/>
  <c r="AL16" i="27"/>
  <c r="AM16" i="27"/>
  <c r="B26" i="27"/>
  <c r="D26" i="27"/>
  <c r="AB26" i="27" s="1"/>
  <c r="T26" i="27"/>
  <c r="U26" i="27"/>
  <c r="V26" i="27"/>
  <c r="A17" i="19"/>
  <c r="B17" i="19"/>
  <c r="D17" i="19" s="1"/>
  <c r="N17" i="19" s="1"/>
  <c r="C17" i="19"/>
  <c r="T25" i="27"/>
  <c r="U25" i="27"/>
  <c r="V25" i="27"/>
  <c r="S3" i="27"/>
  <c r="T3" i="27"/>
  <c r="U3" i="27"/>
  <c r="V3" i="27"/>
  <c r="S4" i="27"/>
  <c r="T4" i="27"/>
  <c r="U4" i="27"/>
  <c r="V4" i="27"/>
  <c r="S5" i="27"/>
  <c r="T5" i="27"/>
  <c r="U5" i="27"/>
  <c r="V5" i="27"/>
  <c r="S6" i="27"/>
  <c r="T6" i="27"/>
  <c r="U6" i="27"/>
  <c r="V6" i="27"/>
  <c r="T7" i="27"/>
  <c r="U7" i="27"/>
  <c r="V7" i="27"/>
  <c r="T8" i="27"/>
  <c r="U8" i="27"/>
  <c r="V8" i="27"/>
  <c r="S9" i="27"/>
  <c r="T9" i="27"/>
  <c r="U9" i="27"/>
  <c r="V9" i="27"/>
  <c r="S10" i="27"/>
  <c r="T10" i="27"/>
  <c r="U10" i="27"/>
  <c r="V10" i="27"/>
  <c r="T11" i="27"/>
  <c r="U11" i="27"/>
  <c r="V11" i="27"/>
  <c r="T12" i="27"/>
  <c r="U12" i="27"/>
  <c r="V12" i="27"/>
  <c r="T13" i="27"/>
  <c r="U13" i="27"/>
  <c r="V13" i="27"/>
  <c r="S14" i="27"/>
  <c r="T14" i="27"/>
  <c r="U14" i="27"/>
  <c r="V14" i="27"/>
  <c r="S15" i="27"/>
  <c r="T15" i="27"/>
  <c r="U15" i="27"/>
  <c r="V15" i="27"/>
  <c r="S16" i="27"/>
  <c r="T16" i="27"/>
  <c r="U16" i="27"/>
  <c r="V16" i="27"/>
  <c r="S17" i="27"/>
  <c r="T17" i="27"/>
  <c r="U17" i="27"/>
  <c r="V17" i="27"/>
  <c r="T18" i="27"/>
  <c r="U18" i="27"/>
  <c r="V18" i="27"/>
  <c r="T19" i="27"/>
  <c r="U19" i="27"/>
  <c r="V19" i="27"/>
  <c r="S20" i="27"/>
  <c r="T20" i="27"/>
  <c r="U20" i="27"/>
  <c r="V20" i="27"/>
  <c r="T21" i="27"/>
  <c r="U21" i="27"/>
  <c r="V21" i="27"/>
  <c r="T22" i="27"/>
  <c r="U22" i="27"/>
  <c r="V22" i="27"/>
  <c r="S23" i="27"/>
  <c r="T23" i="27"/>
  <c r="U23" i="27"/>
  <c r="V23" i="27"/>
  <c r="S24" i="27"/>
  <c r="T24" i="27"/>
  <c r="U24" i="27"/>
  <c r="V24" i="27"/>
  <c r="B25" i="27"/>
  <c r="D25" i="27"/>
  <c r="AB25" i="27" s="1"/>
  <c r="AV36" i="28"/>
  <c r="AV35" i="28"/>
  <c r="AV34" i="28"/>
  <c r="A15" i="28"/>
  <c r="C15" i="28"/>
  <c r="D15" i="28"/>
  <c r="K15" i="28" s="1"/>
  <c r="H6" i="14"/>
  <c r="A6" i="14"/>
  <c r="B6" i="14"/>
  <c r="P28" i="27" l="1"/>
  <c r="AB27" i="27"/>
  <c r="P27" i="27"/>
  <c r="P26" i="27"/>
  <c r="P25" i="27"/>
  <c r="G17" i="19"/>
  <c r="A20" i="24"/>
  <c r="C20" i="24"/>
  <c r="B13" i="27" l="1"/>
  <c r="D13" i="27"/>
  <c r="P13" i="27" s="1"/>
  <c r="AB13" i="27" l="1"/>
  <c r="AV10" i="28"/>
  <c r="AH10" i="28"/>
  <c r="AH9" i="28"/>
  <c r="A6" i="28"/>
  <c r="C6" i="28"/>
  <c r="D6" i="28"/>
  <c r="K6" i="28" s="1"/>
  <c r="B24" i="27"/>
  <c r="D24" i="27"/>
  <c r="AB24" i="27" s="1"/>
  <c r="AV33" i="28"/>
  <c r="AV32" i="28"/>
  <c r="AH32" i="28"/>
  <c r="AH31" i="28"/>
  <c r="A14" i="28"/>
  <c r="C14" i="28"/>
  <c r="D14" i="28"/>
  <c r="BD12" i="9"/>
  <c r="BE12" i="9"/>
  <c r="O12" i="9"/>
  <c r="AE12" i="9" s="1"/>
  <c r="P12" i="9"/>
  <c r="AJ12" i="9"/>
  <c r="AT12" i="9"/>
  <c r="K14" i="28" l="1"/>
  <c r="P24" i="27"/>
  <c r="AB12" i="9"/>
  <c r="Q12" i="9"/>
  <c r="B23" i="27"/>
  <c r="D23" i="27"/>
  <c r="AB23" i="27" s="1"/>
  <c r="A16" i="19"/>
  <c r="B16" i="19"/>
  <c r="D16" i="19" s="1"/>
  <c r="C16" i="19"/>
  <c r="A15" i="19"/>
  <c r="B15" i="19"/>
  <c r="D15" i="19" s="1"/>
  <c r="C15" i="19"/>
  <c r="A14" i="19"/>
  <c r="B14" i="19"/>
  <c r="D14" i="19" s="1"/>
  <c r="N14" i="19" s="1"/>
  <c r="C14" i="19"/>
  <c r="A13" i="19"/>
  <c r="B13" i="19"/>
  <c r="D13" i="19" s="1"/>
  <c r="N13" i="19" s="1"/>
  <c r="C13" i="19"/>
  <c r="C38" i="3"/>
  <c r="D38" i="3"/>
  <c r="E38" i="3"/>
  <c r="F38" i="3"/>
  <c r="G38" i="3"/>
  <c r="H38" i="3"/>
  <c r="I38" i="3"/>
  <c r="J38" i="3"/>
  <c r="C32" i="3"/>
  <c r="D32" i="3"/>
  <c r="E32" i="3"/>
  <c r="F32" i="3"/>
  <c r="G32" i="3"/>
  <c r="H32" i="3"/>
  <c r="I32" i="3"/>
  <c r="J32" i="3"/>
  <c r="BD29" i="9"/>
  <c r="BE29" i="9"/>
  <c r="BD28" i="9"/>
  <c r="BE28" i="9"/>
  <c r="O29" i="9"/>
  <c r="M32" i="9" s="1"/>
  <c r="P29" i="9"/>
  <c r="AJ29" i="9"/>
  <c r="AT29" i="9"/>
  <c r="C35" i="3"/>
  <c r="D35" i="3"/>
  <c r="E35" i="3"/>
  <c r="F35" i="3"/>
  <c r="G35" i="3"/>
  <c r="H35" i="3"/>
  <c r="I35" i="3"/>
  <c r="J35" i="3"/>
  <c r="O28" i="9"/>
  <c r="M31" i="9" s="1"/>
  <c r="P28" i="9"/>
  <c r="AJ28" i="9"/>
  <c r="AT28" i="9"/>
  <c r="B9" i="9"/>
  <c r="H5" i="14"/>
  <c r="A5" i="14"/>
  <c r="B5" i="14"/>
  <c r="C22" i="3"/>
  <c r="D22" i="3"/>
  <c r="E22" i="3"/>
  <c r="F22" i="3"/>
  <c r="G22" i="3"/>
  <c r="H22" i="3"/>
  <c r="I22" i="3"/>
  <c r="J22" i="3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J24" i="2"/>
  <c r="B48" i="1"/>
  <c r="F48" i="1" s="1"/>
  <c r="C48" i="1"/>
  <c r="E48" i="1" s="1"/>
  <c r="D48" i="1"/>
  <c r="K22" i="3" l="1"/>
  <c r="N15" i="19"/>
  <c r="N16" i="19"/>
  <c r="AD12" i="9"/>
  <c r="AY12" i="9"/>
  <c r="BA12" i="9"/>
  <c r="AN12" i="9"/>
  <c r="P23" i="27"/>
  <c r="G16" i="19"/>
  <c r="G15" i="19"/>
  <c r="G14" i="19"/>
  <c r="G13" i="19"/>
  <c r="K38" i="3"/>
  <c r="K32" i="3"/>
  <c r="Q29" i="9"/>
  <c r="AE29" i="9"/>
  <c r="AB29" i="9" s="1"/>
  <c r="K35" i="3"/>
  <c r="H48" i="1"/>
  <c r="Q28" i="9"/>
  <c r="AE28" i="9"/>
  <c r="AB28" i="9" s="1"/>
  <c r="K37" i="3"/>
  <c r="K36" i="3"/>
  <c r="J48" i="1"/>
  <c r="G48" i="1"/>
  <c r="I48" i="1"/>
  <c r="AV30" i="28"/>
  <c r="AV25" i="28"/>
  <c r="AH30" i="28"/>
  <c r="AH26" i="28"/>
  <c r="AH22" i="28"/>
  <c r="AH19" i="28"/>
  <c r="AH16" i="28"/>
  <c r="AH13" i="28"/>
  <c r="BD27" i="9"/>
  <c r="BE27" i="9"/>
  <c r="BD26" i="9"/>
  <c r="BE26" i="9"/>
  <c r="O27" i="9"/>
  <c r="M30" i="9" s="1"/>
  <c r="P27" i="9"/>
  <c r="AJ27" i="9"/>
  <c r="AT27" i="9"/>
  <c r="AE5" i="29"/>
  <c r="AH5" i="29"/>
  <c r="C27" i="3"/>
  <c r="D27" i="3"/>
  <c r="E27" i="3"/>
  <c r="F27" i="3"/>
  <c r="G27" i="3"/>
  <c r="H27" i="3"/>
  <c r="I27" i="3"/>
  <c r="J27" i="3"/>
  <c r="J18" i="2"/>
  <c r="A19" i="24"/>
  <c r="C19" i="24"/>
  <c r="AH15" i="27"/>
  <c r="AI15" i="27"/>
  <c r="AL15" i="27"/>
  <c r="AM15" i="27"/>
  <c r="AH14" i="27"/>
  <c r="AI14" i="27"/>
  <c r="AL14" i="27"/>
  <c r="AM14" i="27"/>
  <c r="AD29" i="9" l="1"/>
  <c r="AY29" i="9"/>
  <c r="BA29" i="9"/>
  <c r="AN29" i="9"/>
  <c r="AY28" i="9"/>
  <c r="BA28" i="9"/>
  <c r="AN28" i="9"/>
  <c r="AD28" i="9"/>
  <c r="AE27" i="9"/>
  <c r="AB27" i="9" s="1"/>
  <c r="Q27" i="9"/>
  <c r="AD27" i="9" s="1"/>
  <c r="K27" i="3"/>
  <c r="AH13" i="27"/>
  <c r="AI13" i="27"/>
  <c r="AL13" i="27"/>
  <c r="AM13" i="27"/>
  <c r="B22" i="27"/>
  <c r="D22" i="27"/>
  <c r="AB22" i="27" s="1"/>
  <c r="AV31" i="28"/>
  <c r="AV29" i="28"/>
  <c r="AV28" i="28"/>
  <c r="AH29" i="28"/>
  <c r="AH28" i="28"/>
  <c r="A13" i="28"/>
  <c r="C13" i="28"/>
  <c r="D13" i="28"/>
  <c r="AH12" i="27"/>
  <c r="AI12" i="27"/>
  <c r="AL12" i="27"/>
  <c r="AM12" i="27"/>
  <c r="AH11" i="27"/>
  <c r="AI11" i="27"/>
  <c r="AL11" i="27"/>
  <c r="AM11" i="27"/>
  <c r="AV26" i="28"/>
  <c r="AV24" i="28"/>
  <c r="AV23" i="28"/>
  <c r="AH27" i="28"/>
  <c r="A12" i="28"/>
  <c r="C12" i="28"/>
  <c r="D12" i="28"/>
  <c r="B12" i="27"/>
  <c r="D12" i="27"/>
  <c r="P12" i="27" s="1"/>
  <c r="B21" i="27"/>
  <c r="D21" i="27"/>
  <c r="P21" i="27" s="1"/>
  <c r="BK11" i="9"/>
  <c r="BM11" i="9" s="1"/>
  <c r="BD25" i="9"/>
  <c r="BE25" i="9"/>
  <c r="BD24" i="9"/>
  <c r="BE24" i="9"/>
  <c r="BD23" i="9"/>
  <c r="BE23" i="9"/>
  <c r="O26" i="9"/>
  <c r="M29" i="9" s="1"/>
  <c r="P26" i="9"/>
  <c r="AJ26" i="9"/>
  <c r="AT26" i="9"/>
  <c r="O25" i="9"/>
  <c r="M28" i="9" s="1"/>
  <c r="P25" i="9"/>
  <c r="AJ25" i="9"/>
  <c r="AT25" i="9"/>
  <c r="O24" i="9"/>
  <c r="M27" i="9" s="1"/>
  <c r="P24" i="9"/>
  <c r="AJ24" i="9"/>
  <c r="AT24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20" i="27"/>
  <c r="D20" i="27"/>
  <c r="AB20" i="27" s="1"/>
  <c r="AP10" i="29"/>
  <c r="AR10" i="29"/>
  <c r="AH4" i="29"/>
  <c r="AP9" i="29"/>
  <c r="AR9" i="29"/>
  <c r="AP8" i="29"/>
  <c r="AR8" i="29"/>
  <c r="AP7" i="29"/>
  <c r="AR7" i="29"/>
  <c r="AP6" i="29"/>
  <c r="AR6" i="29"/>
  <c r="AE4" i="29"/>
  <c r="AP5" i="29"/>
  <c r="AR5" i="29"/>
  <c r="AP4" i="29"/>
  <c r="AR4" i="29"/>
  <c r="AP3" i="29"/>
  <c r="AR3" i="29"/>
  <c r="AE3" i="29"/>
  <c r="AH3" i="29"/>
  <c r="AV21" i="28"/>
  <c r="AH25" i="28"/>
  <c r="A12" i="19"/>
  <c r="B12" i="19"/>
  <c r="D12" i="19" s="1"/>
  <c r="N12" i="19" s="1"/>
  <c r="C12" i="19"/>
  <c r="AV20" i="28"/>
  <c r="AH24" i="28"/>
  <c r="AH23" i="28"/>
  <c r="P8" i="19"/>
  <c r="R8" i="19"/>
  <c r="S8" i="19"/>
  <c r="A11" i="28"/>
  <c r="C11" i="28"/>
  <c r="D11" i="28"/>
  <c r="K11" i="28" s="1"/>
  <c r="P7" i="19"/>
  <c r="R7" i="19"/>
  <c r="S7" i="19"/>
  <c r="BD22" i="9"/>
  <c r="BE22" i="9"/>
  <c r="AH7" i="27"/>
  <c r="AI7" i="27"/>
  <c r="AL7" i="27"/>
  <c r="AM7" i="27"/>
  <c r="B19" i="27"/>
  <c r="D19" i="27"/>
  <c r="AB19" i="27" s="1"/>
  <c r="BD21" i="9"/>
  <c r="BE21" i="9"/>
  <c r="BD20" i="9"/>
  <c r="BE20" i="9"/>
  <c r="BD19" i="9"/>
  <c r="BE19" i="9"/>
  <c r="BD18" i="9"/>
  <c r="BE18" i="9"/>
  <c r="O23" i="9"/>
  <c r="Q23" i="9" s="1"/>
  <c r="P23" i="9"/>
  <c r="AJ23" i="9"/>
  <c r="AT23" i="9"/>
  <c r="O22" i="9"/>
  <c r="Q22" i="9" s="1"/>
  <c r="P22" i="9"/>
  <c r="AJ22" i="9"/>
  <c r="AT22" i="9"/>
  <c r="O21" i="9"/>
  <c r="Q21" i="9" s="1"/>
  <c r="P21" i="9"/>
  <c r="AJ21" i="9"/>
  <c r="AT21" i="9"/>
  <c r="O20" i="9"/>
  <c r="P20" i="9"/>
  <c r="AJ20" i="9"/>
  <c r="AT20" i="9"/>
  <c r="O19" i="9"/>
  <c r="AE19" i="9" s="1"/>
  <c r="AB19" i="9" s="1"/>
  <c r="P19" i="9"/>
  <c r="AJ19" i="9"/>
  <c r="AT19" i="9"/>
  <c r="O18" i="9"/>
  <c r="AB18" i="9" s="1"/>
  <c r="P18" i="9"/>
  <c r="AJ18" i="9"/>
  <c r="AT18" i="9"/>
  <c r="O17" i="9"/>
  <c r="P17" i="9"/>
  <c r="AJ17" i="9"/>
  <c r="AT17" i="9"/>
  <c r="B7" i="9"/>
  <c r="K12" i="28" l="1"/>
  <c r="M20" i="9"/>
  <c r="M23" i="9"/>
  <c r="K13" i="28"/>
  <c r="AY27" i="9"/>
  <c r="BA27" i="9"/>
  <c r="AN27" i="9"/>
  <c r="P22" i="27"/>
  <c r="AB12" i="27"/>
  <c r="AB21" i="27"/>
  <c r="BL11" i="9"/>
  <c r="Q26" i="9"/>
  <c r="AE26" i="9"/>
  <c r="AB26" i="9" s="1"/>
  <c r="Q25" i="9"/>
  <c r="AB25" i="9"/>
  <c r="AB24" i="9"/>
  <c r="Q24" i="9"/>
  <c r="P20" i="27"/>
  <c r="G12" i="19"/>
  <c r="P19" i="27"/>
  <c r="M26" i="9"/>
  <c r="AE23" i="9"/>
  <c r="AB23" i="9" s="1"/>
  <c r="AD23" i="9"/>
  <c r="AY23" i="9"/>
  <c r="AN23" i="9"/>
  <c r="BA23" i="9"/>
  <c r="AE21" i="9"/>
  <c r="AB21" i="9" s="1"/>
  <c r="AD22" i="9"/>
  <c r="BA22" i="9"/>
  <c r="AN22" i="9"/>
  <c r="AY22" i="9"/>
  <c r="M25" i="9"/>
  <c r="AE22" i="9"/>
  <c r="AB22" i="9" s="1"/>
  <c r="AN21" i="9"/>
  <c r="AD21" i="9"/>
  <c r="AY21" i="9"/>
  <c r="BA21" i="9"/>
  <c r="M24" i="9"/>
  <c r="Q20" i="9"/>
  <c r="AE20" i="9"/>
  <c r="AB20" i="9" s="1"/>
  <c r="M22" i="9"/>
  <c r="Q19" i="9"/>
  <c r="M21" i="9"/>
  <c r="Q18" i="9"/>
  <c r="Q17" i="9"/>
  <c r="AB17" i="9"/>
  <c r="BD17" i="9"/>
  <c r="BE17" i="9"/>
  <c r="AH6" i="27"/>
  <c r="AI6" i="27"/>
  <c r="AL6" i="27"/>
  <c r="AM6" i="27"/>
  <c r="B18" i="27"/>
  <c r="D18" i="27"/>
  <c r="AB18" i="27" s="1"/>
  <c r="BD15" i="9"/>
  <c r="BE15" i="9"/>
  <c r="BK10" i="9"/>
  <c r="BL10" i="9" s="1"/>
  <c r="BD16" i="9"/>
  <c r="BE16" i="9"/>
  <c r="O16" i="9"/>
  <c r="M19" i="9" s="1"/>
  <c r="P16" i="9"/>
  <c r="AJ16" i="9"/>
  <c r="AT16" i="9"/>
  <c r="BK9" i="9"/>
  <c r="BM9" i="9" s="1"/>
  <c r="BD14" i="9"/>
  <c r="BE14" i="9"/>
  <c r="BD13" i="9"/>
  <c r="BE13" i="9"/>
  <c r="O15" i="9"/>
  <c r="P15" i="9"/>
  <c r="AJ15" i="9"/>
  <c r="AT15" i="9"/>
  <c r="O14" i="9"/>
  <c r="M17" i="9" s="1"/>
  <c r="P14" i="9"/>
  <c r="AJ14" i="9"/>
  <c r="AT14" i="9"/>
  <c r="O13" i="9"/>
  <c r="M13" i="9" s="1"/>
  <c r="P13" i="9"/>
  <c r="AJ13" i="9"/>
  <c r="AT13" i="9"/>
  <c r="B6" i="9"/>
  <c r="C3" i="29"/>
  <c r="B17" i="27"/>
  <c r="D17" i="27"/>
  <c r="B16" i="27"/>
  <c r="D16" i="27"/>
  <c r="B15" i="27"/>
  <c r="D15" i="27"/>
  <c r="P15" i="27" s="1"/>
  <c r="B14" i="27"/>
  <c r="D14" i="27"/>
  <c r="AB14" i="27" s="1"/>
  <c r="AV19" i="28"/>
  <c r="AV18" i="28"/>
  <c r="AV16" i="28"/>
  <c r="AV15" i="28"/>
  <c r="AV14" i="28"/>
  <c r="AV13" i="28"/>
  <c r="AH21" i="28"/>
  <c r="AH20" i="28"/>
  <c r="AH18" i="28"/>
  <c r="AH17" i="28"/>
  <c r="AH15" i="28"/>
  <c r="AH14" i="28"/>
  <c r="A10" i="28"/>
  <c r="C10" i="28"/>
  <c r="D10" i="28"/>
  <c r="A9" i="28"/>
  <c r="C9" i="28"/>
  <c r="D9" i="28"/>
  <c r="K9" i="28" s="1"/>
  <c r="A8" i="28"/>
  <c r="C8" i="28"/>
  <c r="D8" i="28"/>
  <c r="K8" i="28" s="1"/>
  <c r="AV12" i="28"/>
  <c r="AH12" i="28"/>
  <c r="AH11" i="28"/>
  <c r="A11" i="19"/>
  <c r="B11" i="19"/>
  <c r="D11" i="19" s="1"/>
  <c r="C11" i="19"/>
  <c r="A7" i="28"/>
  <c r="C7" i="28"/>
  <c r="D7" i="28"/>
  <c r="AH5" i="27"/>
  <c r="AI5" i="27"/>
  <c r="AL5" i="27"/>
  <c r="AM5" i="27"/>
  <c r="B11" i="27"/>
  <c r="D11" i="27"/>
  <c r="AB11" i="27" s="1"/>
  <c r="A8" i="19"/>
  <c r="B8" i="19"/>
  <c r="D8" i="19" s="1"/>
  <c r="N8" i="19" s="1"/>
  <c r="C8" i="19"/>
  <c r="BD11" i="9"/>
  <c r="BE11" i="9"/>
  <c r="O11" i="9"/>
  <c r="AE11" i="9" s="1"/>
  <c r="AB11" i="9" s="1"/>
  <c r="P11" i="9"/>
  <c r="AJ11" i="9"/>
  <c r="AT11" i="9"/>
  <c r="M16" i="9" l="1"/>
  <c r="AE15" i="9"/>
  <c r="AB15" i="9" s="1"/>
  <c r="M15" i="9"/>
  <c r="K10" i="28"/>
  <c r="N11" i="19"/>
  <c r="AD26" i="9"/>
  <c r="AY26" i="9"/>
  <c r="BA26" i="9"/>
  <c r="AN26" i="9"/>
  <c r="AD25" i="9"/>
  <c r="AY25" i="9"/>
  <c r="BA25" i="9"/>
  <c r="AN25" i="9"/>
  <c r="AD24" i="9"/>
  <c r="AY24" i="9"/>
  <c r="BA24" i="9"/>
  <c r="AN24" i="9"/>
  <c r="K7" i="28"/>
  <c r="AD20" i="9"/>
  <c r="AY20" i="9"/>
  <c r="BA20" i="9"/>
  <c r="AN20" i="9"/>
  <c r="AD19" i="9"/>
  <c r="BA19" i="9"/>
  <c r="AN19" i="9"/>
  <c r="AY19" i="9"/>
  <c r="BA18" i="9"/>
  <c r="AN18" i="9"/>
  <c r="AD18" i="9"/>
  <c r="AY18" i="9"/>
  <c r="AD17" i="9"/>
  <c r="AY17" i="9"/>
  <c r="BA17" i="9"/>
  <c r="AN17" i="9"/>
  <c r="P18" i="27"/>
  <c r="Q15" i="9"/>
  <c r="AD15" i="9" s="1"/>
  <c r="BM10" i="9"/>
  <c r="M18" i="9"/>
  <c r="Q16" i="9"/>
  <c r="AE16" i="9"/>
  <c r="AB16" i="9" s="1"/>
  <c r="BL9" i="9"/>
  <c r="Q14" i="9"/>
  <c r="AB14" i="9"/>
  <c r="AB13" i="9"/>
  <c r="Q13" i="9"/>
  <c r="AB17" i="27"/>
  <c r="P17" i="27"/>
  <c r="AB16" i="27"/>
  <c r="P16" i="27"/>
  <c r="AB15" i="27"/>
  <c r="P14" i="27"/>
  <c r="G11" i="19"/>
  <c r="P11" i="27"/>
  <c r="G8" i="19"/>
  <c r="M14" i="9"/>
  <c r="Q11" i="9"/>
  <c r="M12" i="9"/>
  <c r="M11" i="9"/>
  <c r="C21" i="3"/>
  <c r="D21" i="3"/>
  <c r="E21" i="3"/>
  <c r="F21" i="3"/>
  <c r="G21" i="3"/>
  <c r="H21" i="3"/>
  <c r="I21" i="3"/>
  <c r="J21" i="3"/>
  <c r="B10" i="27"/>
  <c r="D10" i="27"/>
  <c r="AB10" i="27" s="1"/>
  <c r="B9" i="27"/>
  <c r="D9" i="27"/>
  <c r="AB9" i="27" s="1"/>
  <c r="AV9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AH3" i="27"/>
  <c r="AI3" i="27"/>
  <c r="AL3" i="27"/>
  <c r="AM3" i="27"/>
  <c r="B7" i="27"/>
  <c r="D7" i="27"/>
  <c r="P7" i="27" s="1"/>
  <c r="AY15" i="9" l="1"/>
  <c r="BA15" i="9"/>
  <c r="AN15" i="9"/>
  <c r="AD16" i="9"/>
  <c r="AY16" i="9"/>
  <c r="BA16" i="9"/>
  <c r="AN16" i="9"/>
  <c r="AD14" i="9"/>
  <c r="AY14" i="9"/>
  <c r="BA14" i="9"/>
  <c r="AN14" i="9"/>
  <c r="AD13" i="9"/>
  <c r="AY13" i="9"/>
  <c r="BA13" i="9"/>
  <c r="AN13" i="9"/>
  <c r="AD11" i="9"/>
  <c r="AY11" i="9"/>
  <c r="BA11" i="9"/>
  <c r="AN11" i="9"/>
  <c r="K21" i="3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B5" i="27"/>
  <c r="D5" i="27"/>
  <c r="AB5" i="27" s="1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AV4" i="28"/>
  <c r="AV3" i="28"/>
  <c r="AH4" i="28"/>
  <c r="AH3" i="28"/>
  <c r="A3" i="28"/>
  <c r="C3" i="28"/>
  <c r="D3" i="28"/>
  <c r="K3" i="28" s="1"/>
  <c r="H9" i="14"/>
  <c r="H8" i="14"/>
  <c r="H7" i="14"/>
  <c r="H4" i="14"/>
  <c r="H3" i="14"/>
  <c r="K4" i="28" l="1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7" i="14"/>
  <c r="A8" i="14"/>
  <c r="A9" i="14"/>
  <c r="B3" i="14"/>
  <c r="B4" i="14"/>
  <c r="B7" i="14"/>
  <c r="B8" i="14"/>
  <c r="B9" i="14"/>
  <c r="C34" i="3"/>
  <c r="D34" i="3"/>
  <c r="E34" i="3"/>
  <c r="F34" i="3"/>
  <c r="G34" i="3"/>
  <c r="H34" i="3"/>
  <c r="I34" i="3"/>
  <c r="J34" i="3"/>
  <c r="C28" i="3"/>
  <c r="C29" i="3"/>
  <c r="C30" i="3"/>
  <c r="C31" i="3"/>
  <c r="C33" i="3"/>
  <c r="D28" i="3"/>
  <c r="D29" i="3"/>
  <c r="D30" i="3"/>
  <c r="D31" i="3"/>
  <c r="D33" i="3"/>
  <c r="E28" i="3"/>
  <c r="E29" i="3"/>
  <c r="E30" i="3"/>
  <c r="E31" i="3"/>
  <c r="E33" i="3"/>
  <c r="F28" i="3"/>
  <c r="F29" i="3"/>
  <c r="F30" i="3"/>
  <c r="F31" i="3"/>
  <c r="F33" i="3"/>
  <c r="G28" i="3"/>
  <c r="G29" i="3"/>
  <c r="G30" i="3"/>
  <c r="G31" i="3"/>
  <c r="G33" i="3"/>
  <c r="H28" i="3"/>
  <c r="H29" i="3"/>
  <c r="H30" i="3"/>
  <c r="H31" i="3"/>
  <c r="H33" i="3"/>
  <c r="I28" i="3"/>
  <c r="I29" i="3"/>
  <c r="I30" i="3"/>
  <c r="I31" i="3"/>
  <c r="I33" i="3"/>
  <c r="J28" i="3"/>
  <c r="J29" i="3"/>
  <c r="J30" i="3"/>
  <c r="J31" i="3"/>
  <c r="J33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15" i="3"/>
  <c r="C16" i="3"/>
  <c r="C17" i="3"/>
  <c r="C18" i="3"/>
  <c r="C19" i="3"/>
  <c r="C20" i="3"/>
  <c r="D15" i="3"/>
  <c r="D16" i="3"/>
  <c r="D17" i="3"/>
  <c r="D18" i="3"/>
  <c r="D19" i="3"/>
  <c r="D20" i="3"/>
  <c r="E15" i="3"/>
  <c r="E16" i="3"/>
  <c r="E17" i="3"/>
  <c r="E18" i="3"/>
  <c r="E19" i="3"/>
  <c r="E20" i="3"/>
  <c r="F15" i="3"/>
  <c r="F16" i="3"/>
  <c r="F17" i="3"/>
  <c r="F18" i="3"/>
  <c r="F19" i="3"/>
  <c r="F20" i="3"/>
  <c r="G15" i="3"/>
  <c r="G16" i="3"/>
  <c r="G17" i="3"/>
  <c r="G18" i="3"/>
  <c r="G19" i="3"/>
  <c r="G20" i="3"/>
  <c r="H15" i="3"/>
  <c r="H16" i="3"/>
  <c r="H17" i="3"/>
  <c r="H18" i="3"/>
  <c r="H19" i="3"/>
  <c r="H20" i="3"/>
  <c r="I15" i="3"/>
  <c r="I16" i="3"/>
  <c r="I17" i="3"/>
  <c r="I18" i="3"/>
  <c r="I19" i="3"/>
  <c r="I20" i="3"/>
  <c r="J15" i="3"/>
  <c r="J16" i="3"/>
  <c r="J17" i="3"/>
  <c r="J18" i="3"/>
  <c r="J19" i="3"/>
  <c r="J20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0" i="3" l="1"/>
  <c r="K34" i="3"/>
  <c r="K29" i="3"/>
  <c r="K33" i="3"/>
  <c r="K31" i="3"/>
  <c r="K28" i="3"/>
  <c r="K26" i="3"/>
  <c r="K25" i="3"/>
  <c r="K24" i="3"/>
  <c r="K19" i="3"/>
  <c r="K15" i="3"/>
  <c r="K23" i="3"/>
  <c r="K17" i="3"/>
  <c r="K20" i="3"/>
  <c r="K18" i="3"/>
  <c r="K16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9" i="1"/>
  <c r="F49" i="1" s="1"/>
  <c r="C49" i="1"/>
  <c r="E49" i="1" s="1"/>
  <c r="D46" i="21" s="1"/>
  <c r="D49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F39" i="28" s="1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44" i="28" l="1"/>
  <c r="AT50" i="28"/>
  <c r="AT45" i="28"/>
  <c r="AT46" i="28"/>
  <c r="AT47" i="28"/>
  <c r="AT48" i="28"/>
  <c r="AT49" i="28"/>
  <c r="AF37" i="28"/>
  <c r="AF38" i="28"/>
  <c r="AT42" i="28"/>
  <c r="AT43" i="28"/>
  <c r="AT40" i="28"/>
  <c r="AT41" i="28"/>
  <c r="AF35" i="28"/>
  <c r="AF36" i="28"/>
  <c r="AT38" i="28"/>
  <c r="AT39" i="28"/>
  <c r="AT8" i="28"/>
  <c r="AT37" i="28"/>
  <c r="AF33" i="28"/>
  <c r="AF34" i="28"/>
  <c r="AT27" i="28"/>
  <c r="AT22" i="28"/>
  <c r="AT11" i="28"/>
  <c r="AT17" i="28"/>
  <c r="AT35" i="28"/>
  <c r="AT36" i="28"/>
  <c r="AT10" i="28"/>
  <c r="AT34" i="28"/>
  <c r="AF9" i="28"/>
  <c r="AF10" i="28"/>
  <c r="AT32" i="28"/>
  <c r="AT33" i="28"/>
  <c r="AF31" i="28"/>
  <c r="AF32" i="28"/>
  <c r="AT25" i="28"/>
  <c r="AT30" i="28"/>
  <c r="AF26" i="28"/>
  <c r="AF30" i="28"/>
  <c r="AF19" i="28"/>
  <c r="AF22" i="28"/>
  <c r="AF13" i="28"/>
  <c r="AF16" i="28"/>
  <c r="AT31" i="28"/>
  <c r="AT28" i="28"/>
  <c r="AT29" i="28"/>
  <c r="AF28" i="28"/>
  <c r="AF29" i="28"/>
  <c r="AT24" i="28"/>
  <c r="AT26" i="28"/>
  <c r="AT23" i="28"/>
  <c r="AF25" i="28"/>
  <c r="AF27" i="28"/>
  <c r="AT20" i="28"/>
  <c r="AT21" i="28"/>
  <c r="AT19" i="28"/>
  <c r="AF23" i="28"/>
  <c r="AF24" i="28"/>
  <c r="AT16" i="28"/>
  <c r="AT18" i="28"/>
  <c r="AT14" i="28"/>
  <c r="AT15" i="28"/>
  <c r="AT12" i="28"/>
  <c r="AT13" i="28"/>
  <c r="AF20" i="28"/>
  <c r="AF21" i="28"/>
  <c r="AF17" i="28"/>
  <c r="AF18" i="28"/>
  <c r="AF14" i="28"/>
  <c r="AF15" i="28"/>
  <c r="AF11" i="28"/>
  <c r="AF12" i="28"/>
  <c r="H50" i="1"/>
  <c r="AT7" i="28"/>
  <c r="AT9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9" i="1"/>
  <c r="I49" i="1"/>
  <c r="J50" i="1"/>
  <c r="G50" i="1"/>
  <c r="I50" i="1"/>
  <c r="H49" i="1"/>
  <c r="G49" i="1"/>
  <c r="H47" i="1"/>
  <c r="J47" i="1"/>
  <c r="I47" i="1"/>
  <c r="G47" i="1"/>
  <c r="BL2" i="9"/>
  <c r="CI2" i="9"/>
  <c r="AE2" i="9"/>
  <c r="AB2" i="9" s="1"/>
  <c r="AA35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J2" i="9"/>
  <c r="AL35" i="9" s="1"/>
  <c r="P2" i="9"/>
  <c r="BF12" i="9" s="1"/>
  <c r="B2" i="9"/>
  <c r="C2" i="19"/>
  <c r="A2" i="14"/>
  <c r="C10" i="14" s="1"/>
  <c r="D1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I39" i="28" l="1"/>
  <c r="AW44" i="28"/>
  <c r="AW46" i="28"/>
  <c r="AI38" i="28"/>
  <c r="AW45" i="28"/>
  <c r="AW47" i="28"/>
  <c r="N20" i="28"/>
  <c r="AW48" i="28"/>
  <c r="N21" i="28"/>
  <c r="AW49" i="28"/>
  <c r="N22" i="28"/>
  <c r="AW42" i="28"/>
  <c r="AW41" i="28"/>
  <c r="N19" i="28"/>
  <c r="AC19" i="28" s="1"/>
  <c r="AW40" i="28"/>
  <c r="AI36" i="28"/>
  <c r="AW43" i="28"/>
  <c r="N18" i="28"/>
  <c r="AC18" i="28" s="1"/>
  <c r="N17" i="28"/>
  <c r="AB17" i="28" s="1"/>
  <c r="AI37" i="28"/>
  <c r="BB41" i="28"/>
  <c r="AL37" i="28"/>
  <c r="AN36" i="28"/>
  <c r="AA19" i="28"/>
  <c r="AZ42" i="28"/>
  <c r="AM37" i="28"/>
  <c r="BA42" i="28"/>
  <c r="AN37" i="28"/>
  <c r="AK37" i="28"/>
  <c r="BB42" i="28"/>
  <c r="AZ40" i="28"/>
  <c r="AZ43" i="28"/>
  <c r="BA40" i="28"/>
  <c r="BA41" i="28"/>
  <c r="BA43" i="28"/>
  <c r="BB40" i="28"/>
  <c r="AK36" i="28"/>
  <c r="BB43" i="28"/>
  <c r="AZ41" i="28"/>
  <c r="AL36" i="28"/>
  <c r="AM36" i="28"/>
  <c r="AD19" i="28"/>
  <c r="AA18" i="28"/>
  <c r="AA17" i="28"/>
  <c r="AM35" i="28"/>
  <c r="AK33" i="28"/>
  <c r="BA39" i="28"/>
  <c r="AM33" i="28"/>
  <c r="AZ39" i="28"/>
  <c r="AZ37" i="28"/>
  <c r="AN35" i="28"/>
  <c r="AL33" i="28"/>
  <c r="BA37" i="28"/>
  <c r="BB39" i="28"/>
  <c r="BB37" i="28"/>
  <c r="AK34" i="28"/>
  <c r="AN33" i="28"/>
  <c r="AN34" i="28"/>
  <c r="AL34" i="28"/>
  <c r="BA38" i="28"/>
  <c r="BB38" i="28"/>
  <c r="AZ38" i="28"/>
  <c r="AM34" i="28"/>
  <c r="AK35" i="28"/>
  <c r="AL35" i="28"/>
  <c r="BA8" i="28"/>
  <c r="BB8" i="28"/>
  <c r="AZ8" i="28"/>
  <c r="AA16" i="28"/>
  <c r="W17" i="28"/>
  <c r="W18" i="28"/>
  <c r="W14" i="28"/>
  <c r="AE24" i="27"/>
  <c r="AJ24" i="27" s="1"/>
  <c r="AE26" i="27"/>
  <c r="AE27" i="27"/>
  <c r="AE25" i="27"/>
  <c r="AI34" i="28"/>
  <c r="AI35" i="28"/>
  <c r="AW37" i="28"/>
  <c r="AW38" i="28"/>
  <c r="AI33" i="28"/>
  <c r="AK24" i="27"/>
  <c r="AK27" i="27"/>
  <c r="AK26" i="27"/>
  <c r="AK25" i="27"/>
  <c r="AV33" i="9"/>
  <c r="AU33" i="9" s="1"/>
  <c r="AV34" i="9"/>
  <c r="AV35" i="9"/>
  <c r="AC35" i="9"/>
  <c r="AF35" i="9"/>
  <c r="AG35" i="9"/>
  <c r="Z35" i="9"/>
  <c r="AH35" i="9"/>
  <c r="AI35" i="9"/>
  <c r="AK35" i="9"/>
  <c r="AM35" i="9"/>
  <c r="AA33" i="9"/>
  <c r="AF33" i="9" s="1"/>
  <c r="AA34" i="9"/>
  <c r="AL33" i="9"/>
  <c r="AK33" i="9" s="1"/>
  <c r="AL34" i="9"/>
  <c r="AL32" i="9"/>
  <c r="AL30" i="9"/>
  <c r="AL31" i="9"/>
  <c r="AV32" i="9"/>
  <c r="AV31" i="9"/>
  <c r="AV30" i="9"/>
  <c r="AA32" i="9"/>
  <c r="AA31" i="9"/>
  <c r="AA30" i="9"/>
  <c r="M10" i="14"/>
  <c r="E35" i="27"/>
  <c r="E16" i="28"/>
  <c r="E8" i="29"/>
  <c r="F10" i="9"/>
  <c r="E34" i="27"/>
  <c r="AO20" i="27"/>
  <c r="AO22" i="27"/>
  <c r="AO23" i="27"/>
  <c r="AO21" i="27"/>
  <c r="AE19" i="27"/>
  <c r="AJ19" i="27" s="1"/>
  <c r="AE21" i="27"/>
  <c r="AE23" i="27"/>
  <c r="AE22" i="27"/>
  <c r="AE20" i="27"/>
  <c r="AK21" i="27"/>
  <c r="AK20" i="27"/>
  <c r="AK22" i="27"/>
  <c r="AK23" i="27"/>
  <c r="AO19" i="27"/>
  <c r="AO16" i="27"/>
  <c r="AO17" i="27"/>
  <c r="AO18" i="27"/>
  <c r="AL12" i="9"/>
  <c r="AK12" i="9" s="1"/>
  <c r="AV12" i="9"/>
  <c r="AU12" i="9" s="1"/>
  <c r="AA12" i="9"/>
  <c r="AI12" i="9" s="1"/>
  <c r="AW8" i="28"/>
  <c r="N16" i="28"/>
  <c r="AK19" i="27"/>
  <c r="AE16" i="27"/>
  <c r="AN16" i="27" s="1"/>
  <c r="AE18" i="27"/>
  <c r="AE17" i="27"/>
  <c r="AZ22" i="28"/>
  <c r="BA22" i="28"/>
  <c r="BB22" i="28"/>
  <c r="BB27" i="28"/>
  <c r="BA17" i="28"/>
  <c r="AA15" i="28"/>
  <c r="BB17" i="28"/>
  <c r="BA27" i="28"/>
  <c r="BA11" i="28"/>
  <c r="BB11" i="28"/>
  <c r="AA11" i="28"/>
  <c r="AZ27" i="28"/>
  <c r="AZ17" i="28"/>
  <c r="AA13" i="28"/>
  <c r="AZ11" i="28"/>
  <c r="AA12" i="28"/>
  <c r="AW27" i="28"/>
  <c r="N15" i="28"/>
  <c r="AW22" i="28"/>
  <c r="N14" i="28"/>
  <c r="N13" i="28"/>
  <c r="W13" i="28" s="1"/>
  <c r="U13" i="28" s="1"/>
  <c r="N12" i="28"/>
  <c r="N11" i="28"/>
  <c r="W11" i="28" s="1"/>
  <c r="U11" i="28" s="1"/>
  <c r="W8" i="28"/>
  <c r="AW11" i="28"/>
  <c r="AW17" i="28"/>
  <c r="AK17" i="27"/>
  <c r="AK18" i="27"/>
  <c r="AK16" i="27"/>
  <c r="BA36" i="28"/>
  <c r="BA34" i="28"/>
  <c r="AZ36" i="28"/>
  <c r="BB36" i="28"/>
  <c r="BB34" i="28"/>
  <c r="AZ35" i="28"/>
  <c r="BA35" i="28"/>
  <c r="BB35" i="28"/>
  <c r="AZ34" i="28"/>
  <c r="AM10" i="28"/>
  <c r="AL9" i="28"/>
  <c r="BB10" i="28"/>
  <c r="AL10" i="28"/>
  <c r="AN10" i="28"/>
  <c r="BA10" i="28"/>
  <c r="AM9" i="28"/>
  <c r="AN9" i="28"/>
  <c r="AK10" i="28"/>
  <c r="BB33" i="28"/>
  <c r="AM32" i="28"/>
  <c r="AM31" i="28"/>
  <c r="AZ33" i="28"/>
  <c r="AL32" i="28"/>
  <c r="AK31" i="28"/>
  <c r="AZ32" i="28"/>
  <c r="AK9" i="28"/>
  <c r="AK32" i="28"/>
  <c r="AN32" i="28"/>
  <c r="AN31" i="28"/>
  <c r="BA32" i="28"/>
  <c r="AZ10" i="28"/>
  <c r="BA33" i="28"/>
  <c r="BB32" i="28"/>
  <c r="AL31" i="28"/>
  <c r="AW10" i="28"/>
  <c r="AW34" i="28"/>
  <c r="AW35" i="28"/>
  <c r="AW36" i="28"/>
  <c r="C5" i="14"/>
  <c r="D5" i="14" s="1"/>
  <c r="E23" i="27" s="1"/>
  <c r="C6" i="14"/>
  <c r="D6" i="14" s="1"/>
  <c r="AI9" i="28"/>
  <c r="AI10" i="28"/>
  <c r="AI32" i="28"/>
  <c r="AI31" i="28"/>
  <c r="AW33" i="28"/>
  <c r="AW32" i="28"/>
  <c r="AL29" i="9"/>
  <c r="BF29" i="9"/>
  <c r="BF28" i="9"/>
  <c r="AN16" i="28"/>
  <c r="AZ30" i="28"/>
  <c r="AK30" i="28"/>
  <c r="AN26" i="28"/>
  <c r="AL19" i="28"/>
  <c r="AK13" i="28"/>
  <c r="AN30" i="28"/>
  <c r="AM26" i="28"/>
  <c r="BA30" i="28"/>
  <c r="AL30" i="28"/>
  <c r="AM19" i="28"/>
  <c r="AL22" i="28"/>
  <c r="AZ25" i="28"/>
  <c r="AK16" i="28"/>
  <c r="BA25" i="28"/>
  <c r="AN22" i="28"/>
  <c r="BB30" i="28"/>
  <c r="AM30" i="28"/>
  <c r="AK22" i="28"/>
  <c r="AN19" i="28"/>
  <c r="AL13" i="28"/>
  <c r="AM13" i="28"/>
  <c r="AM22" i="28"/>
  <c r="AN13" i="28"/>
  <c r="AK26" i="28"/>
  <c r="AL16" i="28"/>
  <c r="BB25" i="28"/>
  <c r="AL26" i="28"/>
  <c r="AM16" i="28"/>
  <c r="AK19" i="28"/>
  <c r="AL5" i="29"/>
  <c r="BA29" i="28"/>
  <c r="AN29" i="28"/>
  <c r="BB21" i="28"/>
  <c r="BB29" i="28"/>
  <c r="AZ26" i="28"/>
  <c r="BA23" i="28"/>
  <c r="AV9" i="29"/>
  <c r="AL28" i="28"/>
  <c r="BA26" i="28"/>
  <c r="BB23" i="28"/>
  <c r="AV6" i="29"/>
  <c r="AL25" i="28"/>
  <c r="AN27" i="28"/>
  <c r="AZ21" i="28"/>
  <c r="AZ29" i="28"/>
  <c r="AM29" i="28"/>
  <c r="AV7" i="29"/>
  <c r="AZ31" i="28"/>
  <c r="BA28" i="28"/>
  <c r="AM28" i="28"/>
  <c r="BB26" i="28"/>
  <c r="AM25" i="28"/>
  <c r="BB31" i="28"/>
  <c r="AM27" i="28"/>
  <c r="BB24" i="28"/>
  <c r="BA21" i="28"/>
  <c r="BA31" i="28"/>
  <c r="BB28" i="28"/>
  <c r="AN28" i="28"/>
  <c r="AL27" i="28"/>
  <c r="AV10" i="29"/>
  <c r="AV8" i="29"/>
  <c r="AN25" i="28"/>
  <c r="AZ24" i="28"/>
  <c r="AL4" i="29"/>
  <c r="AL29" i="28"/>
  <c r="BA24" i="28"/>
  <c r="AV5" i="29"/>
  <c r="AA9" i="28"/>
  <c r="Z4" i="29"/>
  <c r="AK27" i="28"/>
  <c r="AK25" i="28"/>
  <c r="AZ23" i="28"/>
  <c r="AZ28" i="28"/>
  <c r="AL3" i="29"/>
  <c r="AA10" i="28"/>
  <c r="AV4" i="29"/>
  <c r="AK28" i="28"/>
  <c r="AK29" i="28"/>
  <c r="AV3" i="29"/>
  <c r="AA28" i="9"/>
  <c r="AI28" i="9" s="1"/>
  <c r="AA29" i="9"/>
  <c r="AV28" i="9"/>
  <c r="AU28" i="9" s="1"/>
  <c r="AV29" i="9"/>
  <c r="AL27" i="9"/>
  <c r="AM27" i="9" s="1"/>
  <c r="AL28" i="9"/>
  <c r="AW25" i="28"/>
  <c r="AW30" i="28"/>
  <c r="AI26" i="28"/>
  <c r="AI30" i="28"/>
  <c r="AI19" i="28"/>
  <c r="AI22" i="28"/>
  <c r="AI13" i="28"/>
  <c r="AI16" i="28"/>
  <c r="AK15" i="27"/>
  <c r="AK14" i="27"/>
  <c r="AW28" i="28"/>
  <c r="N10" i="28"/>
  <c r="AW31" i="28"/>
  <c r="AI29" i="28"/>
  <c r="AI28" i="28"/>
  <c r="AW29" i="28"/>
  <c r="AK13" i="27"/>
  <c r="BF26" i="9"/>
  <c r="BF27" i="9"/>
  <c r="BF23" i="9"/>
  <c r="BN11" i="9"/>
  <c r="BF24" i="9"/>
  <c r="BF25" i="9"/>
  <c r="AA26" i="9"/>
  <c r="AF26" i="9" s="1"/>
  <c r="AA27" i="9"/>
  <c r="AV26" i="9"/>
  <c r="AW26" i="9" s="1"/>
  <c r="AV27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24" i="28"/>
  <c r="AW26" i="28"/>
  <c r="AW23" i="28"/>
  <c r="AK12" i="27"/>
  <c r="AI27" i="28"/>
  <c r="AE11" i="27"/>
  <c r="AJ11" i="27" s="1"/>
  <c r="AE12" i="27"/>
  <c r="AK8" i="27"/>
  <c r="AK9" i="27"/>
  <c r="AK10" i="27"/>
  <c r="AL26" i="9"/>
  <c r="AV25" i="9"/>
  <c r="AU25" i="9" s="1"/>
  <c r="AA25" i="9"/>
  <c r="AG25" i="9" s="1"/>
  <c r="AL24" i="9"/>
  <c r="AK24" i="9" s="1"/>
  <c r="AL25" i="9"/>
  <c r="BF22" i="9"/>
  <c r="AV23" i="9"/>
  <c r="AW23" i="9" s="1"/>
  <c r="AV24" i="9"/>
  <c r="AA23" i="9"/>
  <c r="AG23" i="9" s="1"/>
  <c r="AA24" i="9"/>
  <c r="AE10" i="27"/>
  <c r="AE8" i="27"/>
  <c r="AE9" i="27"/>
  <c r="AO5" i="27"/>
  <c r="AO7" i="27"/>
  <c r="AO6" i="27"/>
  <c r="AE7" i="27"/>
  <c r="AJ7" i="27" s="1"/>
  <c r="N7" i="28"/>
  <c r="AC7" i="28" s="1"/>
  <c r="N8" i="28"/>
  <c r="AI23" i="28"/>
  <c r="AW20" i="28"/>
  <c r="AW21" i="28"/>
  <c r="AI25" i="28"/>
  <c r="AI24" i="28"/>
  <c r="AK23" i="28"/>
  <c r="BA20" i="28"/>
  <c r="AL23" i="28"/>
  <c r="BB20" i="28"/>
  <c r="AK24" i="28"/>
  <c r="AM23" i="28"/>
  <c r="AL24" i="28"/>
  <c r="AN23" i="28"/>
  <c r="AM24" i="28"/>
  <c r="AN24" i="28"/>
  <c r="AZ20" i="28"/>
  <c r="AZ14" i="28"/>
  <c r="AM21" i="28"/>
  <c r="AM18" i="28"/>
  <c r="AL15" i="28"/>
  <c r="AL11" i="28"/>
  <c r="AZ16" i="28"/>
  <c r="BA14" i="28"/>
  <c r="AN21" i="28"/>
  <c r="AN18" i="28"/>
  <c r="AM15" i="28"/>
  <c r="BA12" i="28"/>
  <c r="AM11" i="28"/>
  <c r="BB18" i="28"/>
  <c r="AL18" i="28"/>
  <c r="AA7" i="28"/>
  <c r="AZ19" i="28"/>
  <c r="BA16" i="28"/>
  <c r="BB14" i="28"/>
  <c r="AN15" i="28"/>
  <c r="BB12" i="28"/>
  <c r="AN11" i="28"/>
  <c r="AL21" i="28"/>
  <c r="BA19" i="28"/>
  <c r="BB16" i="28"/>
  <c r="AL20" i="28"/>
  <c r="AK17" i="28"/>
  <c r="BB19" i="28"/>
  <c r="BA13" i="28"/>
  <c r="AM20" i="28"/>
  <c r="AL17" i="28"/>
  <c r="AL14" i="28"/>
  <c r="AL12" i="28"/>
  <c r="BA15" i="28"/>
  <c r="BB13" i="28"/>
  <c r="AN20" i="28"/>
  <c r="AM17" i="28"/>
  <c r="AM14" i="28"/>
  <c r="AM12" i="28"/>
  <c r="BA18" i="28"/>
  <c r="BB15" i="28"/>
  <c r="AN17" i="28"/>
  <c r="AN14" i="28"/>
  <c r="AN12" i="28"/>
  <c r="AK11" i="28"/>
  <c r="AA6" i="28"/>
  <c r="AZ15" i="28"/>
  <c r="AA5" i="28"/>
  <c r="AK15" i="28"/>
  <c r="AK18" i="28"/>
  <c r="AK21" i="28"/>
  <c r="AZ12" i="28"/>
  <c r="AK12" i="28"/>
  <c r="AZ13" i="28"/>
  <c r="Z3" i="29"/>
  <c r="AZ18" i="28"/>
  <c r="AK14" i="28"/>
  <c r="AK20" i="28"/>
  <c r="W7" i="28"/>
  <c r="AW13" i="28"/>
  <c r="AI17" i="28"/>
  <c r="N6" i="28"/>
  <c r="AI21" i="28"/>
  <c r="AW14" i="28"/>
  <c r="AW16" i="28"/>
  <c r="AK6" i="27"/>
  <c r="AW15" i="28"/>
  <c r="N4" i="28"/>
  <c r="AI14" i="28"/>
  <c r="AW19" i="28"/>
  <c r="N5" i="28"/>
  <c r="AI18" i="28"/>
  <c r="AW18" i="28"/>
  <c r="AK7" i="27"/>
  <c r="AI15" i="28"/>
  <c r="AI20" i="28"/>
  <c r="W4" i="28"/>
  <c r="W5" i="28"/>
  <c r="W3" i="28"/>
  <c r="W6" i="28"/>
  <c r="AE5" i="27"/>
  <c r="AJ5" i="27" s="1"/>
  <c r="AE6" i="27"/>
  <c r="BF17" i="9"/>
  <c r="BF19" i="9"/>
  <c r="BF21" i="9"/>
  <c r="BF18" i="9"/>
  <c r="BF20" i="9"/>
  <c r="AL22" i="9"/>
  <c r="AK22" i="9" s="1"/>
  <c r="AL23" i="9"/>
  <c r="AV21" i="9"/>
  <c r="AU21" i="9" s="1"/>
  <c r="AV22" i="9"/>
  <c r="AA21" i="9"/>
  <c r="AG21" i="9" s="1"/>
  <c r="AA22" i="9"/>
  <c r="AL20" i="9"/>
  <c r="AM20" i="9" s="1"/>
  <c r="AL21" i="9"/>
  <c r="AV19" i="9"/>
  <c r="AU19" i="9" s="1"/>
  <c r="AV20" i="9"/>
  <c r="AA19" i="9"/>
  <c r="AG19" i="9" s="1"/>
  <c r="AA20" i="9"/>
  <c r="AL18" i="9"/>
  <c r="AM18" i="9" s="1"/>
  <c r="AL19" i="9"/>
  <c r="AV17" i="9"/>
  <c r="AU17" i="9" s="1"/>
  <c r="AV18" i="9"/>
  <c r="AA17" i="9"/>
  <c r="AC17" i="9" s="1"/>
  <c r="AA18" i="9"/>
  <c r="AL16" i="9"/>
  <c r="AM16" i="9" s="1"/>
  <c r="AL17" i="9"/>
  <c r="BF15" i="9"/>
  <c r="BF16" i="9"/>
  <c r="BN10" i="9"/>
  <c r="AV15" i="9"/>
  <c r="AW15" i="9" s="1"/>
  <c r="AV16" i="9"/>
  <c r="AA15" i="9"/>
  <c r="AF15" i="9" s="1"/>
  <c r="AA16" i="9"/>
  <c r="BF14" i="9"/>
  <c r="BF13" i="9"/>
  <c r="BN9" i="9"/>
  <c r="AL14" i="9"/>
  <c r="AK14" i="9" s="1"/>
  <c r="AL15" i="9"/>
  <c r="AA13" i="9"/>
  <c r="AC13" i="9" s="1"/>
  <c r="AA14" i="9"/>
  <c r="AV11" i="9"/>
  <c r="AW11" i="9" s="1"/>
  <c r="AV14" i="9"/>
  <c r="AV13" i="9"/>
  <c r="AL11" i="9"/>
  <c r="AM11" i="9" s="1"/>
  <c r="AL13" i="9"/>
  <c r="BF11" i="9"/>
  <c r="AK5" i="27"/>
  <c r="AI11" i="28"/>
  <c r="N3" i="28"/>
  <c r="AD3" i="28" s="1"/>
  <c r="AI12" i="28"/>
  <c r="AW12" i="28"/>
  <c r="AA3" i="28"/>
  <c r="AI2" i="29"/>
  <c r="AO3" i="27"/>
  <c r="AO4" i="27"/>
  <c r="AI8" i="28"/>
  <c r="AI7" i="28"/>
  <c r="AW9" i="28"/>
  <c r="AW7" i="28"/>
  <c r="BA9" i="28"/>
  <c r="AK8" i="28"/>
  <c r="AN7" i="28"/>
  <c r="AM7" i="28"/>
  <c r="BB9" i="28"/>
  <c r="AL8" i="28"/>
  <c r="AM8" i="28"/>
  <c r="AK7" i="28"/>
  <c r="AZ7" i="28"/>
  <c r="AN8" i="28"/>
  <c r="BA7" i="28"/>
  <c r="BB7" i="28"/>
  <c r="AL7" i="28"/>
  <c r="AZ9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1" i="9"/>
  <c r="BF10" i="9"/>
  <c r="BF9" i="9"/>
  <c r="BN8" i="9"/>
  <c r="AA10" i="9"/>
  <c r="AF10" i="9" s="1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9" i="14"/>
  <c r="D9" i="14" s="1"/>
  <c r="C3" i="14"/>
  <c r="D3" i="14" s="1"/>
  <c r="E22" i="27" s="1"/>
  <c r="C4" i="14"/>
  <c r="D4" i="14" s="1"/>
  <c r="E31" i="27" s="1"/>
  <c r="C7" i="14"/>
  <c r="D7" i="14" s="1"/>
  <c r="M7" i="14" s="1"/>
  <c r="C8" i="14"/>
  <c r="D8" i="14" s="1"/>
  <c r="E33" i="27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D20" i="28" l="1"/>
  <c r="AB20" i="28"/>
  <c r="Z20" i="28"/>
  <c r="AC20" i="28"/>
  <c r="V20" i="28"/>
  <c r="Y22" i="28"/>
  <c r="AD22" i="28"/>
  <c r="W22" i="28"/>
  <c r="U22" i="28" s="1"/>
  <c r="AB22" i="28"/>
  <c r="V22" i="28"/>
  <c r="AC22" i="28"/>
  <c r="Z22" i="28"/>
  <c r="V21" i="28"/>
  <c r="AD21" i="28"/>
  <c r="Z21" i="28"/>
  <c r="AC21" i="28"/>
  <c r="AB21" i="28"/>
  <c r="AB18" i="28"/>
  <c r="W19" i="28"/>
  <c r="AC17" i="28"/>
  <c r="V18" i="28"/>
  <c r="Z18" i="28"/>
  <c r="AD18" i="28"/>
  <c r="Z19" i="28"/>
  <c r="V19" i="28"/>
  <c r="V17" i="28"/>
  <c r="Z17" i="28"/>
  <c r="AB19" i="28"/>
  <c r="AD17" i="28"/>
  <c r="AN24" i="27"/>
  <c r="AJ25" i="27"/>
  <c r="AN25" i="27"/>
  <c r="AJ27" i="27"/>
  <c r="AN27" i="27"/>
  <c r="AJ26" i="27"/>
  <c r="AN26" i="27"/>
  <c r="M9" i="14"/>
  <c r="E36" i="27"/>
  <c r="F11" i="9"/>
  <c r="AM33" i="9"/>
  <c r="AG33" i="9"/>
  <c r="AW33" i="9"/>
  <c r="AC33" i="9"/>
  <c r="AI33" i="9"/>
  <c r="AH33" i="9"/>
  <c r="AU35" i="9"/>
  <c r="AW35" i="9"/>
  <c r="Z33" i="9"/>
  <c r="AU34" i="9"/>
  <c r="AW34" i="9"/>
  <c r="AK34" i="9"/>
  <c r="AM34" i="9"/>
  <c r="AC34" i="9"/>
  <c r="AI34" i="9"/>
  <c r="AG34" i="9"/>
  <c r="AF34" i="9"/>
  <c r="Z34" i="9"/>
  <c r="AH34" i="9"/>
  <c r="AU30" i="9"/>
  <c r="AW30" i="9"/>
  <c r="AU31" i="9"/>
  <c r="AW31" i="9"/>
  <c r="AU32" i="9"/>
  <c r="AW32" i="9"/>
  <c r="AM31" i="9"/>
  <c r="AK31" i="9"/>
  <c r="AK30" i="9"/>
  <c r="AM30" i="9"/>
  <c r="AM32" i="9"/>
  <c r="AK32" i="9"/>
  <c r="E6" i="29"/>
  <c r="AH30" i="9"/>
  <c r="AG30" i="9"/>
  <c r="AI30" i="9"/>
  <c r="AF30" i="9"/>
  <c r="Z30" i="9"/>
  <c r="AC30" i="9"/>
  <c r="AC31" i="9"/>
  <c r="AI31" i="9"/>
  <c r="AH31" i="9"/>
  <c r="Z31" i="9"/>
  <c r="AF31" i="9"/>
  <c r="AG31" i="9"/>
  <c r="AC32" i="9"/>
  <c r="AH32" i="9"/>
  <c r="Z32" i="9"/>
  <c r="AG32" i="9"/>
  <c r="AI32" i="9"/>
  <c r="AF32" i="9"/>
  <c r="AN19" i="27"/>
  <c r="AJ22" i="27"/>
  <c r="AN22" i="27"/>
  <c r="AJ23" i="27"/>
  <c r="AN23" i="27"/>
  <c r="AN20" i="27"/>
  <c r="AJ20" i="27"/>
  <c r="AJ21" i="27"/>
  <c r="AN21" i="27"/>
  <c r="E7" i="29"/>
  <c r="E32" i="27"/>
  <c r="E5" i="29"/>
  <c r="E4" i="29"/>
  <c r="E30" i="27"/>
  <c r="AM12" i="9"/>
  <c r="AW12" i="9"/>
  <c r="AF12" i="9"/>
  <c r="AC12" i="9"/>
  <c r="AH12" i="9"/>
  <c r="Z12" i="9"/>
  <c r="AG12" i="9"/>
  <c r="Z16" i="28"/>
  <c r="AB16" i="28"/>
  <c r="W16" i="28"/>
  <c r="U16" i="28" s="1"/>
  <c r="AD16" i="28"/>
  <c r="V16" i="28"/>
  <c r="AC16" i="28"/>
  <c r="E24" i="27"/>
  <c r="E29" i="27"/>
  <c r="AJ16" i="27"/>
  <c r="AJ17" i="27"/>
  <c r="AN17" i="27"/>
  <c r="AJ18" i="27"/>
  <c r="AN18" i="27"/>
  <c r="AB11" i="28"/>
  <c r="Z11" i="28"/>
  <c r="V11" i="28"/>
  <c r="AC11" i="28"/>
  <c r="AD11" i="28"/>
  <c r="V12" i="28"/>
  <c r="AB12" i="28"/>
  <c r="Z12" i="28"/>
  <c r="AC12" i="28"/>
  <c r="AD12" i="28"/>
  <c r="Z13" i="28"/>
  <c r="AD13" i="28"/>
  <c r="V13" i="28"/>
  <c r="AC13" i="28"/>
  <c r="AB13" i="28"/>
  <c r="AD14" i="28"/>
  <c r="AB14" i="28"/>
  <c r="Z14" i="28"/>
  <c r="AA14" i="28"/>
  <c r="Y14" i="28" s="1"/>
  <c r="V14" i="28"/>
  <c r="AC14" i="28"/>
  <c r="AB15" i="28"/>
  <c r="V15" i="28"/>
  <c r="Z15" i="28"/>
  <c r="AC15" i="28"/>
  <c r="W15" i="28"/>
  <c r="U15" i="28" s="1"/>
  <c r="AD15" i="28"/>
  <c r="W12" i="28"/>
  <c r="U12" i="28" s="1"/>
  <c r="M5" i="14"/>
  <c r="F9" i="9"/>
  <c r="M6" i="14"/>
  <c r="E26" i="27"/>
  <c r="E25" i="27"/>
  <c r="E15" i="28"/>
  <c r="E27" i="27"/>
  <c r="E28" i="27"/>
  <c r="E14" i="28"/>
  <c r="E6" i="28"/>
  <c r="E13" i="27"/>
  <c r="AK27" i="9"/>
  <c r="AK29" i="9"/>
  <c r="AM29" i="9"/>
  <c r="AC28" i="9"/>
  <c r="AF28" i="9"/>
  <c r="AH28" i="9"/>
  <c r="Z28" i="9"/>
  <c r="AG28" i="9"/>
  <c r="AW28" i="9"/>
  <c r="AU29" i="9"/>
  <c r="AW29" i="9"/>
  <c r="AC29" i="9"/>
  <c r="AH29" i="9"/>
  <c r="AF29" i="9"/>
  <c r="AG29" i="9"/>
  <c r="Z29" i="9"/>
  <c r="AI29" i="9"/>
  <c r="AM28" i="9"/>
  <c r="AK28" i="9"/>
  <c r="AU26" i="9"/>
  <c r="AB10" i="28"/>
  <c r="Z10" i="28"/>
  <c r="W10" i="28"/>
  <c r="U10" i="28" s="1"/>
  <c r="AD10" i="28"/>
  <c r="V10" i="28"/>
  <c r="AC10" i="28"/>
  <c r="AH26" i="9"/>
  <c r="AC26" i="9"/>
  <c r="AI26" i="9"/>
  <c r="AG26" i="9"/>
  <c r="Z26" i="9"/>
  <c r="AC27" i="9"/>
  <c r="AF27" i="9"/>
  <c r="AG27" i="9"/>
  <c r="Z27" i="9"/>
  <c r="AH27" i="9"/>
  <c r="AI27" i="9"/>
  <c r="AW27" i="9"/>
  <c r="AU27" i="9"/>
  <c r="AN13" i="27"/>
  <c r="AN14" i="27"/>
  <c r="AJ14" i="27"/>
  <c r="AJ15" i="27"/>
  <c r="AN15" i="27"/>
  <c r="E11" i="27"/>
  <c r="E12" i="27"/>
  <c r="E13" i="28"/>
  <c r="E12" i="28"/>
  <c r="E11" i="28"/>
  <c r="E21" i="27"/>
  <c r="E20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5" i="9"/>
  <c r="AK26" i="9"/>
  <c r="AM26" i="9"/>
  <c r="AF25" i="9"/>
  <c r="AC25" i="9"/>
  <c r="AK16" i="9"/>
  <c r="Z23" i="9"/>
  <c r="AI25" i="9"/>
  <c r="AF23" i="9"/>
  <c r="AH25" i="9"/>
  <c r="Z25" i="9"/>
  <c r="AM24" i="9"/>
  <c r="AU23" i="9"/>
  <c r="AM22" i="9"/>
  <c r="AH23" i="9"/>
  <c r="AK25" i="9"/>
  <c r="AM25" i="9"/>
  <c r="AC23" i="9"/>
  <c r="AC24" i="9"/>
  <c r="AF24" i="9"/>
  <c r="AG24" i="9"/>
  <c r="Z24" i="9"/>
  <c r="AH24" i="9"/>
  <c r="AI24" i="9"/>
  <c r="AU24" i="9"/>
  <c r="AW24" i="9"/>
  <c r="AI23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9" i="28" s="1"/>
  <c r="AC4" i="28"/>
  <c r="Z4" i="28"/>
  <c r="V4" i="28"/>
  <c r="AB4" i="28"/>
  <c r="AD4" i="28"/>
  <c r="F7" i="9"/>
  <c r="E19" i="27"/>
  <c r="AN5" i="27"/>
  <c r="AJ6" i="27"/>
  <c r="AN6" i="27"/>
  <c r="AH21" i="9"/>
  <c r="Z21" i="9"/>
  <c r="AF21" i="9"/>
  <c r="AC21" i="9"/>
  <c r="AI21" i="9"/>
  <c r="AW19" i="9"/>
  <c r="AK23" i="9"/>
  <c r="AM23" i="9"/>
  <c r="AF22" i="9"/>
  <c r="AG22" i="9"/>
  <c r="Z22" i="9"/>
  <c r="AH22" i="9"/>
  <c r="AI22" i="9"/>
  <c r="AC22" i="9"/>
  <c r="AU22" i="9"/>
  <c r="AW22" i="9"/>
  <c r="AW21" i="9"/>
  <c r="AK20" i="9"/>
  <c r="AC19" i="9"/>
  <c r="AI17" i="9"/>
  <c r="AF17" i="9"/>
  <c r="AH19" i="9"/>
  <c r="AF19" i="9"/>
  <c r="Z19" i="9"/>
  <c r="AK21" i="9"/>
  <c r="AM21" i="9"/>
  <c r="AW17" i="9"/>
  <c r="AI19" i="9"/>
  <c r="AC20" i="9"/>
  <c r="AF20" i="9"/>
  <c r="AI20" i="9"/>
  <c r="AG20" i="9"/>
  <c r="Z20" i="9"/>
  <c r="AH20" i="9"/>
  <c r="AW20" i="9"/>
  <c r="AU20" i="9"/>
  <c r="AK18" i="9"/>
  <c r="AM19" i="9"/>
  <c r="AK19" i="9"/>
  <c r="AK11" i="9"/>
  <c r="Z17" i="9"/>
  <c r="AH17" i="9"/>
  <c r="AG17" i="9"/>
  <c r="AG18" i="9"/>
  <c r="AH18" i="9"/>
  <c r="AF18" i="9"/>
  <c r="AI18" i="9"/>
  <c r="AC18" i="9"/>
  <c r="Z18" i="9"/>
  <c r="AU18" i="9"/>
  <c r="AW18" i="9"/>
  <c r="AU15" i="9"/>
  <c r="AK17" i="9"/>
  <c r="AM17" i="9"/>
  <c r="U4" i="28"/>
  <c r="U5" i="28"/>
  <c r="U6" i="28"/>
  <c r="E3" i="29"/>
  <c r="D3" i="29" s="1"/>
  <c r="AI5" i="29" s="1"/>
  <c r="E14" i="27"/>
  <c r="E10" i="28"/>
  <c r="E15" i="27"/>
  <c r="E16" i="27"/>
  <c r="E9" i="28"/>
  <c r="E8" i="28"/>
  <c r="E17" i="27"/>
  <c r="E18" i="27"/>
  <c r="E7" i="28"/>
  <c r="F6" i="9"/>
  <c r="AC15" i="9"/>
  <c r="AH15" i="9"/>
  <c r="Z15" i="9"/>
  <c r="AG15" i="9"/>
  <c r="AU16" i="9"/>
  <c r="AW16" i="9"/>
  <c r="AI15" i="9"/>
  <c r="AM14" i="9"/>
  <c r="AC16" i="9"/>
  <c r="AH16" i="9"/>
  <c r="Z16" i="9"/>
  <c r="AF16" i="9"/>
  <c r="AG16" i="9"/>
  <c r="AI16" i="9"/>
  <c r="AU11" i="9"/>
  <c r="AM15" i="9"/>
  <c r="AK15" i="9"/>
  <c r="AI13" i="9"/>
  <c r="AG13" i="9"/>
  <c r="AH13" i="9"/>
  <c r="Z13" i="9"/>
  <c r="AF13" i="9"/>
  <c r="AW13" i="9"/>
  <c r="AU13" i="9"/>
  <c r="AW14" i="9"/>
  <c r="AU14" i="9"/>
  <c r="AC14" i="9"/>
  <c r="AF14" i="9"/>
  <c r="AG14" i="9"/>
  <c r="Z14" i="9"/>
  <c r="AH14" i="9"/>
  <c r="AI14" i="9"/>
  <c r="AK13" i="9"/>
  <c r="AM13" i="9"/>
  <c r="T5" i="28"/>
  <c r="T6" i="28"/>
  <c r="T3" i="28"/>
  <c r="T4" i="28"/>
  <c r="AB3" i="28"/>
  <c r="AC3" i="28"/>
  <c r="Y3" i="28"/>
  <c r="Z3" i="28"/>
  <c r="V3" i="28"/>
  <c r="U3" i="28"/>
  <c r="X3" i="28"/>
  <c r="AC11" i="9"/>
  <c r="AF11" i="9"/>
  <c r="AG11" i="9"/>
  <c r="Z11" i="9"/>
  <c r="AH11" i="9"/>
  <c r="AI11" i="9"/>
  <c r="AK9" i="9"/>
  <c r="Z8" i="9"/>
  <c r="M3" i="14"/>
  <c r="E7" i="27"/>
  <c r="E4" i="28"/>
  <c r="E5" i="27"/>
  <c r="F4" i="9"/>
  <c r="E6" i="27"/>
  <c r="AC10" i="9"/>
  <c r="Z10" i="9"/>
  <c r="AH10" i="9"/>
  <c r="M8" i="14"/>
  <c r="E9" i="27"/>
  <c r="E10" i="27"/>
  <c r="F5" i="9"/>
  <c r="E5" i="28"/>
  <c r="AI10" i="9"/>
  <c r="AG10" i="9"/>
  <c r="M4" i="14"/>
  <c r="E8" i="27"/>
  <c r="E3" i="28"/>
  <c r="E4" i="27"/>
  <c r="F3" i="9"/>
  <c r="E3" i="27"/>
  <c r="O3" i="27" s="1"/>
  <c r="AH8" i="9"/>
  <c r="AF8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21" i="28" l="1"/>
  <c r="U21" i="28"/>
  <c r="Y20" i="28"/>
  <c r="U19" i="28"/>
  <c r="U20" i="28"/>
  <c r="X20" i="28"/>
  <c r="X22" i="28"/>
  <c r="X21" i="28"/>
  <c r="T21" i="28"/>
  <c r="T20" i="28"/>
  <c r="T22" i="28"/>
  <c r="U18" i="28"/>
  <c r="Y19" i="28"/>
  <c r="O37" i="27"/>
  <c r="A37" i="27"/>
  <c r="N37" i="27"/>
  <c r="Y18" i="28"/>
  <c r="T19" i="28"/>
  <c r="U17" i="28"/>
  <c r="T18" i="28"/>
  <c r="X17" i="28"/>
  <c r="Y17" i="28"/>
  <c r="X18" i="28"/>
  <c r="T17" i="28"/>
  <c r="A36" i="27"/>
  <c r="O36" i="27"/>
  <c r="N36" i="27"/>
  <c r="A8" i="29"/>
  <c r="N35" i="27"/>
  <c r="O35" i="27"/>
  <c r="A35" i="27"/>
  <c r="D8" i="29"/>
  <c r="J8" i="29" s="1"/>
  <c r="N34" i="27"/>
  <c r="O34" i="27"/>
  <c r="A34" i="27"/>
  <c r="A7" i="29"/>
  <c r="X16" i="28"/>
  <c r="A30" i="27"/>
  <c r="N33" i="27"/>
  <c r="N31" i="27"/>
  <c r="A33" i="27"/>
  <c r="N32" i="27"/>
  <c r="O32" i="27"/>
  <c r="A32" i="27"/>
  <c r="O33" i="27"/>
  <c r="A31" i="27"/>
  <c r="O31" i="27"/>
  <c r="O30" i="27"/>
  <c r="N30" i="27"/>
  <c r="D7" i="29"/>
  <c r="J7" i="29" s="1"/>
  <c r="A6" i="29"/>
  <c r="D6" i="29"/>
  <c r="J6" i="29" s="1"/>
  <c r="A5" i="29"/>
  <c r="D5" i="29"/>
  <c r="J5" i="29" s="1"/>
  <c r="D4" i="29"/>
  <c r="J4" i="29" s="1"/>
  <c r="A4" i="29"/>
  <c r="A4" i="9"/>
  <c r="A11" i="9"/>
  <c r="A10" i="9"/>
  <c r="Y16" i="28"/>
  <c r="T16" i="28"/>
  <c r="O27" i="27"/>
  <c r="O29" i="27"/>
  <c r="O28" i="27"/>
  <c r="A29" i="27"/>
  <c r="N29" i="27"/>
  <c r="X11" i="28"/>
  <c r="Y15" i="28"/>
  <c r="X15" i="28"/>
  <c r="T15" i="28"/>
  <c r="N27" i="27"/>
  <c r="N28" i="27"/>
  <c r="A28" i="27"/>
  <c r="A27" i="27"/>
  <c r="U14" i="28"/>
  <c r="T9" i="19"/>
  <c r="M17" i="19"/>
  <c r="H17" i="19"/>
  <c r="X14" i="28"/>
  <c r="T14" i="28"/>
  <c r="Y12" i="28"/>
  <c r="Y13" i="28"/>
  <c r="Y11" i="28"/>
  <c r="X12" i="28"/>
  <c r="X13" i="28"/>
  <c r="T13" i="28"/>
  <c r="T12" i="28"/>
  <c r="T11" i="28"/>
  <c r="O26" i="27"/>
  <c r="O25" i="27"/>
  <c r="A25" i="27"/>
  <c r="N25" i="27"/>
  <c r="N26" i="27"/>
  <c r="A26" i="27"/>
  <c r="A13" i="27"/>
  <c r="O13" i="27"/>
  <c r="N13" i="27"/>
  <c r="O24" i="27"/>
  <c r="N24" i="27"/>
  <c r="A24" i="27"/>
  <c r="M16" i="19"/>
  <c r="M14" i="19"/>
  <c r="M15" i="19"/>
  <c r="M13" i="19"/>
  <c r="H16" i="19"/>
  <c r="H15" i="19"/>
  <c r="H14" i="19"/>
  <c r="H13" i="19"/>
  <c r="A23" i="27"/>
  <c r="O23" i="27"/>
  <c r="N23" i="27"/>
  <c r="X10" i="28"/>
  <c r="A9" i="9"/>
  <c r="Y10" i="28"/>
  <c r="A22" i="27"/>
  <c r="T8" i="19"/>
  <c r="T7" i="19"/>
  <c r="M12" i="19"/>
  <c r="H12" i="19"/>
  <c r="O22" i="27"/>
  <c r="N22" i="27"/>
  <c r="T10" i="28"/>
  <c r="T9" i="28"/>
  <c r="X9" i="28"/>
  <c r="Y9" i="28"/>
  <c r="N12" i="27"/>
  <c r="A12" i="27"/>
  <c r="O12" i="27"/>
  <c r="N21" i="27"/>
  <c r="O21" i="27"/>
  <c r="A21" i="27"/>
  <c r="A8" i="9"/>
  <c r="A20" i="27"/>
  <c r="N20" i="27"/>
  <c r="O20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9" i="27"/>
  <c r="O19" i="27"/>
  <c r="O17" i="27"/>
  <c r="A19" i="27"/>
  <c r="A7" i="9"/>
  <c r="J3" i="29"/>
  <c r="M3" i="29"/>
  <c r="M11" i="19"/>
  <c r="H11" i="19"/>
  <c r="N14" i="27"/>
  <c r="N17" i="27"/>
  <c r="A16" i="27"/>
  <c r="O16" i="27"/>
  <c r="O18" i="27"/>
  <c r="A17" i="27"/>
  <c r="N18" i="27"/>
  <c r="N16" i="27"/>
  <c r="A18" i="27"/>
  <c r="A6" i="9"/>
  <c r="O15" i="27"/>
  <c r="N15" i="27"/>
  <c r="A15" i="27"/>
  <c r="N3" i="27"/>
  <c r="A3" i="27"/>
  <c r="A7" i="27"/>
  <c r="O14" i="27"/>
  <c r="A14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C11" i="9" l="1"/>
  <c r="E11" i="9" s="1"/>
  <c r="C10" i="9"/>
  <c r="E10" i="9" s="1"/>
  <c r="C9" i="9"/>
  <c r="E9" i="9" s="1"/>
  <c r="AG5" i="29"/>
  <c r="C8" i="9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C3" i="9"/>
  <c r="E3" i="9" s="1"/>
  <c r="R5" i="9" s="1"/>
  <c r="AX5" i="9" s="1"/>
  <c r="C4" i="9"/>
  <c r="J9" i="31"/>
  <c r="K11" i="9" l="1"/>
  <c r="R33" i="9"/>
  <c r="AX33" i="9" s="1"/>
  <c r="R35" i="9"/>
  <c r="AX35" i="9" s="1"/>
  <c r="R34" i="9"/>
  <c r="AX34" i="9" s="1"/>
  <c r="E4" i="9"/>
  <c r="K4" i="9" s="1"/>
  <c r="E8" i="9"/>
  <c r="R24" i="9" s="1"/>
  <c r="AX24" i="9" s="1"/>
  <c r="K10" i="9"/>
  <c r="R32" i="9"/>
  <c r="AX32" i="9" s="1"/>
  <c r="R31" i="9"/>
  <c r="AX31" i="9" s="1"/>
  <c r="R30" i="9"/>
  <c r="AX30" i="9" s="1"/>
  <c r="R12" i="9"/>
  <c r="AX12" i="9" s="1"/>
  <c r="K9" i="9"/>
  <c r="R29" i="9"/>
  <c r="AX29" i="9" s="1"/>
  <c r="R28" i="9"/>
  <c r="AX28" i="9" s="1"/>
  <c r="AS4" i="29"/>
  <c r="AS5" i="29"/>
  <c r="AS3" i="29"/>
  <c r="AS6" i="29"/>
  <c r="AS7" i="29"/>
  <c r="S4" i="29"/>
  <c r="K7" i="9"/>
  <c r="R21" i="9"/>
  <c r="AX21" i="9" s="1"/>
  <c r="R18" i="9"/>
  <c r="AX18" i="9" s="1"/>
  <c r="R23" i="9"/>
  <c r="AX23" i="9" s="1"/>
  <c r="R19" i="9"/>
  <c r="AX19" i="9" s="1"/>
  <c r="R20" i="9"/>
  <c r="AX20" i="9" s="1"/>
  <c r="R22" i="9"/>
  <c r="AX22" i="9" s="1"/>
  <c r="R17" i="9"/>
  <c r="AX17" i="9" s="1"/>
  <c r="T3" i="29"/>
  <c r="S3" i="29"/>
  <c r="K6" i="9"/>
  <c r="R14" i="9"/>
  <c r="AX14" i="9" s="1"/>
  <c r="R15" i="9"/>
  <c r="AX15" i="9" s="1"/>
  <c r="R13" i="9"/>
  <c r="AX13" i="9" s="1"/>
  <c r="R16" i="9"/>
  <c r="AX16" i="9" s="1"/>
  <c r="R11" i="9"/>
  <c r="AX11" i="9" s="1"/>
  <c r="K5" i="9"/>
  <c r="R10" i="9"/>
  <c r="AX10" i="9" s="1"/>
  <c r="R9" i="9"/>
  <c r="AX9" i="9" s="1"/>
  <c r="R4" i="9"/>
  <c r="AX4" i="9" s="1"/>
  <c r="R3" i="9"/>
  <c r="AX3" i="9" s="1"/>
  <c r="K3" i="9"/>
  <c r="J10" i="31"/>
  <c r="R8" i="9" l="1"/>
  <c r="AX8" i="9" s="1"/>
  <c r="R7" i="9"/>
  <c r="AX7" i="9" s="1"/>
  <c r="K8" i="9"/>
  <c r="R25" i="9"/>
  <c r="AX25" i="9" s="1"/>
  <c r="R26" i="9"/>
  <c r="AX26" i="9" s="1"/>
  <c r="R27" i="9"/>
  <c r="AX27" i="9" s="1"/>
  <c r="R6" i="9"/>
  <c r="AX6" i="9" s="1"/>
  <c r="AS10" i="29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C5" i="25"/>
  <c r="H5" i="25"/>
  <c r="G5" i="25"/>
  <c r="J5" i="25"/>
  <c r="M5" i="25"/>
  <c r="K5" i="25"/>
  <c r="I5" i="25"/>
  <c r="D5" i="25"/>
  <c r="F5" i="25"/>
  <c r="N5" i="25"/>
  <c r="P5" i="25"/>
  <c r="L5" i="25"/>
  <c r="E5" i="25"/>
  <c r="Q5" i="25"/>
  <c r="O5" i="25"/>
  <c r="E5" i="31"/>
  <c r="B9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N9" i="25"/>
  <c r="O9" i="25"/>
  <c r="P9" i="25"/>
  <c r="Q9" i="25"/>
  <c r="J9" i="25"/>
  <c r="L9" i="25"/>
  <c r="K9" i="25"/>
  <c r="I9" i="25"/>
  <c r="G9" i="25"/>
  <c r="H9" i="25"/>
  <c r="D9" i="25"/>
  <c r="B10" i="25"/>
  <c r="E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10" i="25"/>
  <c r="O10" i="25"/>
  <c r="M10" i="25"/>
  <c r="Q10" i="25"/>
  <c r="P10" i="25"/>
  <c r="K10" i="25"/>
  <c r="J10" i="25"/>
  <c r="L10" i="25"/>
  <c r="G10" i="25"/>
  <c r="H10" i="25"/>
  <c r="I10" i="25"/>
  <c r="N61" i="31"/>
  <c r="N9" i="31"/>
  <c r="P25" i="31"/>
  <c r="P57" i="31"/>
  <c r="P17" i="31"/>
  <c r="N56" i="31"/>
  <c r="P9" i="31"/>
  <c r="N34" i="31"/>
  <c r="N10" i="31"/>
  <c r="P33" i="31"/>
  <c r="P20" i="31"/>
  <c r="P44" i="31"/>
  <c r="N6" i="31"/>
  <c r="P38" i="31"/>
  <c r="D10" i="25"/>
  <c r="N12" i="31"/>
  <c r="N5" i="31"/>
  <c r="P12" i="31"/>
  <c r="N46" i="31"/>
  <c r="N52" i="31"/>
  <c r="E10" i="25"/>
  <c r="N42" i="31"/>
  <c r="P22" i="31"/>
  <c r="N15" i="31"/>
  <c r="N4" i="31"/>
  <c r="P54" i="31"/>
  <c r="N28" i="31"/>
  <c r="P16" i="31"/>
  <c r="P8" i="31"/>
  <c r="P6" i="31"/>
  <c r="P15" i="31"/>
  <c r="N26" i="31"/>
  <c r="N14" i="31"/>
  <c r="C10" i="25"/>
  <c r="P4" i="31"/>
  <c r="P40" i="31"/>
  <c r="B11" i="25"/>
  <c r="N7" i="31"/>
  <c r="N39" i="31"/>
  <c r="P2" i="31"/>
  <c r="N23" i="31"/>
  <c r="P14" i="31"/>
  <c r="N45" i="31"/>
  <c r="N29" i="31"/>
  <c r="P43" i="31"/>
  <c r="N59" i="31"/>
  <c r="P60" i="31"/>
  <c r="P7" i="31"/>
  <c r="P11" i="31"/>
  <c r="P36" i="31"/>
  <c r="P47" i="31"/>
  <c r="P24" i="31"/>
  <c r="N32" i="31"/>
  <c r="P41" i="31"/>
  <c r="P21" i="31"/>
  <c r="P51" i="31"/>
  <c r="N8" i="31"/>
  <c r="P50" i="31"/>
  <c r="P3" i="31"/>
  <c r="N16" i="31"/>
  <c r="P5" i="31"/>
  <c r="P13" i="31"/>
  <c r="N3" i="31"/>
  <c r="P27" i="31"/>
  <c r="N17" i="31"/>
  <c r="P58" i="31"/>
  <c r="P49" i="31"/>
  <c r="N30" i="31"/>
  <c r="N37" i="31"/>
  <c r="P19" i="31"/>
  <c r="N48" i="31"/>
  <c r="N55" i="31"/>
  <c r="P53" i="31"/>
  <c r="P35" i="31"/>
  <c r="P31" i="31"/>
  <c r="P18" i="31"/>
  <c r="R31" i="27" l="1"/>
  <c r="O17" i="31"/>
  <c r="O15" i="31"/>
  <c r="R3" i="27"/>
  <c r="O12" i="31"/>
  <c r="O6" i="31"/>
  <c r="O3" i="31"/>
  <c r="R5" i="27" s="1"/>
  <c r="O10" i="31"/>
  <c r="O16" i="31"/>
  <c r="O8" i="31"/>
  <c r="O14" i="31"/>
  <c r="O4" i="31"/>
  <c r="O7" i="31"/>
  <c r="O5" i="31"/>
  <c r="O9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Q11" i="25"/>
  <c r="M11" i="25"/>
  <c r="O11" i="25"/>
  <c r="P11" i="25"/>
  <c r="K11" i="25"/>
  <c r="J11" i="25"/>
  <c r="L11" i="25"/>
  <c r="I11" i="25"/>
  <c r="H11" i="25"/>
  <c r="E11" i="25"/>
  <c r="P39" i="31"/>
  <c r="P45" i="31"/>
  <c r="P48" i="31"/>
  <c r="P30" i="31"/>
  <c r="C11" i="25"/>
  <c r="N24" i="31"/>
  <c r="P42" i="31"/>
  <c r="N57" i="31"/>
  <c r="N49" i="31"/>
  <c r="P59" i="31"/>
  <c r="N27" i="31"/>
  <c r="P46" i="31"/>
  <c r="N41" i="31"/>
  <c r="N13" i="31"/>
  <c r="N35" i="31"/>
  <c r="N50" i="31"/>
  <c r="N31" i="31"/>
  <c r="P32" i="31"/>
  <c r="P55" i="31"/>
  <c r="N25" i="31"/>
  <c r="P10" i="31"/>
  <c r="N60" i="31"/>
  <c r="P29" i="31"/>
  <c r="N40" i="31"/>
  <c r="P52" i="31"/>
  <c r="D11" i="25"/>
  <c r="N47" i="31"/>
  <c r="P34" i="31"/>
  <c r="N43" i="31"/>
  <c r="N44" i="31"/>
  <c r="P37" i="31"/>
  <c r="N33" i="31"/>
  <c r="P56" i="31"/>
  <c r="P61" i="31"/>
  <c r="P28" i="31"/>
  <c r="N18" i="31"/>
  <c r="N11" i="31"/>
  <c r="P26" i="31"/>
  <c r="N58" i="31"/>
  <c r="B12" i="25"/>
  <c r="N62" i="31"/>
  <c r="N36" i="31"/>
  <c r="N21" i="31"/>
  <c r="N53" i="31"/>
  <c r="N20" i="31"/>
  <c r="N19" i="31"/>
  <c r="N38" i="31"/>
  <c r="N54" i="31"/>
  <c r="N22" i="31"/>
  <c r="P23" i="31"/>
  <c r="N51" i="31"/>
  <c r="R36" i="27" l="1"/>
  <c r="O13" i="31"/>
  <c r="R33" i="27"/>
  <c r="R32" i="27"/>
  <c r="R30" i="27"/>
  <c r="O11" i="31"/>
  <c r="R23" i="27"/>
  <c r="R19" i="27"/>
  <c r="R18" i="27"/>
  <c r="R9" i="27"/>
  <c r="O21" i="31"/>
  <c r="O60" i="31"/>
  <c r="O35" i="31"/>
  <c r="O19" i="31"/>
  <c r="O18" i="31"/>
  <c r="R21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M12" i="25"/>
  <c r="N12" i="25"/>
  <c r="O12" i="25"/>
  <c r="P12" i="25"/>
  <c r="Q12" i="25"/>
  <c r="K12" i="25"/>
  <c r="L12" i="25"/>
  <c r="J12" i="25"/>
  <c r="H12" i="25"/>
  <c r="I12" i="25"/>
  <c r="C12" i="25"/>
  <c r="D12" i="25"/>
  <c r="E12" i="25"/>
  <c r="N63" i="31"/>
  <c r="P62" i="31"/>
  <c r="B13" i="25"/>
  <c r="R38" i="27" l="1"/>
  <c r="S36" i="27"/>
  <c r="S28" i="27"/>
  <c r="S35" i="27"/>
  <c r="R34" i="27"/>
  <c r="S33" i="27"/>
  <c r="S32" i="27"/>
  <c r="S31" i="27"/>
  <c r="S30" i="27"/>
  <c r="R4" i="27"/>
  <c r="S7" i="27"/>
  <c r="R6" i="27"/>
  <c r="S11" i="27"/>
  <c r="S8" i="27"/>
  <c r="R10" i="27"/>
  <c r="R14" i="27"/>
  <c r="R13" i="27"/>
  <c r="R15" i="27"/>
  <c r="R16" i="27"/>
  <c r="R17" i="27"/>
  <c r="S13" i="27"/>
  <c r="T29" i="27"/>
  <c r="S29" i="27"/>
  <c r="R29" i="27"/>
  <c r="R28" i="27"/>
  <c r="S27" i="27"/>
  <c r="R27" i="27"/>
  <c r="S26" i="27"/>
  <c r="R26" i="27"/>
  <c r="S19" i="27"/>
  <c r="S21" i="27"/>
  <c r="S12" i="27"/>
  <c r="S18" i="27"/>
  <c r="S22" i="27"/>
  <c r="R25" i="27"/>
  <c r="R24" i="27"/>
  <c r="R22" i="27"/>
  <c r="R12" i="27"/>
  <c r="R7" i="27"/>
  <c r="R8" i="27"/>
  <c r="R11" i="27"/>
  <c r="R13" i="25"/>
  <c r="O63" i="31"/>
  <c r="M64" i="31"/>
  <c r="L65" i="31"/>
  <c r="J66" i="31"/>
  <c r="K66" i="31" s="1"/>
  <c r="N13" i="25"/>
  <c r="M13" i="25"/>
  <c r="O13" i="25"/>
  <c r="Q13" i="25"/>
  <c r="P13" i="25"/>
  <c r="K13" i="25"/>
  <c r="L13" i="25"/>
  <c r="J13" i="25"/>
  <c r="I13" i="25"/>
  <c r="H13" i="25"/>
  <c r="D13" i="25"/>
  <c r="C13" i="25"/>
  <c r="P63" i="31"/>
  <c r="B14" i="25"/>
  <c r="E13" i="25"/>
  <c r="P64" i="31"/>
  <c r="S25" i="27" l="1"/>
  <c r="R14" i="25"/>
  <c r="M65" i="31"/>
  <c r="L66" i="31"/>
  <c r="J67" i="31"/>
  <c r="K67" i="31" s="1"/>
  <c r="Q14" i="25"/>
  <c r="M14" i="25"/>
  <c r="N14" i="25"/>
  <c r="P14" i="25"/>
  <c r="O14" i="25"/>
  <c r="K14" i="25"/>
  <c r="J14" i="25"/>
  <c r="L14" i="25"/>
  <c r="H14" i="25"/>
  <c r="I14" i="25"/>
  <c r="B15" i="25"/>
  <c r="D14" i="25"/>
  <c r="N64" i="31"/>
  <c r="N65" i="31"/>
  <c r="E14" i="25"/>
  <c r="C14" i="25"/>
  <c r="R15" i="25" l="1"/>
  <c r="O64" i="31"/>
  <c r="O65" i="31"/>
  <c r="M66" i="31"/>
  <c r="L67" i="31"/>
  <c r="J68" i="31"/>
  <c r="K68" i="31" s="1"/>
  <c r="O15" i="25"/>
  <c r="N15" i="25"/>
  <c r="M15" i="25"/>
  <c r="P15" i="25"/>
  <c r="Q15" i="25"/>
  <c r="J15" i="25"/>
  <c r="K15" i="25"/>
  <c r="L15" i="25"/>
  <c r="I15" i="25"/>
  <c r="G15" i="25"/>
  <c r="H15" i="25"/>
  <c r="D15" i="25"/>
  <c r="B16" i="25"/>
  <c r="E15" i="25"/>
  <c r="N66" i="31"/>
  <c r="C15" i="25"/>
  <c r="P65" i="31"/>
  <c r="R16" i="25" l="1"/>
  <c r="O66" i="31"/>
  <c r="M67" i="31"/>
  <c r="L68" i="31"/>
  <c r="J69" i="31"/>
  <c r="K69" i="31" s="1"/>
  <c r="P16" i="25"/>
  <c r="N16" i="25"/>
  <c r="Q16" i="25"/>
  <c r="M16" i="25"/>
  <c r="O16" i="25"/>
  <c r="L16" i="25"/>
  <c r="J16" i="25"/>
  <c r="K16" i="25"/>
  <c r="G16" i="25"/>
  <c r="H16" i="25"/>
  <c r="I16" i="25"/>
  <c r="E16" i="25"/>
  <c r="D16" i="25"/>
  <c r="B17" i="25"/>
  <c r="P66" i="31"/>
  <c r="C16" i="25"/>
  <c r="N67" i="31"/>
  <c r="R17" i="25" l="1"/>
  <c r="O67" i="31"/>
  <c r="M68" i="31"/>
  <c r="L69" i="31"/>
  <c r="J70" i="31"/>
  <c r="K70" i="31" s="1"/>
  <c r="N17" i="25"/>
  <c r="Q17" i="25"/>
  <c r="P17" i="25"/>
  <c r="M17" i="25"/>
  <c r="O17" i="25"/>
  <c r="L17" i="25"/>
  <c r="J17" i="25"/>
  <c r="K17" i="25"/>
  <c r="I17" i="25"/>
  <c r="H17" i="25"/>
  <c r="D17" i="25"/>
  <c r="P67" i="31"/>
  <c r="N68" i="31"/>
  <c r="B18" i="25"/>
  <c r="E17" i="25"/>
  <c r="C17" i="25"/>
  <c r="R18" i="25" l="1"/>
  <c r="O68" i="31"/>
  <c r="M69" i="31"/>
  <c r="L70" i="31"/>
  <c r="J71" i="31"/>
  <c r="K71" i="31" s="1"/>
  <c r="N18" i="25"/>
  <c r="P18" i="25"/>
  <c r="O18" i="25"/>
  <c r="M18" i="25"/>
  <c r="Q18" i="25"/>
  <c r="K18" i="25"/>
  <c r="L18" i="25"/>
  <c r="J18" i="25"/>
  <c r="H18" i="25"/>
  <c r="I18" i="25"/>
  <c r="G18" i="25"/>
  <c r="D18" i="25"/>
  <c r="E18" i="25"/>
  <c r="B19" i="25"/>
  <c r="N69" i="31"/>
  <c r="P68" i="31"/>
  <c r="C18" i="25"/>
  <c r="R19" i="25" l="1"/>
  <c r="O69" i="31"/>
  <c r="M70" i="31"/>
  <c r="L71" i="31"/>
  <c r="J72" i="31"/>
  <c r="K72" i="31" s="1"/>
  <c r="M19" i="25"/>
  <c r="N19" i="25"/>
  <c r="P19" i="25"/>
  <c r="Q19" i="25"/>
  <c r="O19" i="25"/>
  <c r="L19" i="25"/>
  <c r="K19" i="25"/>
  <c r="J19" i="25"/>
  <c r="H19" i="25"/>
  <c r="I19" i="25"/>
  <c r="D19" i="25"/>
  <c r="B20" i="25"/>
  <c r="P69" i="31"/>
  <c r="E19" i="25"/>
  <c r="N70" i="31"/>
  <c r="C19" i="25"/>
  <c r="R20" i="25" l="1"/>
  <c r="O70" i="31"/>
  <c r="M71" i="31"/>
  <c r="L72" i="31"/>
  <c r="J73" i="31"/>
  <c r="K73" i="31" s="1"/>
  <c r="Q20" i="25"/>
  <c r="O20" i="25"/>
  <c r="N20" i="25"/>
  <c r="M20" i="25"/>
  <c r="P20" i="25"/>
  <c r="K20" i="25"/>
  <c r="L20" i="25"/>
  <c r="J20" i="25"/>
  <c r="H20" i="25"/>
  <c r="G20" i="25"/>
  <c r="I20" i="25"/>
  <c r="D20" i="25"/>
  <c r="B21" i="25"/>
  <c r="C20" i="25"/>
  <c r="E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H21" i="25"/>
  <c r="I21" i="25"/>
  <c r="B22" i="25"/>
  <c r="P71" i="31"/>
  <c r="C21" i="25"/>
  <c r="D21" i="25"/>
  <c r="E21" i="25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J22" i="25"/>
  <c r="K22" i="25"/>
  <c r="L22" i="25"/>
  <c r="H22" i="25"/>
  <c r="I22" i="25"/>
  <c r="G22" i="25"/>
  <c r="B23" i="25"/>
  <c r="D22" i="25"/>
  <c r="N73" i="31"/>
  <c r="E22" i="25"/>
  <c r="C22" i="25"/>
  <c r="P72" i="31"/>
  <c r="R23" i="25" l="1"/>
  <c r="O73" i="31"/>
  <c r="M74" i="31"/>
  <c r="L75" i="31"/>
  <c r="J76" i="31"/>
  <c r="K76" i="31" s="1"/>
  <c r="N23" i="25"/>
  <c r="Q23" i="25"/>
  <c r="O23" i="25"/>
  <c r="M23" i="25"/>
  <c r="P23" i="25"/>
  <c r="J23" i="25"/>
  <c r="K23" i="25"/>
  <c r="L23" i="25"/>
  <c r="I23" i="25"/>
  <c r="H23" i="25"/>
  <c r="B24" i="25"/>
  <c r="D23" i="25"/>
  <c r="N74" i="31"/>
  <c r="E23" i="25"/>
  <c r="P73" i="31"/>
  <c r="C23" i="25"/>
  <c r="R24" i="25" l="1"/>
  <c r="O74" i="31"/>
  <c r="M75" i="31"/>
  <c r="L76" i="31"/>
  <c r="J77" i="31"/>
  <c r="K77" i="31" s="1"/>
  <c r="N24" i="25"/>
  <c r="Q24" i="25"/>
  <c r="P24" i="25"/>
  <c r="M24" i="25"/>
  <c r="O24" i="25"/>
  <c r="J24" i="25"/>
  <c r="L24" i="25"/>
  <c r="K24" i="25"/>
  <c r="H24" i="25"/>
  <c r="I24" i="25"/>
  <c r="E24" i="25"/>
  <c r="B25" i="25"/>
  <c r="P74" i="31"/>
  <c r="C24" i="25"/>
  <c r="N75" i="31"/>
  <c r="D24" i="25"/>
  <c r="R25" i="25" l="1"/>
  <c r="O75" i="31"/>
  <c r="M76" i="31"/>
  <c r="L77" i="31"/>
  <c r="J78" i="31"/>
  <c r="K78" i="31" s="1"/>
  <c r="M25" i="25"/>
  <c r="O25" i="25"/>
  <c r="N25" i="25"/>
  <c r="Q25" i="25"/>
  <c r="P25" i="25"/>
  <c r="L25" i="25"/>
  <c r="J25" i="25"/>
  <c r="K25" i="25"/>
  <c r="I25" i="25"/>
  <c r="G25" i="25"/>
  <c r="H25" i="25"/>
  <c r="B26" i="25"/>
  <c r="P75" i="31"/>
  <c r="E25" i="25"/>
  <c r="N76" i="31"/>
  <c r="D25" i="25"/>
  <c r="R26" i="25" l="1"/>
  <c r="O76" i="31"/>
  <c r="M77" i="31"/>
  <c r="L78" i="31"/>
  <c r="J79" i="31"/>
  <c r="K79" i="31" s="1"/>
  <c r="Q26" i="25"/>
  <c r="M26" i="25"/>
  <c r="P26" i="25"/>
  <c r="N26" i="25"/>
  <c r="O26" i="25"/>
  <c r="K26" i="25"/>
  <c r="J26" i="25"/>
  <c r="L26" i="25"/>
  <c r="I26" i="25"/>
  <c r="H26" i="25"/>
  <c r="E26" i="25"/>
  <c r="D26" i="25"/>
  <c r="P76" i="31"/>
  <c r="N77" i="31"/>
  <c r="B27" i="25"/>
  <c r="R27" i="25" l="1"/>
  <c r="O77" i="31"/>
  <c r="M78" i="31"/>
  <c r="L79" i="31"/>
  <c r="J80" i="31"/>
  <c r="K80" i="31" s="1"/>
  <c r="Q27" i="25"/>
  <c r="N27" i="25"/>
  <c r="M27" i="25"/>
  <c r="O27" i="25"/>
  <c r="P27" i="25"/>
  <c r="K27" i="25"/>
  <c r="J27" i="25"/>
  <c r="L27" i="25"/>
  <c r="H27" i="25"/>
  <c r="I27" i="25"/>
  <c r="D27" i="25"/>
  <c r="B28" i="25"/>
  <c r="P77" i="31"/>
  <c r="E27" i="25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K28" i="25"/>
  <c r="J28" i="25"/>
  <c r="H28" i="25"/>
  <c r="I28" i="25"/>
  <c r="E28" i="25"/>
  <c r="P78" i="31"/>
  <c r="B29" i="25"/>
  <c r="N79" i="31"/>
  <c r="D28" i="25"/>
  <c r="R29" i="25" l="1"/>
  <c r="O79" i="31"/>
  <c r="M80" i="31"/>
  <c r="L81" i="31"/>
  <c r="J82" i="31"/>
  <c r="K82" i="31" s="1"/>
  <c r="P29" i="25"/>
  <c r="O29" i="25"/>
  <c r="M29" i="25"/>
  <c r="N29" i="25"/>
  <c r="Q29" i="25"/>
  <c r="L29" i="25"/>
  <c r="J29" i="25"/>
  <c r="K29" i="25"/>
  <c r="I29" i="25"/>
  <c r="H29" i="25"/>
  <c r="E29" i="25"/>
  <c r="D29" i="25"/>
  <c r="C29" i="25"/>
  <c r="P79" i="31"/>
  <c r="B30" i="25"/>
  <c r="N80" i="31"/>
  <c r="R30" i="25" l="1"/>
  <c r="O80" i="31"/>
  <c r="M81" i="31"/>
  <c r="L82" i="31"/>
  <c r="J83" i="31"/>
  <c r="K83" i="31" s="1"/>
  <c r="N30" i="25"/>
  <c r="P30" i="25"/>
  <c r="M30" i="25"/>
  <c r="Q30" i="25"/>
  <c r="O30" i="25"/>
  <c r="K30" i="25"/>
  <c r="L30" i="25"/>
  <c r="J30" i="25"/>
  <c r="I30" i="25"/>
  <c r="H30" i="25"/>
  <c r="C30" i="25"/>
  <c r="D30" i="25"/>
  <c r="B31" i="25"/>
  <c r="P80" i="31"/>
  <c r="N81" i="31"/>
  <c r="E30" i="25"/>
  <c r="R31" i="25" l="1"/>
  <c r="O81" i="31"/>
  <c r="M82" i="31"/>
  <c r="L83" i="31"/>
  <c r="J84" i="31"/>
  <c r="K84" i="31" s="1"/>
  <c r="M31" i="25"/>
  <c r="N31" i="25"/>
  <c r="Q31" i="25"/>
  <c r="P31" i="25"/>
  <c r="O31" i="25"/>
  <c r="K31" i="25"/>
  <c r="L31" i="25"/>
  <c r="J31" i="25"/>
  <c r="H31" i="25"/>
  <c r="I31" i="25"/>
  <c r="D31" i="25"/>
  <c r="B32" i="25"/>
  <c r="C31" i="25"/>
  <c r="P81" i="31"/>
  <c r="E31" i="25"/>
  <c r="N82" i="31"/>
  <c r="R32" i="25" l="1"/>
  <c r="O82" i="31"/>
  <c r="M83" i="31"/>
  <c r="L84" i="31"/>
  <c r="J85" i="31"/>
  <c r="K85" i="31" s="1"/>
  <c r="N32" i="25"/>
  <c r="P32" i="25"/>
  <c r="M32" i="25"/>
  <c r="O32" i="25"/>
  <c r="Q32" i="25"/>
  <c r="L32" i="25"/>
  <c r="J32" i="25"/>
  <c r="K32" i="25"/>
  <c r="I32" i="25"/>
  <c r="H32" i="25"/>
  <c r="B33" i="25"/>
  <c r="C32" i="25"/>
  <c r="D32" i="25"/>
  <c r="E32" i="25"/>
  <c r="P82" i="31"/>
  <c r="N83" i="31"/>
  <c r="R33" i="25" l="1"/>
  <c r="O83" i="31"/>
  <c r="M84" i="31"/>
  <c r="L85" i="31"/>
  <c r="J86" i="31"/>
  <c r="K86" i="31" s="1"/>
  <c r="P33" i="25"/>
  <c r="O33" i="25"/>
  <c r="M33" i="25"/>
  <c r="Q33" i="25"/>
  <c r="N33" i="25"/>
  <c r="J33" i="25"/>
  <c r="L33" i="25"/>
  <c r="K33" i="25"/>
  <c r="H33" i="25"/>
  <c r="I33" i="25"/>
  <c r="C25" i="25"/>
  <c r="E33" i="25"/>
  <c r="P83" i="31"/>
  <c r="N84" i="31"/>
  <c r="D33" i="25"/>
  <c r="B34" i="25"/>
  <c r="C33" i="25"/>
  <c r="R34" i="25" l="1"/>
  <c r="O84" i="31"/>
  <c r="M85" i="31"/>
  <c r="L86" i="31"/>
  <c r="J87" i="31"/>
  <c r="K87" i="31" s="1"/>
  <c r="N34" i="25"/>
  <c r="M34" i="25"/>
  <c r="Q34" i="25"/>
  <c r="O34" i="25"/>
  <c r="P34" i="25"/>
  <c r="K34" i="25"/>
  <c r="J34" i="25"/>
  <c r="L34" i="25"/>
  <c r="I34" i="25"/>
  <c r="H34" i="25"/>
  <c r="C34" i="25"/>
  <c r="D34" i="25"/>
  <c r="P84" i="31"/>
  <c r="E34" i="25"/>
  <c r="B35" i="25"/>
  <c r="N85" i="31"/>
  <c r="C26" i="25"/>
  <c r="R35" i="25" l="1"/>
  <c r="O85" i="31"/>
  <c r="M86" i="31"/>
  <c r="L87" i="31"/>
  <c r="J88" i="31"/>
  <c r="K88" i="31" s="1"/>
  <c r="P35" i="25"/>
  <c r="M35" i="25"/>
  <c r="N35" i="25"/>
  <c r="Q35" i="25"/>
  <c r="O35" i="25"/>
  <c r="K35" i="25"/>
  <c r="J35" i="25"/>
  <c r="L35" i="25"/>
  <c r="H35" i="25"/>
  <c r="I35" i="25"/>
  <c r="D35" i="25"/>
  <c r="C35" i="25"/>
  <c r="B36" i="25"/>
  <c r="C27" i="25"/>
  <c r="C28" i="25"/>
  <c r="P85" i="31"/>
  <c r="N86" i="31"/>
  <c r="E35" i="25"/>
  <c r="R36" i="25" l="1"/>
  <c r="O86" i="31"/>
  <c r="M87" i="31"/>
  <c r="L88" i="31"/>
  <c r="J89" i="31"/>
  <c r="K89" i="31" s="1"/>
  <c r="O36" i="25"/>
  <c r="N36" i="25"/>
  <c r="P36" i="25"/>
  <c r="Q36" i="25"/>
  <c r="M36" i="25"/>
  <c r="K36" i="25"/>
  <c r="J36" i="25"/>
  <c r="L36" i="25"/>
  <c r="H36" i="25"/>
  <c r="I36" i="25"/>
  <c r="E36" i="25"/>
  <c r="C36" i="25"/>
  <c r="B37" i="25"/>
  <c r="N87" i="31"/>
  <c r="P86" i="31"/>
  <c r="D36" i="25"/>
  <c r="R37" i="25" l="1"/>
  <c r="O87" i="31"/>
  <c r="M88" i="31"/>
  <c r="L89" i="31"/>
  <c r="J90" i="31"/>
  <c r="K90" i="31" s="1"/>
  <c r="Q37" i="25"/>
  <c r="N37" i="25"/>
  <c r="O37" i="25"/>
  <c r="M37" i="25"/>
  <c r="P37" i="25"/>
  <c r="J37" i="25"/>
  <c r="L37" i="25"/>
  <c r="K37" i="25"/>
  <c r="I37" i="25"/>
  <c r="H37" i="25"/>
  <c r="C37" i="25"/>
  <c r="E37" i="25"/>
  <c r="D37" i="25"/>
  <c r="P87" i="31"/>
  <c r="B38" i="25"/>
  <c r="N88" i="31"/>
  <c r="R38" i="25" l="1"/>
  <c r="O88" i="31"/>
  <c r="M89" i="31"/>
  <c r="L90" i="31"/>
  <c r="J91" i="31"/>
  <c r="K91" i="31" s="1"/>
  <c r="N38" i="25"/>
  <c r="Q38" i="25"/>
  <c r="P38" i="25"/>
  <c r="O38" i="25"/>
  <c r="M38" i="25"/>
  <c r="L38" i="25"/>
  <c r="K38" i="25"/>
  <c r="J38" i="25"/>
  <c r="H38" i="25"/>
  <c r="I38" i="25"/>
  <c r="E38" i="25"/>
  <c r="B39" i="25"/>
  <c r="N89" i="31"/>
  <c r="C38" i="25"/>
  <c r="P88" i="31"/>
  <c r="D38" i="25"/>
  <c r="R39" i="25" l="1"/>
  <c r="O89" i="31"/>
  <c r="M90" i="31"/>
  <c r="L91" i="31"/>
  <c r="J92" i="31"/>
  <c r="K92" i="31" s="1"/>
  <c r="N39" i="25"/>
  <c r="P39" i="25"/>
  <c r="Q39" i="25"/>
  <c r="O39" i="25"/>
  <c r="M39" i="25"/>
  <c r="J39" i="25"/>
  <c r="L39" i="25"/>
  <c r="K39" i="25"/>
  <c r="I39" i="25"/>
  <c r="H39" i="25"/>
  <c r="B40" i="25"/>
  <c r="E39" i="25"/>
  <c r="D39" i="25"/>
  <c r="C39" i="25"/>
  <c r="P89" i="31"/>
  <c r="N90" i="31"/>
  <c r="R40" i="25" l="1"/>
  <c r="O90" i="31"/>
  <c r="M91" i="31"/>
  <c r="L92" i="31"/>
  <c r="J93" i="31"/>
  <c r="K93" i="31" s="1"/>
  <c r="Q40" i="25"/>
  <c r="P40" i="25"/>
  <c r="O40" i="25"/>
  <c r="M40" i="25"/>
  <c r="N40" i="25"/>
  <c r="L40" i="25"/>
  <c r="J40" i="25"/>
  <c r="K40" i="25"/>
  <c r="D40" i="25"/>
  <c r="B41" i="25"/>
  <c r="E40" i="25"/>
  <c r="H40" i="25"/>
  <c r="C40" i="25"/>
  <c r="I40" i="25"/>
  <c r="N91" i="31"/>
  <c r="P90" i="31"/>
  <c r="R41" i="25" l="1"/>
  <c r="O91" i="31"/>
  <c r="M92" i="31"/>
  <c r="L93" i="31"/>
  <c r="J94" i="31"/>
  <c r="K94" i="31" s="1"/>
  <c r="N41" i="25"/>
  <c r="P41" i="25"/>
  <c r="Q41" i="25"/>
  <c r="M41" i="25"/>
  <c r="O41" i="25"/>
  <c r="J41" i="25"/>
  <c r="K41" i="25"/>
  <c r="L41" i="25"/>
  <c r="D41" i="25"/>
  <c r="E41" i="25"/>
  <c r="C41" i="25"/>
  <c r="I41" i="25"/>
  <c r="H41" i="25"/>
  <c r="B42" i="25"/>
  <c r="P91" i="31"/>
  <c r="N92" i="31"/>
  <c r="R42" i="25" l="1"/>
  <c r="O92" i="31"/>
  <c r="M93" i="31"/>
  <c r="L94" i="31"/>
  <c r="J95" i="31"/>
  <c r="K95" i="31" s="1"/>
  <c r="Q42" i="25"/>
  <c r="M42" i="25"/>
  <c r="O42" i="25"/>
  <c r="N42" i="25"/>
  <c r="P42" i="25"/>
  <c r="K42" i="25"/>
  <c r="J42" i="25"/>
  <c r="L42" i="25"/>
  <c r="B43" i="25"/>
  <c r="I42" i="25"/>
  <c r="C42" i="25"/>
  <c r="D42" i="25"/>
  <c r="H42" i="25"/>
  <c r="E42" i="25"/>
  <c r="P92" i="31"/>
  <c r="N93" i="31"/>
  <c r="R43" i="25" l="1"/>
  <c r="O93" i="31"/>
  <c r="M94" i="31"/>
  <c r="L95" i="31"/>
  <c r="J96" i="31"/>
  <c r="K96" i="31" s="1"/>
  <c r="N43" i="25"/>
  <c r="P43" i="25"/>
  <c r="O43" i="25"/>
  <c r="M43" i="25"/>
  <c r="Q43" i="25"/>
  <c r="K43" i="25"/>
  <c r="J43" i="25"/>
  <c r="L43" i="25"/>
  <c r="E43" i="25"/>
  <c r="C43" i="25"/>
  <c r="B44" i="25"/>
  <c r="D43" i="25"/>
  <c r="I43" i="25"/>
  <c r="H43" i="25"/>
  <c r="P93" i="31"/>
  <c r="N94" i="31"/>
  <c r="R44" i="25" l="1"/>
  <c r="O94" i="31"/>
  <c r="M95" i="31"/>
  <c r="L96" i="31"/>
  <c r="J97" i="31"/>
  <c r="K97" i="31" s="1"/>
  <c r="O44" i="25"/>
  <c r="P44" i="25"/>
  <c r="N44" i="25"/>
  <c r="M44" i="25"/>
  <c r="Q44" i="25"/>
  <c r="J44" i="25"/>
  <c r="K44" i="25"/>
  <c r="L44" i="25"/>
  <c r="D44" i="25"/>
  <c r="E44" i="25"/>
  <c r="I44" i="25"/>
  <c r="H44" i="25"/>
  <c r="C44" i="25"/>
  <c r="B45" i="25"/>
  <c r="P94" i="31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E45" i="25"/>
  <c r="D45" i="25"/>
  <c r="H45" i="25"/>
  <c r="B46" i="25"/>
  <c r="N96" i="31"/>
  <c r="P95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I46" i="25"/>
  <c r="H46" i="25"/>
  <c r="C46" i="25"/>
  <c r="D46" i="25"/>
  <c r="B47" i="25"/>
  <c r="E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H47" i="25"/>
  <c r="D47" i="25"/>
  <c r="B48" i="25"/>
  <c r="E47" i="25"/>
  <c r="C47" i="25"/>
  <c r="I47" i="25"/>
  <c r="P97" i="31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D48" i="25"/>
  <c r="E48" i="25"/>
  <c r="I48" i="25"/>
  <c r="C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B50" i="25"/>
  <c r="I49" i="25"/>
  <c r="E49" i="25"/>
  <c r="C49" i="25"/>
  <c r="H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D50" i="25"/>
  <c r="C50" i="25"/>
  <c r="I50" i="25"/>
  <c r="H50" i="25"/>
  <c r="B51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E51" i="25"/>
  <c r="B52" i="25"/>
  <c r="C51" i="25"/>
  <c r="I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C52" i="25"/>
  <c r="E52" i="25"/>
  <c r="D52" i="25"/>
  <c r="B53" i="25"/>
  <c r="H52" i="25"/>
  <c r="I52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C53" i="25"/>
  <c r="D53" i="25"/>
  <c r="H53" i="25"/>
  <c r="E53" i="25"/>
  <c r="B54" i="25"/>
  <c r="I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G54" i="25"/>
  <c r="E54" i="25"/>
  <c r="D54" i="25"/>
  <c r="B55" i="25"/>
  <c r="H54" i="25"/>
  <c r="I54" i="25"/>
  <c r="C54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E55" i="25"/>
  <c r="D55" i="25"/>
  <c r="I55" i="25"/>
  <c r="B56" i="25"/>
  <c r="C55" i="25"/>
  <c r="H55" i="25"/>
  <c r="N106" i="31"/>
  <c r="P105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D56" i="25"/>
  <c r="E56" i="25"/>
  <c r="B57" i="25"/>
  <c r="I56" i="25"/>
  <c r="H56" i="25"/>
  <c r="C56" i="25"/>
  <c r="N107" i="31"/>
  <c r="P106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N191" i="31"/>
  <c r="P190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N214" i="31"/>
  <c r="P213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P217" i="31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N219" i="31"/>
  <c r="P218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N220" i="31"/>
  <c r="P219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N230" i="31"/>
  <c r="P229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N235" i="31"/>
  <c r="P234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N251" i="31"/>
  <c r="P250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N322" i="31"/>
  <c r="P321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N499" i="31"/>
  <c r="P498" i="31"/>
  <c r="K501" i="31" l="1"/>
  <c r="O499" i="31"/>
  <c r="M500" i="31"/>
  <c r="P499" i="31"/>
  <c r="N500" i="31"/>
  <c r="L501" i="31" l="1"/>
  <c r="M501" i="31" s="1"/>
  <c r="O500" i="31"/>
  <c r="G11" i="25"/>
  <c r="G14" i="25"/>
  <c r="G12" i="25"/>
  <c r="G13" i="25"/>
  <c r="N501" i="31"/>
  <c r="P500" i="31"/>
  <c r="F11" i="25"/>
  <c r="O501" i="31" l="1"/>
  <c r="G58" i="25"/>
  <c r="G60" i="25"/>
  <c r="F57" i="25"/>
  <c r="F59" i="25"/>
  <c r="G61" i="25"/>
  <c r="G57" i="25"/>
  <c r="F58" i="25"/>
  <c r="G59" i="25"/>
  <c r="F60" i="25"/>
  <c r="G56" i="25"/>
  <c r="F56" i="25"/>
  <c r="G49" i="25"/>
  <c r="F55" i="25"/>
  <c r="G50" i="25"/>
  <c r="F52" i="25"/>
  <c r="G52" i="25"/>
  <c r="G55" i="25"/>
  <c r="F49" i="25"/>
  <c r="F51" i="25"/>
  <c r="F54" i="25"/>
  <c r="F50" i="25"/>
  <c r="G51" i="25"/>
  <c r="F53" i="25"/>
  <c r="G53" i="25"/>
  <c r="G45" i="25"/>
  <c r="G33" i="25"/>
  <c r="G32" i="25"/>
  <c r="G34" i="25"/>
  <c r="G26" i="25"/>
  <c r="G46" i="25"/>
  <c r="G43" i="25"/>
  <c r="G36" i="25"/>
  <c r="G38" i="25"/>
  <c r="G30" i="25"/>
  <c r="F46" i="25"/>
  <c r="F44" i="25"/>
  <c r="G24" i="25"/>
  <c r="G35" i="25"/>
  <c r="G28" i="25"/>
  <c r="F47" i="25"/>
  <c r="G44" i="25"/>
  <c r="F40" i="25"/>
  <c r="G39" i="25"/>
  <c r="F48" i="25"/>
  <c r="G40" i="25"/>
  <c r="G27" i="25"/>
  <c r="F45" i="25"/>
  <c r="G48" i="25"/>
  <c r="G42" i="25"/>
  <c r="G31" i="25"/>
  <c r="G47" i="25"/>
  <c r="F42" i="25"/>
  <c r="G41" i="25"/>
  <c r="G29" i="25"/>
  <c r="G37" i="25"/>
  <c r="G21" i="25"/>
  <c r="G23" i="25"/>
  <c r="G17" i="25"/>
  <c r="G19" i="25"/>
  <c r="F38" i="25"/>
  <c r="F10" i="25"/>
  <c r="F9" i="25"/>
  <c r="F19" i="25"/>
  <c r="F14" i="25"/>
  <c r="F33" i="25"/>
  <c r="F31" i="25"/>
  <c r="F22" i="25"/>
  <c r="F13" i="25"/>
  <c r="F12" i="25"/>
  <c r="F30" i="25"/>
  <c r="F35" i="25"/>
  <c r="F34" i="25"/>
  <c r="F32" i="25"/>
  <c r="F39" i="25"/>
  <c r="F18" i="25"/>
  <c r="F20" i="25"/>
  <c r="F28" i="25"/>
  <c r="F21" i="25"/>
  <c r="F17" i="25"/>
  <c r="F29" i="25"/>
  <c r="F36" i="25"/>
  <c r="F16" i="25"/>
  <c r="F37" i="25"/>
  <c r="F23" i="25"/>
  <c r="F15" i="25"/>
  <c r="P501" i="31"/>
  <c r="R37" i="27" l="1"/>
  <c r="R35" i="27"/>
  <c r="R20" i="27"/>
  <c r="F43" i="25"/>
  <c r="F41" i="25"/>
  <c r="F24" i="25"/>
  <c r="F27" i="25"/>
  <c r="F26" i="25"/>
  <c r="F25" i="25"/>
</calcChain>
</file>

<file path=xl/sharedStrings.xml><?xml version="1.0" encoding="utf-8"?>
<sst xmlns="http://schemas.openxmlformats.org/spreadsheetml/2006/main" count="2677" uniqueCount="1283">
  <si>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</si>
  <si>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</si>
  <si>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</si>
  <si>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</si>
  <si>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</si>
  <si>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</si>
  <si>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</si>
  <si>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</si>
  <si>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</si>
  <si>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</si>
  <si>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</si>
  <si>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</si>
  <si>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</si>
  <si>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</si>
  <si>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</si>
  <si>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</si>
  <si>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</si>
  <si>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</si>
  <si>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</si>
  <si>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</si>
  <si>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</si>
  <si>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</si>
  <si>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</si>
  <si>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</si>
  <si>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</si>
  <si>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</si>
  <si>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</si>
  <si>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</si>
  <si>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</si>
  <si>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</si>
  <si>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</si>
  <si>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</si>
  <si>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</si>
  <si>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</si>
  <si>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</si>
  <si>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</si>
  <si>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</si>
  <si>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</si>
  <si>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</si>
  <si>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</si>
  <si>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</si>
  <si>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</si>
  <si>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</si>
  <si>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</si>
  <si>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</si>
  <si>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</si>
  <si>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</si>
  <si>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</si>
  <si>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</si>
  <si>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</si>
  <si>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</si>
  <si>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</si>
  <si>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</si>
  <si>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</si>
  <si>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</si>
  <si>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</si>
  <si>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</si>
  <si>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</si>
  <si>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</si>
  <si>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</si>
  <si>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</si>
  <si>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</si>
  <si>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</si>
  <si>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</si>
  <si>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</si>
  <si>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</si>
  <si>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</si>
  <si>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</si>
  <si>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</si>
  <si>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</si>
  <si>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</si>
  <si>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</si>
  <si>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</si>
  <si>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</si>
  <si>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</si>
  <si>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</si>
  <si>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</si>
  <si>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</si>
  <si>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</si>
  <si>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</si>
  <si>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</si>
  <si>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</si>
  <si>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</si>
  <si>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</si>
  <si>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</si>
  <si>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</si>
  <si>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</si>
  <si>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</si>
  <si>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</si>
  <si>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</si>
  <si>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</si>
  <si>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</si>
  <si>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</si>
  <si>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</si>
  <si>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</si>
  <si>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</si>
  <si>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</si>
  <si>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</si>
  <si>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</si>
  <si>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</si>
  <si>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</si>
  <si>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</si>
  <si>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</si>
  <si>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</si>
  <si>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</si>
  <si>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</si>
  <si>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</si>
  <si>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</si>
  <si>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</si>
  <si>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</si>
  <si>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</si>
  <si>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</si>
  <si>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</si>
  <si>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</si>
  <si>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</si>
  <si>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</si>
  <si>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</si>
  <si>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</si>
  <si>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</si>
  <si>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</si>
  <si>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</si>
  <si>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</si>
  <si>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</si>
  <si>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</si>
  <si>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</si>
  <si>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</si>
  <si>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</si>
  <si>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</si>
  <si>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</si>
  <si>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</si>
  <si>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</si>
  <si>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</si>
  <si>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</si>
  <si>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</si>
  <si>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</si>
  <si>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</si>
  <si>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</si>
  <si>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</si>
  <si>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</si>
  <si>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</si>
  <si>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</si>
  <si>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</si>
  <si>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</si>
  <si>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</si>
  <si>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</si>
  <si>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</si>
  <si>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</si>
  <si>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</si>
  <si>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</si>
  <si>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</si>
  <si>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</si>
  <si>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</si>
  <si>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</si>
  <si>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</si>
  <si>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</si>
  <si>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</si>
  <si>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</si>
  <si>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</si>
  <si>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</si>
  <si>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</si>
  <si>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</si>
  <si>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</si>
  <si>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</si>
  <si>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</si>
  <si>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</si>
  <si>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</si>
  <si>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</si>
  <si>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</si>
  <si>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</si>
  <si>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</si>
  <si>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</si>
  <si>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</si>
  <si>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</si>
  <si>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</si>
  <si>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</si>
  <si>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</si>
  <si>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</si>
  <si>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</si>
  <si>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</si>
  <si>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</si>
  <si>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</si>
  <si>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</si>
  <si>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</si>
  <si>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</si>
  <si>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</si>
  <si>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</si>
  <si>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</si>
  <si>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</si>
  <si>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</si>
  <si>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</si>
  <si>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</si>
  <si>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</si>
  <si>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</si>
  <si>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</si>
  <si>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</si>
  <si>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</si>
  <si>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</si>
  <si>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</si>
  <si>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</si>
  <si>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</si>
  <si>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</si>
  <si>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</si>
  <si>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</si>
  <si>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</si>
  <si>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</si>
  <si>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</si>
  <si>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</si>
  <si>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</si>
  <si>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</si>
  <si>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</si>
  <si>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</si>
  <si>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</si>
  <si>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</si>
  <si>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</si>
  <si>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</si>
  <si>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</si>
  <si>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</si>
  <si>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</si>
  <si>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</si>
  <si>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</si>
  <si>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</si>
  <si>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</si>
  <si>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</si>
  <si>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</si>
  <si>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</si>
  <si>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</si>
  <si>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</si>
  <si>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</si>
  <si>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</si>
  <si>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</si>
  <si>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</si>
  <si>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</si>
  <si>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</si>
  <si>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</si>
  <si>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</si>
  <si>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</si>
  <si>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</si>
  <si>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</si>
  <si>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</si>
  <si>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</si>
  <si>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</si>
  <si>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</si>
  <si>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</si>
  <si>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</si>
  <si>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</si>
  <si>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</si>
  <si>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</si>
  <si>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</si>
  <si>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</si>
  <si>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</si>
  <si>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</si>
  <si>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</si>
  <si>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</si>
  <si>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</si>
  <si>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</si>
  <si>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</si>
  <si>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</si>
  <si>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</si>
  <si>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</si>
  <si>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</si>
  <si>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</si>
  <si>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</si>
  <si>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</si>
  <si>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</si>
  <si>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</si>
  <si>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</si>
  <si>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</si>
  <si>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</si>
  <si>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</si>
  <si>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</si>
  <si>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</si>
  <si>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</si>
  <si>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</si>
  <si>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</si>
  <si>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</si>
  <si>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</si>
  <si>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</si>
  <si>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</si>
  <si>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</si>
  <si>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</si>
  <si>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</si>
  <si>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</si>
  <si>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</si>
  <si>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</si>
  <si>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</si>
  <si>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</si>
  <si>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</si>
  <si>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</si>
  <si>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</si>
  <si>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</si>
  <si>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</si>
  <si>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</si>
  <si>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</si>
  <si>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</si>
  <si>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</si>
  <si>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</si>
  <si>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</si>
  <si>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</si>
  <si>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</si>
  <si>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</si>
  <si>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</si>
  <si>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</si>
  <si>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</si>
  <si>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</si>
  <si>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</si>
  <si>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</si>
  <si>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</si>
  <si>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</si>
  <si>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</si>
  <si>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</si>
  <si>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</si>
  <si>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</si>
  <si>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</si>
  <si>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</si>
  <si>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</si>
  <si>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</si>
  <si>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</si>
  <si>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</si>
  <si>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</si>
  <si>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</si>
  <si>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</si>
  <si>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</si>
  <si>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</si>
  <si>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</si>
  <si>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</si>
  <si>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</si>
  <si>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</si>
  <si>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</si>
  <si>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</si>
  <si>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</si>
  <si>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</si>
  <si>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</si>
  <si>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</si>
  <si>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</si>
  <si>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</si>
  <si>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</si>
  <si>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</si>
  <si>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</si>
  <si>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</si>
  <si>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</si>
  <si>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</si>
  <si>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</si>
  <si>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</si>
  <si>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</si>
  <si>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</si>
  <si>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</si>
  <si>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</si>
  <si>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</si>
  <si>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</si>
  <si>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</si>
  <si>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</si>
  <si>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</si>
  <si>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</si>
  <si>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</si>
  <si>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</si>
  <si>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</si>
  <si>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</si>
  <si>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</si>
  <si>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</si>
  <si>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</si>
  <si>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</si>
  <si>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</si>
  <si>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</si>
  <si>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</si>
  <si>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</si>
  <si>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</si>
  <si>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</si>
  <si>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</si>
  <si>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</si>
  <si>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</si>
  <si>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</si>
  <si>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</si>
  <si>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</si>
  <si>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</si>
  <si>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</si>
  <si>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</si>
  <si>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</si>
  <si>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</si>
  <si>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</si>
  <si>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</si>
  <si>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</si>
  <si>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</si>
  <si>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</si>
  <si>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</si>
  <si>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</si>
  <si>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</si>
  <si>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</si>
  <si>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</si>
  <si>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</si>
  <si>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</si>
  <si>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</si>
  <si>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</si>
  <si>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</si>
  <si>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</si>
  <si>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</si>
  <si>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</si>
  <si>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</si>
  <si>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</si>
  <si>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</si>
  <si>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</si>
  <si>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</si>
  <si>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</si>
  <si>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</si>
  <si>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</si>
  <si>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</si>
  <si>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</si>
  <si>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</si>
  <si>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</si>
  <si>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</si>
  <si>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</si>
  <si>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</si>
  <si>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</si>
  <si>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</si>
  <si>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</si>
  <si>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</si>
  <si>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</si>
  <si>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</si>
  <si>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</si>
  <si>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</si>
  <si>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</si>
  <si>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</si>
  <si>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</si>
  <si>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</si>
  <si>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</si>
  <si>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</si>
  <si>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</si>
  <si>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</si>
  <si>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</si>
  <si>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</si>
  <si>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</si>
  <si>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</si>
  <si>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</si>
  <si>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</si>
  <si>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</si>
  <si>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</si>
  <si>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</si>
  <si>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</si>
  <si>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</si>
  <si>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</si>
  <si>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</si>
  <si>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</si>
  <si>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</si>
  <si>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</si>
  <si>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</si>
  <si>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</si>
  <si>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</si>
  <si>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</si>
  <si>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</si>
  <si>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</si>
  <si>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</si>
  <si>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</si>
  <si>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</si>
  <si>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</si>
  <si>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</si>
  <si>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</si>
  <si>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</si>
  <si>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</si>
  <si>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</si>
  <si>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</si>
  <si>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</si>
  <si>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</si>
  <si>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</si>
  <si>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</si>
  <si>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</si>
  <si>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</si>
  <si>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</si>
  <si>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</si>
  <si>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</si>
  <si>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</si>
  <si>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</si>
  <si>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</si>
  <si>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</si>
  <si>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</si>
  <si>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</si>
  <si>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</si>
  <si>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</si>
  <si>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</si>
  <si>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</si>
  <si>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</si>
  <si>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</si>
  <si>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</si>
  <si>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</si>
  <si>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</si>
  <si>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</si>
  <si>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</si>
  <si>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</si>
  <si>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</si>
  <si>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</si>
  <si>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</si>
  <si>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</si>
  <si>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</si>
  <si>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</si>
  <si>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</si>
  <si>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</si>
  <si>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</si>
  <si>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</si>
  <si>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</si>
  <si>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</si>
  <si>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</si>
  <si>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</si>
  <si>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</si>
  <si>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</si>
  <si>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</si>
  <si>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</si>
  <si>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</si>
  <si>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</si>
  <si>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</si>
  <si>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</si>
  <si>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</si>
  <si>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</si>
  <si>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</si>
  <si>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</si>
  <si>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</si>
  <si>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</si>
  <si>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</si>
  <si>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</si>
  <si>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</si>
  <si>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</si>
  <si>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</si>
  <si>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</si>
  <si>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</si>
  <si>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</si>
  <si>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</si>
  <si>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</si>
  <si>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</si>
  <si>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</si>
  <si>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</si>
  <si>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</si>
  <si>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</si>
  <si>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</si>
  <si>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</si>
  <si>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</si>
  <si>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</si>
  <si>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</si>
  <si>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</si>
  <si>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</si>
  <si>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</si>
  <si>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</si>
  <si>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</si>
  <si>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</si>
  <si>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</si>
  <si>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</si>
  <si>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</si>
  <si>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</si>
  <si>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</si>
  <si>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</si>
  <si>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</si>
  <si>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</si>
  <si>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</si>
  <si>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</si>
  <si>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</si>
  <si>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</si>
  <si>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</si>
  <si>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</si>
  <si>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</si>
  <si>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</si>
  <si>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</si>
  <si>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</si>
  <si>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</si>
  <si>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</si>
  <si>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</si>
  <si>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</si>
  <si>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</si>
  <si>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</si>
  <si>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</si>
  <si>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</si>
  <si>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</si>
  <si>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</si>
  <si>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</si>
  <si>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</si>
  <si>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</si>
  <si>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</si>
  <si>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</si>
  <si>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</si>
  <si>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</si>
  <si>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</si>
  <si>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</si>
  <si>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</si>
  <si>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</si>
  <si>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</si>
  <si>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</si>
  <si>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</si>
  <si>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</si>
  <si>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</si>
  <si>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</si>
  <si>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</si>
  <si>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</si>
  <si>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</si>
  <si>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</si>
  <si>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</si>
  <si>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</si>
  <si>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</si>
  <si>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</si>
  <si>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</si>
  <si>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</si>
  <si>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</si>
  <si>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</si>
  <si>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</si>
  <si>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</si>
  <si>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</si>
  <si>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</si>
  <si>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</si>
  <si>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</si>
  <si>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</si>
  <si>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</si>
  <si>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</si>
  <si>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</si>
  <si>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</si>
  <si>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</si>
  <si>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</si>
  <si>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</si>
  <si>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</si>
  <si>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</si>
  <si>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</si>
  <si>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</si>
  <si>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</si>
  <si>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</si>
  <si>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</si>
  <si>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</si>
  <si>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</si>
  <si>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</si>
  <si>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</si>
  <si>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</si>
  <si>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</si>
  <si>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</si>
  <si>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</si>
  <si>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</si>
  <si>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</si>
  <si>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</si>
  <si>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</si>
  <si>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</si>
  <si>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</si>
  <si>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</si>
  <si>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</si>
  <si>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</si>
  <si>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</si>
  <si>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</si>
  <si>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</si>
  <si>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</si>
  <si>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</si>
  <si>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</si>
  <si>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</si>
  <si>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</si>
  <si>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</si>
  <si>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</si>
  <si>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</si>
  <si>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</si>
  <si>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</si>
  <si>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</si>
  <si>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</si>
  <si>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</si>
  <si>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</si>
  <si>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</si>
  <si>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</si>
  <si>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</si>
  <si>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</si>
  <si>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</si>
  <si>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</si>
  <si>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</si>
  <si>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</si>
  <si>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</si>
  <si>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</si>
  <si>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</si>
  <si>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</si>
  <si>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</si>
  <si>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</si>
  <si>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</si>
  <si>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</si>
  <si>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</si>
  <si>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</si>
  <si>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</si>
  <si>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</si>
  <si>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</si>
  <si>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</si>
  <si>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</si>
  <si>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</si>
  <si>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</si>
  <si>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</si>
  <si>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</si>
  <si>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</si>
  <si>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</si>
  <si>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</si>
  <si>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</si>
  <si>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</si>
  <si>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</si>
  <si>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</si>
  <si>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</si>
  <si>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</si>
  <si>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</si>
  <si>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</si>
  <si>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</si>
  <si>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</si>
  <si>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</si>
  <si>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</si>
  <si>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</si>
  <si>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</si>
  <si>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</si>
  <si>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</si>
  <si>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</si>
  <si>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</si>
  <si>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</si>
  <si>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</si>
  <si>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</si>
  <si>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</si>
  <si>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</si>
  <si>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</si>
  <si>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</si>
  <si>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</si>
  <si>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</si>
  <si>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</si>
  <si>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</si>
  <si>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</si>
  <si>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</si>
  <si>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</si>
  <si>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</si>
  <si>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</si>
  <si>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</si>
  <si>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</si>
  <si>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</si>
  <si>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</si>
  <si>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</si>
  <si>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</si>
  <si>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</si>
  <si>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</si>
  <si>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</si>
  <si>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</si>
  <si>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</si>
  <si>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</si>
  <si>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</si>
  <si>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</si>
  <si>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</si>
  <si>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</si>
  <si>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</si>
  <si>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</si>
  <si>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</si>
  <si>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</si>
  <si>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</si>
  <si>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</si>
  <si>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</si>
  <si>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</si>
  <si>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</si>
  <si>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</si>
  <si>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</si>
  <si>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</si>
  <si>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</si>
  <si>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</si>
  <si>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</si>
  <si>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</si>
  <si>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</si>
  <si>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</si>
  <si>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</si>
  <si>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</si>
  <si>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</si>
  <si>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</si>
  <si>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</si>
  <si>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</si>
  <si>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</si>
  <si>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</si>
  <si>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</si>
  <si>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</si>
  <si>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</si>
  <si>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</si>
  <si>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</si>
  <si>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</si>
  <si>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</si>
  <si>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</si>
  <si>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</si>
  <si>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</si>
  <si>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</si>
  <si>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</si>
  <si>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</si>
  <si>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</si>
  <si>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</si>
  <si>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</si>
  <si>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</si>
  <si>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</si>
  <si>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</si>
  <si>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</si>
  <si>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</si>
  <si>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</si>
  <si>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</si>
  <si>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</si>
  <si>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</si>
  <si>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</si>
  <si>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</si>
  <si>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</si>
  <si>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</si>
  <si>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</si>
  <si>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</si>
  <si>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</si>
  <si>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</si>
  <si>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</si>
  <si>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</si>
  <si>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</si>
  <si>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</si>
  <si>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</si>
  <si>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</si>
  <si>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</si>
  <si>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</si>
  <si>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</si>
  <si>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</si>
  <si>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</si>
  <si>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</si>
  <si>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</si>
  <si>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</si>
  <si>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</si>
  <si>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</si>
  <si>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</si>
  <si>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</si>
  <si>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</si>
  <si>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</si>
  <si>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</si>
  <si>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</si>
  <si>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</si>
  <si>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</si>
  <si>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</si>
  <si>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</si>
  <si>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</si>
  <si>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</si>
  <si>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</si>
  <si>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</si>
  <si>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</si>
  <si>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</si>
  <si>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</si>
  <si>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</si>
  <si>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</si>
  <si>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</si>
  <si>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</si>
  <si>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</si>
  <si>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</si>
  <si>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</si>
  <si>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</si>
  <si>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</si>
  <si>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</si>
  <si>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</si>
  <si>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</si>
  <si>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</si>
  <si>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</si>
  <si>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</si>
  <si>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</si>
  <si>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</si>
  <si>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</si>
  <si>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</si>
  <si>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</si>
  <si>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</si>
  <si>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</si>
  <si>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</si>
  <si>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</si>
  <si>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</si>
  <si>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</si>
  <si>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</si>
  <si>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</si>
  <si>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</si>
  <si>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</si>
  <si>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</si>
  <si>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</si>
  <si>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</si>
  <si>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</si>
  <si>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</si>
  <si>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</si>
  <si>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</si>
  <si>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</si>
  <si>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</si>
  <si>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</si>
  <si>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</si>
  <si>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</si>
  <si>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</si>
  <si>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</si>
  <si>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</si>
  <si>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</si>
  <si>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</si>
  <si>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</si>
  <si>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</si>
  <si>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</si>
  <si>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</si>
  <si>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</si>
  <si>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</si>
  <si>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</si>
  <si>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</si>
  <si>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</si>
  <si>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</si>
  <si>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</si>
  <si>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</si>
  <si>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</si>
  <si>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</si>
  <si>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</si>
  <si>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</si>
  <si>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</si>
  <si>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</si>
  <si>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</si>
  <si>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</si>
  <si>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</si>
  <si>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</si>
  <si>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</si>
  <si>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</si>
  <si>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</si>
  <si>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</si>
  <si>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</si>
  <si>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</si>
  <si>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</si>
  <si>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</si>
  <si>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</si>
  <si>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</si>
  <si>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</si>
  <si>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</si>
  <si>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</si>
  <si>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</si>
  <si>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</si>
  <si>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</si>
  <si>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</si>
  <si>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</si>
  <si>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</si>
  <si>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</si>
  <si>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</si>
  <si>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</si>
  <si>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</si>
  <si>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</si>
  <si>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</si>
  <si>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</si>
  <si>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</si>
  <si>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</si>
  <si>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</si>
  <si>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</si>
  <si>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</si>
  <si>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</si>
  <si>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</si>
  <si>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</si>
  <si>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</si>
  <si>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</si>
  <si>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</si>
  <si>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</si>
  <si>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</si>
  <si>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</si>
  <si>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</si>
  <si>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</si>
  <si>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</si>
  <si>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</si>
  <si>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</si>
  <si>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</si>
  <si>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</si>
  <si>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</si>
  <si>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</si>
  <si>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</si>
  <si>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</si>
  <si>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</si>
  <si>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</si>
  <si>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</si>
  <si>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</si>
  <si>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</si>
  <si>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</si>
  <si>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</si>
  <si>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</si>
  <si>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</si>
  <si>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</si>
  <si>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</si>
  <si>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</si>
  <si>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</si>
  <si>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</si>
  <si>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</si>
  <si>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</si>
  <si>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</si>
  <si>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</si>
  <si>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</si>
  <si>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</si>
  <si>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</si>
  <si>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</si>
  <si>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</si>
  <si>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</si>
  <si>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</si>
  <si>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Assign To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</si>
  <si>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</si>
  <si>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</si>
  <si>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</si>
  <si>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</si>
  <si>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</si>
  <si>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</si>
  <si>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</si>
  <si>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</si>
  <si>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</si>
  <si>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</si>
  <si>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</si>
  <si>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</si>
  <si>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</si>
  <si>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</si>
  <si>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</si>
  <si>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</si>
  <si>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</si>
  <si>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</si>
  <si>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</si>
  <si>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</si>
  <si>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</si>
  <si>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</si>
  <si>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</si>
  <si>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</si>
  <si>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</si>
  <si>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</si>
  <si>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</si>
  <si>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</si>
  <si>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</si>
  <si>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</si>
  <si>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</si>
  <si>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</si>
  <si>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</si>
  <si>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</si>
  <si>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</si>
  <si>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</si>
  <si>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</si>
  <si>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</si>
  <si>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</si>
  <si>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</si>
  <si>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</si>
  <si>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</si>
  <si>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</si>
  <si>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</si>
  <si>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</si>
  <si>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</si>
  <si>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</si>
  <si>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</si>
  <si>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</si>
  <si>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</si>
  <si>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</si>
  <si>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</si>
  <si>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</si>
  <si>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</si>
  <si>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</si>
  <si>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</si>
  <si>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</si>
  <si>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</si>
  <si>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</si>
  <si>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</si>
  <si>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</si>
  <si>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</si>
  <si>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</si>
  <si>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</si>
  <si>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</si>
  <si>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</si>
  <si>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</si>
  <si>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</si>
  <si>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</si>
  <si>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</si>
  <si>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</si>
  <si>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</si>
  <si>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</si>
  <si>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</si>
  <si>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</si>
  <si>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</si>
  <si>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</si>
  <si>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</si>
  <si>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</si>
  <si>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</si>
  <si>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</si>
  <si>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</si>
  <si>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</si>
  <si>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</si>
  <si>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</si>
  <si>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</si>
  <si>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</si>
  <si>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</si>
  <si>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</si>
  <si>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</si>
  <si>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</si>
  <si>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</si>
  <si>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</si>
  <si>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</si>
  <si>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</si>
  <si>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</si>
  <si>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</si>
  <si>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</si>
  <si>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</si>
  <si>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</si>
  <si>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</si>
  <si>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</si>
  <si>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</si>
  <si>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</si>
  <si>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</si>
  <si>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</si>
  <si>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</si>
  <si>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</si>
  <si>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</si>
  <si>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</si>
  <si>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</si>
  <si>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</si>
  <si>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</si>
  <si>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</si>
  <si>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</si>
  <si>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</si>
  <si>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</si>
  <si>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</si>
  <si>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</si>
  <si>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</si>
  <si>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</si>
  <si>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</si>
  <si>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</si>
  <si>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</si>
  <si>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</si>
  <si>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</si>
  <si>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</si>
  <si>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</si>
  <si>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</si>
  <si>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</si>
  <si>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</si>
  <si>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</si>
  <si>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</si>
  <si>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</si>
  <si>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</si>
  <si>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</si>
  <si>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</si>
  <si>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</si>
  <si>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</si>
  <si>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</si>
  <si>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</si>
  <si>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</si>
  <si>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</si>
  <si>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</si>
  <si>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</si>
  <si>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</si>
  <si>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</si>
  <si>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</si>
  <si>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</si>
  <si>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</si>
  <si>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</si>
  <si>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</si>
  <si>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</si>
  <si>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</si>
  <si>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category_foreign</t>
  </si>
  <si>
    <t>category</t>
  </si>
  <si>
    <t>Category</t>
  </si>
  <si>
    <t>Category of tasks</t>
  </si>
  <si>
    <t>Categories</t>
  </si>
  <si>
    <t>CreateCategory</t>
  </si>
  <si>
    <t>Form to create category</t>
  </si>
  <si>
    <t>Category/CreateCategory</t>
  </si>
  <si>
    <t>Category Name</t>
  </si>
  <si>
    <t>TaskCategoryPartner</t>
  </si>
  <si>
    <t>Category has many Tasks</t>
  </si>
  <si>
    <t>TaskCategory</t>
  </si>
  <si>
    <t>Category has many PartnerTasks</t>
  </si>
  <si>
    <t>CategoryTask</t>
  </si>
  <si>
    <t>CategoryProgress</t>
  </si>
  <si>
    <t>Partnertask belongs to Category</t>
  </si>
  <si>
    <t>Task belongs to Category</t>
  </si>
  <si>
    <t>CreateCategoryFormAction</t>
  </si>
  <si>
    <t>Action to create categories</t>
  </si>
  <si>
    <t>Task/CreateTask/category</t>
  </si>
  <si>
    <t>(Forms) Category/CreateCategory</t>
  </si>
  <si>
    <t>CategoryList</t>
  </si>
  <si>
    <t>List all categories</t>
  </si>
  <si>
    <t>Category/CategoryList</t>
  </si>
  <si>
    <t>PartnerTask/CategoryProgress</t>
  </si>
  <si>
    <t>ListCategoryAction</t>
  </si>
  <si>
    <t>Action to list all categories</t>
  </si>
  <si>
    <t>New Category</t>
  </si>
  <si>
    <t>(Lists) Category/CategoryList</t>
  </si>
  <si>
    <t>NewCategoryList</t>
  </si>
  <si>
    <t>List of partnertask categories</t>
  </si>
  <si>
    <t>New Categories</t>
  </si>
  <si>
    <t>PartnerTask/NewCategoryList</t>
  </si>
  <si>
    <t>ListNewCategoryAction</t>
  </si>
  <si>
    <t>Action to view categories of partner</t>
  </si>
  <si>
    <t>(Lists) PartnerTask/NewCategoryList</t>
  </si>
  <si>
    <t>Same as category</t>
  </si>
  <si>
    <t>CategoryTaskList</t>
  </si>
  <si>
    <t>CategoryTask/CategoryTaskList</t>
  </si>
  <si>
    <t>new_count</t>
  </si>
  <si>
    <t>completed_count</t>
  </si>
  <si>
    <t>ListCategoryTaskAction</t>
  </si>
  <si>
    <t>Action to list all category task</t>
  </si>
  <si>
    <t>(Lists) CategoryTask/CategoryTaskList</t>
  </si>
  <si>
    <t>CategoryTasks</t>
  </si>
  <si>
    <t>Tasks in a category</t>
  </si>
  <si>
    <t>ListCategorysTasksAction</t>
  </si>
  <si>
    <t>Action to list all tasks from a category</t>
  </si>
  <si>
    <t>(Relation) CategoryTask/Tasks</t>
  </si>
  <si>
    <t>CategoryTask/ListCategorysTasksAction</t>
  </si>
  <si>
    <t>Action to list all tasks which are completed from a category</t>
  </si>
  <si>
    <t>CategorysCompletedTasks</t>
  </si>
  <si>
    <t>CategorysNewTasks</t>
  </si>
  <si>
    <t>Action to list all tasks which are new from a category</t>
  </si>
  <si>
    <t>CategoryTask/CategorysCompletedTasks</t>
  </si>
  <si>
    <t>CategoryTask/CategorysNewTasks</t>
  </si>
  <si>
    <t>All Tasks</t>
  </si>
  <si>
    <t>Pending Tasks</t>
  </si>
  <si>
    <t>ProgressCount</t>
  </si>
  <si>
    <t>Categories with pending and completed numbers</t>
  </si>
  <si>
    <t>counts</t>
  </si>
  <si>
    <t>CategoryTask/ProgressCount</t>
  </si>
  <si>
    <t>record.completed_count &gt; 0</t>
  </si>
  <si>
    <t>record.new_count &gt; 0</t>
  </si>
  <si>
    <t>record.new_count &gt; 0 || record.completed_count &gt; 0</t>
  </si>
  <si>
    <t>only</t>
  </si>
  <si>
    <t>CategoryAddTasks</t>
  </si>
  <si>
    <t>Action to assign task</t>
  </si>
  <si>
    <t>AddRelation</t>
  </si>
  <si>
    <t>(Relation) Category/TaskCategory</t>
  </si>
  <si>
    <t>(Fields) Task/CreateTask/category</t>
  </si>
  <si>
    <t>Category/CategoryAddTasks</t>
  </si>
  <si>
    <t>Task/CategoryTask</t>
  </si>
  <si>
    <t>Create Task</t>
  </si>
  <si>
    <t>default('Attachment')</t>
  </si>
  <si>
    <t>Except</t>
  </si>
  <si>
    <t>803212,803213,803214,803215</t>
  </si>
  <si>
    <t>GroupData</t>
  </si>
  <si>
    <t>Groups details</t>
  </si>
  <si>
    <t>PartnersData</t>
  </si>
  <si>
    <t>Partners details</t>
  </si>
  <si>
    <t>TasksData</t>
  </si>
  <si>
    <t>Tasks details</t>
  </si>
  <si>
    <t>CategoriesData</t>
  </si>
  <si>
    <t>Categories details</t>
  </si>
  <si>
    <t>EditPartnerFormAction</t>
  </si>
  <si>
    <t>EditGroupFormAction</t>
  </si>
  <si>
    <t>EditCategoryFormAction</t>
  </si>
  <si>
    <t>EditTaskFormAction</t>
  </si>
  <si>
    <t>Action to edit users</t>
  </si>
  <si>
    <t>(Data) Partner/PartnersData</t>
  </si>
  <si>
    <t>Action to edit groups</t>
  </si>
  <si>
    <t>Action to edit categories</t>
  </si>
  <si>
    <t>Action to edit Tasks</t>
  </si>
  <si>
    <t xml:space="preserve">Edit </t>
  </si>
  <si>
    <t>(Data) Group/GroupData</t>
  </si>
  <si>
    <t>(Data) Category/CategoriesData</t>
  </si>
  <si>
    <t>(Data) Task/TasksData</t>
  </si>
  <si>
    <t>Partner/EditPartnerFormAction</t>
  </si>
  <si>
    <t>Group/EditGroupFormAction</t>
  </si>
  <si>
    <t>Task/EditTaskFormAction</t>
  </si>
  <si>
    <t>Category/EditCategoryFormAction</t>
  </si>
  <si>
    <t>Profile</t>
  </si>
  <si>
    <t>User can view their profile</t>
  </si>
  <si>
    <t>ProfileList</t>
  </si>
  <si>
    <t>List Profile List</t>
  </si>
  <si>
    <t>Profile/ProfileList</t>
  </si>
  <si>
    <t>ListPartnerProfile</t>
  </si>
  <si>
    <t>Action to list profile</t>
  </si>
  <si>
    <t>My Profile</t>
  </si>
  <si>
    <t>(Lists) Profile/ProfileList</t>
  </si>
  <si>
    <t>EditProfileAction</t>
  </si>
  <si>
    <t>Action to edit partner</t>
  </si>
  <si>
    <t>Form to create Profile</t>
  </si>
  <si>
    <t>CreateProfile</t>
  </si>
  <si>
    <t>ProfileData</t>
  </si>
  <si>
    <t>(Data) Profile/ProfileData</t>
  </si>
  <si>
    <t>Profile/EditProfileAction</t>
  </si>
  <si>
    <t>Profile/CreateProfile</t>
  </si>
  <si>
    <t>Profile/CreateProfile/name</t>
  </si>
  <si>
    <t>Profile/CreateProfile/email</t>
  </si>
  <si>
    <t>Profile/CreateProfile/password</t>
  </si>
  <si>
    <t>(Forms) Profile/CreateProfile</t>
  </si>
  <si>
    <t>TaskUpdateForm</t>
  </si>
  <si>
    <t>Form to update a task status</t>
  </si>
  <si>
    <t>PartnerTask/TaskUpdateForm</t>
  </si>
  <si>
    <t>New Progress</t>
  </si>
  <si>
    <t>PartnerTask/TaskUpdateForm/remarks</t>
  </si>
  <si>
    <t>PartnerTask/TaskUpdateForm/progress</t>
  </si>
  <si>
    <t>PartnerTask/TaskUpdateForm/task.name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</si>
  <si>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</si>
  <si>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</si>
  <si>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</si>
  <si>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</si>
  <si>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</si>
  <si>
    <t>Recent24</t>
  </si>
  <si>
    <t>Tasks which are updated with last 24 hours</t>
  </si>
  <si>
    <t>recent24</t>
  </si>
  <si>
    <t>Recent48</t>
  </si>
  <si>
    <t>Tasks which are updated with last 48 hours</t>
  </si>
  <si>
    <t>recent48</t>
  </si>
  <si>
    <t>PartnerTask/Recent24</t>
  </si>
  <si>
    <t>List of tasks that updated recently within 24 hours</t>
  </si>
  <si>
    <t>RecentlyUpdatedTasks48</t>
  </si>
  <si>
    <t>RecentlyUpdatedTasks24</t>
  </si>
  <si>
    <t>List of tasks that updated recently within 48 hours</t>
  </si>
  <si>
    <t>PartnerTask/RecentlyUpdatedTasks48</t>
  </si>
  <si>
    <t>PartnerTask/RecentlyUpdatedTasks24</t>
  </si>
  <si>
    <t>PartnerTask/Recent48</t>
  </si>
  <si>
    <t>Updated</t>
  </si>
  <si>
    <t>Recently Updated 24</t>
  </si>
  <si>
    <t>(Lists) PartnerTask/RecentlyUpdatedTasks24</t>
  </si>
  <si>
    <t>RecentlyUpdatedTaskList24Action</t>
  </si>
  <si>
    <t>RecentlyUpdatedTaskList48Action</t>
  </si>
  <si>
    <t>Action to call a list which displays tasks that are updated recently within 48 hours</t>
  </si>
  <si>
    <t>Action to call a list which displays tasks that are updated recently within 24 hours</t>
  </si>
  <si>
    <t>Recently Updated 48</t>
  </si>
  <si>
    <t>(Lists) PartnerTask/RecentlyUpdatedTasks48</t>
  </si>
  <si>
    <t>803218,803235,803236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</si>
</sst>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1" fillId="0" borderId="0" xfId="1" quotePrefix="1" applyNumberFormat="1" applyFont="1" applyAlignment="1">
      <alignment horizontal="left"/>
    </xf>
    <xf numFmtId="49" fontId="1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1" totalsRowShown="0" dataDxfId="473">
  <autoFilter ref="A1:J51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38" totalsRowShown="0" headerRowDxfId="355" dataDxfId="354">
  <autoFilter ref="A1:AB38"/>
  <tableColumns count="28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6" name="icon" dataDxfId="343"/>
    <tableColumn id="27" name="on" dataDxfId="342"/>
    <tableColumn id="28" name="confirm" dataDxfId="341"/>
    <tableColumn id="20" name="Primary Method" dataDxfId="340">
      <calculatedColumnFormula>'Table Seed Map'!$A$35&amp;"-"&amp;(COUNTA($E$1:ResourceAction[[#This Row],[Resource]])-2)</calculatedColumnFormula>
    </tableColumn>
    <tableColumn id="12" name="Method ID" dataDxfId="339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8">
      <calculatedColumnFormula>IF(ResourceAction[[#This Row],[No]]="id","resource_action",ResourceAction[[#This Row],[No]])</calculatedColumnFormula>
    </tableColumn>
    <tableColumn id="15" name="Method Type" dataDxfId="337"/>
    <tableColumn id="16" name="IDN 1" dataDxfId="336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5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4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3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2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1"/>
    <tableColumn id="22" name="IDN2" dataDxfId="330"/>
    <tableColumn id="24" name="IDN3" dataDxfId="329"/>
    <tableColumn id="25" name="IDN4" dataDxfId="328"/>
    <tableColumn id="23" name="IDN5" dataDxfId="327"/>
    <tableColumn id="1" name="AID" dataDxfId="326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27" totalsRowShown="0" headerRowDxfId="325" dataDxfId="324">
  <autoFilter ref="AD1:AO27"/>
  <tableColumns count="12">
    <tableColumn id="1" name="Action Name" dataDxfId="323"/>
    <tableColumn id="3" name="Action" dataDxfId="322">
      <calculatedColumnFormula>VLOOKUP(ActionListNData[[#This Row],[Action Name]],ResourceAction[[Display]:[No]],3,0)</calculatedColumnFormula>
    </tableColumn>
    <tableColumn id="5" name="Resource List" dataDxfId="321"/>
    <tableColumn id="6" name="Resource Data" dataDxfId="320"/>
    <tableColumn id="9" name="Primary List" dataDxfId="319">
      <calculatedColumnFormula>'Table Seed Map'!$A$37&amp;"-"&amp;-1+COUNTA($AF$1:ActionListNData[[#This Row],[Resource List]])</calculatedColumnFormula>
    </tableColumn>
    <tableColumn id="10" name="List ID" dataDxfId="318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7">
      <calculatedColumnFormula>ActionListNData[[#This Row],[Action]]</calculatedColumnFormula>
    </tableColumn>
    <tableColumn id="4" name="List" dataDxfId="316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5">
      <calculatedColumnFormula>'Table Seed Map'!$A$38&amp;"-"&amp;-1+COUNTA($AG$1:ActionListNData[[#This Row],[Resource Data]])</calculatedColumnFormula>
    </tableColumn>
    <tableColumn id="12" name="Data ID" dataDxfId="314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13">
      <calculatedColumnFormula>ActionListNData[[#This Row],[Action]]</calculatedColumnFormula>
    </tableColumn>
    <tableColumn id="2" name="Data" dataDxfId="312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11" dataDxfId="310">
  <autoFilter ref="AQ1:AV2"/>
  <tableColumns count="6">
    <tableColumn id="1" name="Action Name for Attr" dataDxfId="309"/>
    <tableColumn id="5" name="Primary" dataDxfId="308">
      <calculatedColumnFormula>'Table Seed Map'!$A$36&amp;"-"&amp;(COUNTA($AQ$2:ActionAttr[[#This Row],[Action Name for Attr]]))</calculatedColumnFormula>
    </tableColumn>
    <tableColumn id="6" name="No" dataDxfId="307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6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5"/>
    <tableColumn id="3" name="Value" dataDxfId="30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1" totalsRowShown="0" headerRowDxfId="303" dataDxfId="302">
  <autoFilter ref="A1:K11"/>
  <tableColumns count="11">
    <tableColumn id="1" name="Primary" dataDxfId="301">
      <calculatedColumnFormula>'Table Seed Map'!$A$11&amp;"-"&amp;(COUNTA($F$1:ResourceForms[[#This Row],[Resource]])-2)</calculatedColumnFormula>
    </tableColumn>
    <tableColumn id="11" name="FormName" dataDxfId="300">
      <calculatedColumnFormula>ResourceForms[[#This Row],[Resource Name]]&amp;"/"&amp;ResourceForms[[#This Row],[Name]]</calculatedColumnFormula>
    </tableColumn>
    <tableColumn id="10" name="No" dataDxfId="299">
      <calculatedColumnFormula>COUNTA($A$1:ResourceForms[[#This Row],[Primary]])-2</calculatedColumnFormula>
    </tableColumn>
    <tableColumn id="2" name="Resource Name" dataDxfId="298"/>
    <tableColumn id="12" name="ID" dataDxfId="297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6">
      <calculatedColumnFormula>IFERROR(VLOOKUP(ResourceForms[[#This Row],[Resource Name]],ResourceTable[[RName]:[No]],3,0),"resource")</calculatedColumnFormula>
    </tableColumn>
    <tableColumn id="4" name="Name" dataDxfId="295"/>
    <tableColumn id="5" name="Description" dataDxfId="294"/>
    <tableColumn id="6" name="Title" dataDxfId="293"/>
    <tableColumn id="7" name="Action Text" dataDxfId="292"/>
    <tableColumn id="8" name="Form ID" dataDxfId="291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5" headerRowDxfId="290" dataDxfId="289">
  <autoFilter ref="M1:BA35"/>
  <tableColumns count="41">
    <tableColumn id="23" name="Primary" dataDxfId="288">
      <calculatedColumnFormula>'Table Seed Map'!$A$12&amp;"-"&amp;FormFields[[#This Row],[No]]</calculatedColumnFormula>
    </tableColumn>
    <tableColumn id="1" name="Form Name" totalsRowLabel="Total" dataDxfId="287"/>
    <tableColumn id="44" name="No" dataDxfId="286">
      <calculatedColumnFormula>COUNTA($N$1:FormFields[[#This Row],[Form Name]])-1</calculatedColumnFormula>
    </tableColumn>
    <tableColumn id="24" name="Field Name" dataDxfId="285">
      <calculatedColumnFormula>FormFields[[#This Row],[Form Name]]&amp;"/"&amp;FormFields[[#This Row],[Name]]</calculatedColumnFormula>
    </tableColumn>
    <tableColumn id="11" name="ID" dataDxfId="284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3">
      <calculatedColumnFormula>IFERROR(VLOOKUP(FormFields[[#This Row],[Form Name]],ResourceForms[[FormName]:[ID]],4,0),"resource_form")</calculatedColumnFormula>
    </tableColumn>
    <tableColumn id="3" name="Name" dataDxfId="282"/>
    <tableColumn id="4" name="Type" dataDxfId="281"/>
    <tableColumn id="5" name="Label" dataDxfId="280"/>
    <tableColumn id="6" name="Rel" dataDxfId="279"/>
    <tableColumn id="7" name="Rel1" dataDxfId="278"/>
    <tableColumn id="8" name="Rel2" dataDxfId="277"/>
    <tableColumn id="9" name="Rel3" dataDxfId="276"/>
    <tableColumn id="45" name="Primary FD" dataDxfId="275">
      <calculatedColumnFormula>'Table Seed Map'!$A$13&amp;"-"&amp;FormFields[[#This Row],[NO2]]</calculatedColumnFormula>
    </tableColumn>
    <tableColumn id="46" name="NO2" dataDxfId="274">
      <calculatedColumnFormula>COUNTIFS($AB$1:FormFields[[#This Row],[Exists]],1)-1</calculatedColumnFormula>
    </tableColumn>
    <tableColumn id="49" name="Exists" dataDxfId="273">
      <calculatedColumnFormula>IF(AND(FormFields[[#This Row],[Attribute]]="",FormFields[[#This Row],[Rel]]=""),0,1)</calculatedColumnFormula>
    </tableColumn>
    <tableColumn id="47" name="NO3" dataDxfId="272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1">
      <calculatedColumnFormula>IF(FormFields[[#This Row],[ID]]="id","form_field",FormFields[[#This Row],[ID]])</calculatedColumnFormula>
    </tableColumn>
    <tableColumn id="40" name="Attribute" dataDxfId="270">
      <calculatedColumnFormula>IF(FormFields[[#This Row],[No]]=0,"attribute",FormFields[[#This Row],[Name]])</calculatedColumnFormula>
    </tableColumn>
    <tableColumn id="12" name="Relation" dataDxfId="269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8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6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5">
      <calculatedColumnFormula>IF(OR(FormFields[[#This Row],[Option Type]]="",FormFields[[#This Row],[Option Type]]="type"),0,1)</calculatedColumnFormula>
    </tableColumn>
    <tableColumn id="50" name="Primary FO" dataDxfId="264">
      <calculatedColumnFormula>'Table Seed Map'!$A$14&amp;"-"&amp;FormFields[[#This Row],[NO4]]</calculatedColumnFormula>
    </tableColumn>
    <tableColumn id="51" name="NO4" dataDxfId="263">
      <calculatedColumnFormula>COUNTIF($AJ$2:FormFields[[#This Row],[Exists FO]],1)</calculatedColumnFormula>
    </tableColumn>
    <tableColumn id="53" name="NO5" dataDxfId="262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1">
      <calculatedColumnFormula>IF(FormFields[[#This Row],[ID]]="id","form_field",FormFields[[#This Row],[ID]])</calculatedColumnFormula>
    </tableColumn>
    <tableColumn id="18" name="Option Type" dataDxfId="260"/>
    <tableColumn id="19" name="Detail" dataDxfId="259"/>
    <tableColumn id="20" name="Value Attr" dataDxfId="258"/>
    <tableColumn id="21" name="Label Attr" dataDxfId="257"/>
    <tableColumn id="22" name="Preload" dataDxfId="256"/>
    <tableColumn id="67" name="Exists FL" dataDxfId="255">
      <calculatedColumnFormula>IF(OR(FormFields[[#This Row],[Colspan]]="",FormFields[[#This Row],[Colspan]]="colspan"),0,1)</calculatedColumnFormula>
    </tableColumn>
    <tableColumn id="68" name="Primary FL" dataDxfId="254">
      <calculatedColumnFormula>'Table Seed Map'!$A$19&amp;"-"&amp;FormFields[[#This Row],[NO8]]</calculatedColumnFormula>
    </tableColumn>
    <tableColumn id="69" name="NO8" dataDxfId="253">
      <calculatedColumnFormula>COUNTIF($AT$1:FormFields[[#This Row],[Exists FL]],1)</calculatedColumnFormula>
    </tableColumn>
    <tableColumn id="70" name="FL ID" dataDxfId="252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1">
      <calculatedColumnFormula>FormFields[Form]</calculatedColumnFormula>
    </tableColumn>
    <tableColumn id="42" name="Layout Field ID" dataDxfId="250">
      <calculatedColumnFormula>IF(FormFields[[#This Row],[ID]]="id","form_field",FormFields[[#This Row],[ID]])</calculatedColumnFormula>
    </tableColumn>
    <tableColumn id="43" name="Colspan" dataDxfId="249"/>
    <tableColumn id="16" name="Field ID" dataDxfId="248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3" totalsRowShown="0" headerRowDxfId="247" dataDxfId="246">
  <autoFilter ref="BC1:BH33"/>
  <tableColumns count="6">
    <tableColumn id="1" name="ATTR Field" dataDxfId="245"/>
    <tableColumn id="5" name="Primary" dataDxfId="244">
      <calculatedColumnFormula>'Table Seed Map'!$A$15&amp;"-"&amp;(-1+COUNTA($BC$1:FieldAttrs[[#This Row],[ATTR Field]]))</calculatedColumnFormula>
    </tableColumn>
    <tableColumn id="6" name="No" dataDxfId="243">
      <calculatedColumnFormula>IF(FieldAttrs[[#This Row],[ATTR Field]]="","id",-1+COUNTA($BC$1:FieldAttrs[[#This Row],[ATTR Field]])+VLOOKUP('Table Seed Map'!$A$15,SeedMap[],9,0))</calculatedColumnFormula>
    </tableColumn>
    <tableColumn id="4" name="Field" dataDxfId="242">
      <calculatedColumnFormula>IFERROR(VLOOKUP(FieldAttrs[ATTR Field],FormFields[[Field Name]:[ID]],2,0),"form_field")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9" dataDxfId="238">
  <autoFilter ref="BJ1:BS11"/>
  <tableColumns count="10">
    <tableColumn id="1" name="Validation Field" dataDxfId="237"/>
    <tableColumn id="10" name="ID No" dataDxfId="236">
      <calculatedColumnFormula>COUNTA($BJ$2:FieldValidations[[#This Row],[Validation Field]])</calculatedColumnFormula>
    </tableColumn>
    <tableColumn id="8" name="Primary" dataDxfId="235">
      <calculatedColumnFormula>'Table Seed Map'!$A$17&amp;"-"&amp;FieldValidations[[#This Row],[ID No]]</calculatedColumnFormula>
    </tableColumn>
    <tableColumn id="9" name="No" dataDxfId="234">
      <calculatedColumnFormula>IF(FieldValidations[[#This Row],[ID No]]=0,"id",FieldValidations[[#This Row],[ID No]]+VLOOKUP('Table Seed Map'!$A$17,SeedMap[],9,0))</calculatedColumnFormula>
    </tableColumn>
    <tableColumn id="7" name="Field" dataDxfId="233">
      <calculatedColumnFormula>VLOOKUP(FieldValidations[Validation Field],FormFields[[Field Name]:[ID]],2,0)</calculatedColumnFormula>
    </tableColumn>
    <tableColumn id="2" name="Rule" dataDxfId="232"/>
    <tableColumn id="3" name="Message" dataDxfId="231"/>
    <tableColumn id="4" name="Arg 1" dataDxfId="230"/>
    <tableColumn id="5" name="Arg 2" dataDxfId="229"/>
    <tableColumn id="6" name="Arg 3" dataDxfId="228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7">
  <autoFilter ref="CF1:CZ2"/>
  <tableColumns count="21">
    <tableColumn id="21" name="No" dataDxfId="226">
      <calculatedColumnFormula>COUNTA($CH$1:FormDefault[[#This Row],[Form for Default]])-1</calculatedColumnFormula>
    </tableColumn>
    <tableColumn id="1" name="Primary" dataDxfId="225">
      <calculatedColumnFormula>'Table Seed Map'!$A$21&amp;"-"&amp;FormDefault[[#This Row],[No]]</calculatedColumnFormula>
    </tableColumn>
    <tableColumn id="2" name="Form for Default" dataDxfId="224"/>
    <tableColumn id="3" name="ID" dataDxfId="223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5" dataDxfId="204">
  <autoFilter ref="BU1:CD2"/>
  <tableColumns count="10">
    <tableColumn id="1" name="Primary" dataDxfId="203">
      <calculatedColumnFormula>'Table Seed Map'!$A$22&amp;"-"&amp;COUNTA($BV$1:FormCollection[[#This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7">
      <calculatedColumnFormula>IFERROR(VLOOKUP(FormCollection[Main Form for Collection],ResourceForms[[FormName]:[ID]],4,0),"resource_form")</calculatedColumnFormula>
    </tableColumn>
    <tableColumn id="8" name="Collection Form2" dataDxfId="196">
      <calculatedColumnFormula>IFERROR(VLOOKUP(FormCollection[Collection Form],ResourceForms[[FormName]:[ID]],4,0),"collection_form")</calculatedColumnFormula>
    </tableColumn>
    <tableColumn id="9" name="Relation3" dataDxfId="195">
      <calculatedColumnFormula>IFERROR(VLOOKUP(FormCollection[Relation],RelationTable[[Display]:[RELID]],2,0),"")</calculatedColumnFormula>
    </tableColumn>
    <tableColumn id="10" name="Foreign" dataDxfId="194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3" dataDxfId="192">
  <autoFilter ref="DB1:DL2"/>
  <tableColumns count="11">
    <tableColumn id="1" name="Field for Depend" dataDxfId="191"/>
    <tableColumn id="9" name="Primary" dataDxfId="190">
      <calculatedColumnFormula>'Table Seed Map'!$A$18&amp;"-"&amp;COUNTA($DB$2:FieldDepends[[#This Row],[Field for Depend]])</calculatedColumnFormula>
    </tableColumn>
    <tableColumn id="10" name="ID" dataDxfId="189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" totalsRowShown="0" dataDxfId="462">
  <autoFilter ref="A1:J24"/>
  <tableColumns count="10">
    <tableColumn id="1" name="Column" dataDxfId="461"/>
    <tableColumn id="2" name="Type" dataDxfId="460"/>
    <tableColumn id="3" name="Name" dataDxfId="459"/>
    <tableColumn id="4" name="Length/Enum" dataDxfId="458"/>
    <tableColumn id="5" name="Method1" dataDxfId="457"/>
    <tableColumn id="6" name="Method2" dataDxfId="456"/>
    <tableColumn id="7" name="Method3" dataDxfId="455"/>
    <tableColumn id="8" name="Method4" dataDxfId="454"/>
    <tableColumn id="9" name="Method5" dataDxfId="453"/>
    <tableColumn id="10" name="Usage" dataDxfId="45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0" dataDxfId="179">
  <autoFilter ref="DN1:DW2"/>
  <tableColumns count="10">
    <tableColumn id="1" name="Field for Dynamic" dataDxfId="178"/>
    <tableColumn id="9" name="Primary" dataDxfId="177">
      <calculatedColumnFormula>'Table Seed Map'!$A$16&amp;"-"&amp;COUNTA($DN$2:FieldDynamic[[#This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8" dataDxfId="167">
  <autoFilter ref="DY1:ES2"/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Map'!$A$20&amp;"-"&amp;-1+COUNTA($DY$1:FormDataMapping[[#This Row],[Form for Data Mapping]])</calculatedColumnFormula>
    </tableColumn>
    <tableColumn id="5" name="ID" dataDxfId="162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1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0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9">
      <calculatedColumnFormula>IF(FormDataMapping[[#This Row],[Form for Data Mapping]]="","form_field",VLOOKUP(FormDataMapping[Form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6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5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4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3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2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5">
  <autoFilter ref="A1:H44"/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MID(MigrationRenamer[Filename],26,LEN(MigrationRenamer[Filename])-35)</calculatedColumnFormula>
    </tableColumn>
    <tableColumn id="3" name="Date Part" dataDxfId="141">
      <calculatedColumnFormula>"2019_01_24_"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RIGHT(MigrationRenamer[Filename],LEN(MigrationRenamer[Filename])-LEN(MigrationRenamer[Date Part])-LEN(MigrationRenamer[Sequence]))</calculatedColumnFormula>
    </tableColumn>
    <tableColumn id="6" name="New Name" dataDxfId="138">
      <calculatedColumnFormula>MigrationRenamer[Date Part]&amp;MigrationRenamer[Sequence]&amp;MigrationRenamer[Name Part]</calculatedColumnFormula>
    </tableColumn>
    <tableColumn id="7" name="CMD" dataDxfId="137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8" totalsRowShown="0" dataDxfId="136">
  <autoFilter ref="A1:K18"/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2" totalsRowShown="0" headerRowDxfId="124" dataDxfId="123">
  <autoFilter ref="M1:AD22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39" totalsRowShown="0" headerRowDxfId="104" dataDxfId="103">
  <autoFilter ref="AF1:AR39"/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50" totalsRowShown="0" headerRowDxfId="89" dataDxfId="88">
  <autoFilter ref="AT1:BE50"/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8" totalsRowShown="0" dataDxfId="75">
  <autoFilter ref="A1:J8"/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4" dataDxfId="43">
  <autoFilter ref="AE1:AN5"/>
  <tableColumns count="10">
    <tableColumn id="13" name="Primary" dataDxfId="42">
      <calculatedColumnFormula>'Table Seed Map'!$A$32&amp;"-"&amp;COUNTA($AF$1:DataViewSection[[#This Row],[Data Name for Layout]])-1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" totalsRowShown="0" dataDxfId="451">
  <autoFilter ref="A1:K38"/>
  <tableColumns count="11">
    <tableColumn id="2" name="Table" dataDxfId="450"/>
    <tableColumn id="3" name="Field" dataDxfId="449"/>
    <tableColumn id="5" name="Type" dataDxfId="448">
      <calculatedColumnFormula>VLOOKUP(TableFields[Field],Columns[],2,0)&amp;"("</calculatedColumnFormula>
    </tableColumn>
    <tableColumn id="4" name="Name" dataDxfId="447">
      <calculatedColumnFormula>IF(VLOOKUP(TableFields[Field],Columns[],3,0)&lt;&gt;"","'"&amp;VLOOKUP(TableFields[Field],Columns[],3,0)&amp;"'","")</calculatedColumnFormula>
    </tableColumn>
    <tableColumn id="6" name="Arg2" dataDxfId="446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5">
      <calculatedColumnFormula>IF(VLOOKUP(TableFields[Field],Columns[],5,0)=0,"","-&gt;"&amp;VLOOKUP(TableFields[Field],Columns[],5,0))</calculatedColumnFormula>
    </tableColumn>
    <tableColumn id="8" name="Method2" dataDxfId="444">
      <calculatedColumnFormula>IF(VLOOKUP(TableFields[Field],Columns[],6,0)=0,"","-&gt;"&amp;VLOOKUP(TableFields[Field],Columns[],6,0))</calculatedColumnFormula>
    </tableColumn>
    <tableColumn id="9" name="Method3" dataDxfId="443">
      <calculatedColumnFormula>IF(VLOOKUP(TableFields[Field],Columns[],7,0)=0,"","-&gt;"&amp;VLOOKUP(TableFields[Field],Columns[],7,0))</calculatedColumnFormula>
    </tableColumn>
    <tableColumn id="10" name="Method4" dataDxfId="442">
      <calculatedColumnFormula>IF(VLOOKUP(TableFields[Field],Columns[],8,0)=0,"","-&gt;"&amp;VLOOKUP(TableFields[Field],Columns[],8,0))</calculatedColumnFormula>
    </tableColumn>
    <tableColumn id="11" name="Method5" dataDxfId="441">
      <calculatedColumnFormula>IF(VLOOKUP(TableFields[Field],Columns[],9,0)=0,"","-&gt;"&amp;VLOOKUP(TableFields[Field],Columns[],9,0))</calculatedColumnFormula>
    </tableColumn>
    <tableColumn id="12" name="Statement" dataDxfId="440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32" dataDxfId="31">
  <autoFilter ref="AP1:AW10"/>
  <tableColumns count="8">
    <tableColumn id="13" name="Primary" dataDxfId="30">
      <calculatedColumnFormula>'Table Seed Map'!$A$33&amp;"-"&amp;-1+COUNTA($AQ$1:DataViewSectionItem[[#This Row],[Data Section for Items]])</calculatedColumnFormula>
    </tableColumn>
    <tableColumn id="1" name="Data Section for Items" dataDxfId="29"/>
    <tableColumn id="2" name="No" dataDxfId="2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6"/>
    <tableColumn id="4" name="Attribute" dataDxfId="25"/>
    <tableColumn id="5" name="REL" dataDxfId="2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2" dataDxfId="21">
  <autoFilter ref="A1:H6"/>
  <tableColumns count="8">
    <tableColumn id="1" name="Type" dataDxfId="20"/>
    <tableColumn id="2" name="Table Name" dataDxfId="19"/>
    <tableColumn id="3" name="Count Field" dataDxfId="18"/>
    <tableColumn id="4" name="Count Reduce" dataDxfId="17"/>
    <tableColumn id="5" name="Records" dataDxfId="1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5"/>
    <tableColumn id="8" name="Name Field Position" dataDxfId="14"/>
    <tableColumn id="9" name="ID Field Position" dataDxfId="1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2" dataDxfId="11">
  <autoFilter ref="J1:P501"/>
  <tableColumns count="7">
    <tableColumn id="1" name="No" dataDxfId="10">
      <calculatedColumnFormula>IFERROR($J1+1,1)</calculatedColumnFormula>
    </tableColumn>
    <tableColumn id="2" name="Type" dataDxfId="9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8">
      <calculatedColumnFormula>IF(IDNMaps[[#This Row],[Type]]="","",COUNTIF($K$1:IDNMaps[[#This Row],[Type]],IDNMaps[[#This Row],[Type]]))</calculatedColumnFormula>
    </tableColumn>
    <tableColumn id="4" name="Primary" dataDxfId="7">
      <calculatedColumnFormula>IFERROR(VLOOKUP(IDNMaps[[#This Row],[Type]],RecordCount[],6,0)&amp;"-"&amp;IDNMaps[[#This Row],[Type Count]],"")</calculatedColumnFormula>
    </tableColumn>
    <tableColumn id="5" name="Name" dataDxfId="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">
      <calculatedColumnFormula>IF(IDNMaps[[#This Row],[Name]]="","","("&amp;IDNMaps[[#This Row],[Type]]&amp;") "&amp;IDNMaps[[#This Row],[Name]])</calculatedColumnFormula>
    </tableColumn>
    <tableColumn id="7" name="ID" dataDxfId="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3" totalsRowShown="0" headerRowDxfId="439" dataDxfId="438">
  <autoFilter ref="A1:R23">
    <filterColumn colId="1">
      <filters>
        <filter val="Resource Roles"/>
      </filters>
    </filterColumn>
  </autoFilter>
  <tableColumns count="18">
    <tableColumn id="19" name="TRCode" dataDxfId="437">
      <calculatedColumnFormula>TableData[Table Name]&amp;"-"&amp;(COUNTIF($B$1:TableData[[#This Row],[Table Name]],TableData[[#This Row],[Table Name]])-1)</calculatedColumnFormula>
    </tableColumn>
    <tableColumn id="1" name="Table Name" dataDxfId="436"/>
    <tableColumn id="2" name="Record No" dataDxfId="435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4"/>
    <tableColumn id="4" name="2" dataDxfId="433"/>
    <tableColumn id="5" name="3" dataDxfId="432"/>
    <tableColumn id="6" name="4" dataDxfId="431"/>
    <tableColumn id="7" name="5" dataDxfId="430"/>
    <tableColumn id="8" name="6" dataDxfId="429"/>
    <tableColumn id="9" name="7" dataDxfId="428"/>
    <tableColumn id="10" name="8" dataDxfId="427"/>
    <tableColumn id="11" name="9" dataDxfId="426"/>
    <tableColumn id="12" name="10" dataDxfId="425"/>
    <tableColumn id="13" name="11" dataDxfId="424"/>
    <tableColumn id="14" name="12" dataDxfId="423"/>
    <tableColumn id="15" name="13" dataDxfId="422"/>
    <tableColumn id="16" name="14" dataDxfId="421"/>
    <tableColumn id="17" name="15" dataDxfId="4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9">
  <autoFilter ref="A1:L48"/>
  <tableColumns count="12">
    <tableColumn id="1" name="Name" dataDxfId="418"/>
    <tableColumn id="3" name="Table Name" dataDxfId="417"/>
    <tableColumn id="20" name="NS" dataDxfId="416">
      <calculatedColumnFormula>VLOOKUP(SeedMap[Table Name],Tables[],4,0)</calculatedColumnFormula>
    </tableColumn>
    <tableColumn id="21" name="Model" dataDxfId="415">
      <calculatedColumnFormula>VLOOKUP(SeedMap[Table Name],Tables[],5,0)</calculatedColumnFormula>
    </tableColumn>
    <tableColumn id="6" name="Data Table" dataDxfId="414"/>
    <tableColumn id="7" name="Data Range" dataDxfId="413"/>
    <tableColumn id="8" name="Skip Columns" dataDxfId="412"/>
    <tableColumn id="4" name="Query Method" dataDxfId="411"/>
    <tableColumn id="2" name="Last ID" dataDxfId="410"/>
    <tableColumn id="5" name="AI Change Query" dataDxfId="409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8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7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0" totalsRowShown="0" dataDxfId="406">
  <autoFilter ref="A1:M10"/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"Milestone\Appframe\Model"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92">
  <autoFilter ref="O1:Z2"/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7" totalsRowShown="0" dataDxfId="379">
  <autoFilter ref="A1:N17"/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Row],[No]]="id","resource",VLOOKUP(RelationTable[Resource],CHOOSE({1,2},ResourceTable[Name],ResourceTable[No]),2,0))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VLOOKUP(RelationTable[Relate Resource],CHOOSE({1,2},ResourceTable[Name],ResourceTable[No]),2,0)</calculatedColumnFormula>
    </tableColumn>
    <tableColumn id="9" name="RID" dataDxfId="365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4">
  <autoFilter ref="P1:W11"/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B48" sqref="B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1123</v>
      </c>
      <c r="B48" s="62" t="str">
        <f>Tables[Name]</f>
        <v>categories</v>
      </c>
      <c r="C48" s="62" t="str">
        <f>IF(RIGHT(Tables[Name],3)="ies",MID(Tables[Name],1,LEN(Tables[Name])-3)&amp;"y",IF(RIGHT(Tables[Name],1)="s",MID(Tables[Name],1,LEN(Tables[Name])-1),Tables[Name]))</f>
        <v>category</v>
      </c>
      <c r="D48" s="62" t="str">
        <f>"Milestone\Task\Model"</f>
        <v>Milestone\Task\Model</v>
      </c>
      <c r="E48" s="62" t="str">
        <f>SUBSTITUTE(PROPER(Tables[Singular Name]),"_","")</f>
        <v>Category</v>
      </c>
      <c r="F48" s="62" t="str">
        <f>"php artisan make:migration create_"&amp;Tables[Table]&amp;"_table --create="&amp;Tables[Table]</f>
        <v>php artisan make:migration create_categories_table --create=categories</v>
      </c>
      <c r="G48" s="62" t="str">
        <f>"php artisan make:model "&amp;Tables[Class Name]</f>
        <v>php artisan make:model Category</v>
      </c>
      <c r="H48" s="62" t="str">
        <f>"protected $table = '"&amp;Tables[Table]&amp;"';"</f>
        <v>protected $table = 'categories';</v>
      </c>
      <c r="I48" s="62" t="str">
        <f>"php artisan make:seed "&amp;Tables[Class Name]&amp;"TableSeeder"</f>
        <v>php artisan make:seed CategoryTableSeeder</v>
      </c>
      <c r="J48" s="62" t="str">
        <f>Tables[Class Name]&amp;"TableSeeder"&amp;"::class,"</f>
        <v>CategoryTableSeeder::class,</v>
      </c>
    </row>
    <row r="49" spans="1:10" x14ac:dyDescent="0.25">
      <c r="A49" s="63" t="s">
        <v>804</v>
      </c>
      <c r="B49" s="62" t="str">
        <f>Tables[Name]</f>
        <v>group_partners</v>
      </c>
      <c r="C49" s="62" t="str">
        <f>IF(RIGHT(Tables[Name],3)="ies",MID(Tables[Name],1,LEN(Tables[Name])-3)&amp;"y",IF(RIGHT(Tables[Name],1)="s",MID(Tables[Name],1,LEN(Tables[Name])-1),Tables[Name]))</f>
        <v>group_partner</v>
      </c>
      <c r="D49" s="62" t="str">
        <f>"Milestone\Task\Model"</f>
        <v>Milestone\Task\Model</v>
      </c>
      <c r="E49" s="62" t="str">
        <f>SUBSTITUTE(PROPER(Tables[Singular Name]),"_","")</f>
        <v>GroupPartner</v>
      </c>
      <c r="F49" s="62" t="str">
        <f>"php artisan make:migration create_"&amp;Tables[Table]&amp;"_table --create="&amp;Tables[Table]</f>
        <v>php artisan make:migration create_group_partners_table --create=group_partners</v>
      </c>
      <c r="G49" s="62" t="str">
        <f>"php artisan make:model "&amp;Tables[Class Name]</f>
        <v>php artisan make:model GroupPartner</v>
      </c>
      <c r="H49" s="62" t="str">
        <f>"protected $table = '"&amp;Tables[Table]&amp;"';"</f>
        <v>protected $table = 'group_partners';</v>
      </c>
      <c r="I49" s="62" t="str">
        <f>"php artisan make:seed "&amp;Tables[Class Name]&amp;"TableSeeder"</f>
        <v>php artisan make:seed GroupPartnerTableSeeder</v>
      </c>
      <c r="J49" s="62" t="str">
        <f>Tables[Class Name]&amp;"TableSeeder"&amp;"::class,"</f>
        <v>GroupPartnerTableSeeder::class,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>"Milestone\Task\Model"</f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>"Milestone\Task\Model"</f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5"/>
  <sheetViews>
    <sheetView topLeftCell="AE1" workbookViewId="0">
      <selection activeCell="BD1" sqref="BD1:BF1048576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6.140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893</v>
      </c>
      <c r="H3" s="60" t="s">
        <v>894</v>
      </c>
      <c r="I3" s="62" t="s">
        <v>76</v>
      </c>
      <c r="J3" s="62" t="s">
        <v>895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896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897</v>
      </c>
      <c r="U3" s="73" t="s">
        <v>900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903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904</v>
      </c>
      <c r="BH3" s="58">
        <v>4</v>
      </c>
      <c r="BJ3" s="63" t="s">
        <v>903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941</v>
      </c>
      <c r="BP3" s="65" t="s">
        <v>935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843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916</v>
      </c>
      <c r="H4" s="60" t="s">
        <v>917</v>
      </c>
      <c r="I4" s="62" t="s">
        <v>852</v>
      </c>
      <c r="J4" s="62" t="s">
        <v>895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896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898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905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904</v>
      </c>
      <c r="BH4" s="58">
        <v>4</v>
      </c>
      <c r="BJ4" s="63" t="s">
        <v>921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941</v>
      </c>
      <c r="BP4" s="65" t="s">
        <v>935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845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800506</v>
      </c>
      <c r="G5" s="62" t="s">
        <v>953</v>
      </c>
      <c r="H5" s="60" t="s">
        <v>954</v>
      </c>
      <c r="I5" s="62" t="s">
        <v>850</v>
      </c>
      <c r="J5" s="62" t="s">
        <v>895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896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899</v>
      </c>
      <c r="U5" s="73" t="s">
        <v>901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902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906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904</v>
      </c>
      <c r="BH5" s="58">
        <v>4</v>
      </c>
      <c r="BJ5" s="63" t="s">
        <v>922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941</v>
      </c>
      <c r="BP5" s="65" t="s">
        <v>936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846</v>
      </c>
      <c r="E6" s="60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800507</v>
      </c>
      <c r="G6" s="6" t="s">
        <v>1013</v>
      </c>
      <c r="H6" s="15" t="s">
        <v>1014</v>
      </c>
      <c r="I6" s="6" t="s">
        <v>1015</v>
      </c>
      <c r="J6" s="6" t="s">
        <v>1015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918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897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921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904</v>
      </c>
      <c r="BH6" s="58">
        <v>4</v>
      </c>
      <c r="BJ6" s="63" t="s">
        <v>922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938</v>
      </c>
      <c r="BP6" s="65" t="s">
        <v>939</v>
      </c>
      <c r="BQ6" s="65" t="s">
        <v>75</v>
      </c>
      <c r="BR6" s="65" t="s">
        <v>854</v>
      </c>
      <c r="BS6" s="65" t="s">
        <v>940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846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800507</v>
      </c>
      <c r="G7" s="6" t="s">
        <v>1031</v>
      </c>
      <c r="H7" s="15" t="s">
        <v>1032</v>
      </c>
      <c r="I7" s="6" t="s">
        <v>1015</v>
      </c>
      <c r="J7" s="6" t="s">
        <v>1015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918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854</v>
      </c>
      <c r="T7" s="73" t="s">
        <v>897</v>
      </c>
      <c r="U7" s="73" t="s">
        <v>919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922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904</v>
      </c>
      <c r="BH7" s="58">
        <v>4</v>
      </c>
      <c r="BJ7" s="63" t="s">
        <v>923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941</v>
      </c>
      <c r="BP7" s="65" t="s">
        <v>937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846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800507</v>
      </c>
      <c r="G8" s="6" t="s">
        <v>1079</v>
      </c>
      <c r="H8" s="60" t="s">
        <v>1080</v>
      </c>
      <c r="I8" s="62" t="s">
        <v>1081</v>
      </c>
      <c r="J8" s="62" t="s">
        <v>1081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918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855</v>
      </c>
      <c r="T8" s="73" t="s">
        <v>855</v>
      </c>
      <c r="U8" s="73" t="s">
        <v>920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923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904</v>
      </c>
      <c r="BH8" s="58">
        <v>4</v>
      </c>
      <c r="BJ8" s="63" t="s">
        <v>957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941</v>
      </c>
      <c r="BP8" s="65" t="s">
        <v>935</v>
      </c>
      <c r="BQ8" s="65"/>
      <c r="BR8" s="65"/>
      <c r="BS8" s="65"/>
    </row>
    <row r="9" spans="1:149" x14ac:dyDescent="0.25">
      <c r="A9" s="60" t="str">
        <f>'Table Seed Map'!$A$11&amp;"-"&amp;(COUNTA($F$1:ResourceForms[[#This Row],[Resource]])-2)</f>
        <v>Resource Forms-7</v>
      </c>
      <c r="B9" s="60" t="str">
        <f>ResourceForms[[#This Row],[Resource Name]]&amp;"/"&amp;ResourceForms[[#This Row],[Name]]</f>
        <v>Category/CreateCategory</v>
      </c>
      <c r="C9" s="60">
        <f>COUNTA($A$1:ResourceForms[[#This Row],[Primary]])-2</f>
        <v>7</v>
      </c>
      <c r="D9" s="65" t="s">
        <v>1126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800503</v>
      </c>
      <c r="G9" s="62" t="s">
        <v>1129</v>
      </c>
      <c r="H9" s="60" t="s">
        <v>1130</v>
      </c>
      <c r="I9" s="62" t="s">
        <v>1126</v>
      </c>
      <c r="J9" s="62" t="s">
        <v>895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955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897</v>
      </c>
      <c r="U9" s="73" t="s">
        <v>956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957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904</v>
      </c>
      <c r="BH9" s="58">
        <v>4</v>
      </c>
      <c r="BJ9" s="1" t="s">
        <v>1024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801013</v>
      </c>
      <c r="BO9" s="13" t="s">
        <v>941</v>
      </c>
      <c r="BP9" s="13" t="s">
        <v>1025</v>
      </c>
      <c r="BQ9" s="13"/>
      <c r="BR9" s="13"/>
      <c r="BS9" s="13"/>
    </row>
    <row r="10" spans="1:149" x14ac:dyDescent="0.25">
      <c r="A10" s="15" t="str">
        <f>'Table Seed Map'!$A$11&amp;"-"&amp;(COUNTA($F$1:ResourceForms[[#This Row],[Resource]])-2)</f>
        <v>Resource Forms-8</v>
      </c>
      <c r="B10" s="15" t="str">
        <f>ResourceForms[[#This Row],[Resource Name]]&amp;"/"&amp;ResourceForms[[#This Row],[Name]]</f>
        <v>Profile/CreateProfile</v>
      </c>
      <c r="C10" s="15">
        <f>COUNTA($A$1:ResourceForms[[#This Row],[Primary]])-2</f>
        <v>8</v>
      </c>
      <c r="D10" s="65" t="s">
        <v>1226</v>
      </c>
      <c r="E10" s="60">
        <f>IF(ResourceForms[[#This Row],[No]]=0,"id",ResourceForms[[#This Row],[No]]+IF(ISNUMBER(VLOOKUP('Table Seed Map'!$A$11,SeedMap[],9,0)),VLOOKUP('Table Seed Map'!$A$11,SeedMap[],9,0),0))</f>
        <v>800908</v>
      </c>
      <c r="F10" s="60">
        <f>IFERROR(VLOOKUP(ResourceForms[[#This Row],[Resource Name]],ResourceTable[[RName]:[No]],3,0),"resource")</f>
        <v>800508</v>
      </c>
      <c r="G10" s="6" t="s">
        <v>1238</v>
      </c>
      <c r="H10" s="15" t="s">
        <v>1237</v>
      </c>
      <c r="I10" s="6" t="s">
        <v>1226</v>
      </c>
      <c r="J10" s="62" t="s">
        <v>895</v>
      </c>
      <c r="K10" s="64">
        <f>ResourceForms[ID]</f>
        <v>800908</v>
      </c>
      <c r="M10" s="70" t="str">
        <f>'Table Seed Map'!$A$12&amp;"-"&amp;FormFields[[#This Row],[No]]</f>
        <v>Form Fields-8</v>
      </c>
      <c r="N10" s="59" t="s">
        <v>955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898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958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904</v>
      </c>
      <c r="BH10" s="58">
        <v>4</v>
      </c>
      <c r="BJ10" s="1" t="s">
        <v>1113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801014</v>
      </c>
      <c r="BO10" s="13" t="s">
        <v>941</v>
      </c>
      <c r="BP10" s="13" t="s">
        <v>1118</v>
      </c>
      <c r="BQ10" s="13"/>
      <c r="BR10" s="13"/>
      <c r="BS10" s="13"/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PartnerTask/TaskUpdateForm</v>
      </c>
      <c r="C11" s="15">
        <f>COUNTA($A$1:ResourceForms[[#This Row],[Primary]])-2</f>
        <v>9</v>
      </c>
      <c r="D11" s="65" t="s">
        <v>846</v>
      </c>
      <c r="E11" s="60">
        <f>IF(ResourceForms[[#This Row],[No]]=0,"id",ResourceForms[[#This Row],[No]]+IF(ISNUMBER(VLOOKUP('Table Seed Map'!$A$11,SeedMap[],9,0)),VLOOKUP('Table Seed Map'!$A$11,SeedMap[],9,0),0))</f>
        <v>800909</v>
      </c>
      <c r="F11" s="60">
        <f>IFERROR(VLOOKUP(ResourceForms[[#This Row],[Resource Name]],ResourceTable[[RName]:[No]],3,0),"resource")</f>
        <v>800507</v>
      </c>
      <c r="G11" s="6" t="s">
        <v>1247</v>
      </c>
      <c r="H11" s="15" t="s">
        <v>1248</v>
      </c>
      <c r="I11" s="6" t="s">
        <v>335</v>
      </c>
      <c r="J11" s="6" t="s">
        <v>335</v>
      </c>
      <c r="K11" s="64">
        <f>ResourceForms[ID]</f>
        <v>800909</v>
      </c>
      <c r="M11" s="70" t="str">
        <f>'Table Seed Map'!$A$12&amp;"-"&amp;FormFields[[#This Row],[No]]</f>
        <v>Form Fields-9</v>
      </c>
      <c r="N11" s="59" t="s">
        <v>955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Task/CreateTask/category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1125</v>
      </c>
      <c r="T11" s="73" t="s">
        <v>899</v>
      </c>
      <c r="U11" s="73" t="s">
        <v>1132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category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278</v>
      </c>
      <c r="AP11" s="79"/>
      <c r="AQ11" s="79" t="s">
        <v>21</v>
      </c>
      <c r="AR11" s="79" t="s">
        <v>23</v>
      </c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970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801010</v>
      </c>
      <c r="BG11" s="58" t="s">
        <v>904</v>
      </c>
      <c r="BH11" s="58">
        <v>4</v>
      </c>
      <c r="BJ11" s="63" t="s">
        <v>1116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801025</v>
      </c>
      <c r="BO11" s="13" t="s">
        <v>941</v>
      </c>
      <c r="BP11" s="65" t="s">
        <v>1117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955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Task/CreateTask/assign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834</v>
      </c>
      <c r="T12" s="73" t="s">
        <v>899</v>
      </c>
      <c r="U12" s="73" t="s">
        <v>969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assign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278</v>
      </c>
      <c r="AP12" s="79"/>
      <c r="AQ12" s="79" t="s">
        <v>21</v>
      </c>
      <c r="AR12" s="79" t="s">
        <v>23</v>
      </c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1143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801009</v>
      </c>
      <c r="BG12" s="58" t="s">
        <v>904</v>
      </c>
      <c r="BH12" s="58">
        <v>4</v>
      </c>
    </row>
    <row r="13" spans="1:149" x14ac:dyDescent="0.25">
      <c r="M13" s="70" t="str">
        <f>'Table Seed Map'!$A$12&amp;"-"&amp;FormFields[[#This Row],[No]]</f>
        <v>Form Fields-11</v>
      </c>
      <c r="N13" s="59" t="s">
        <v>1016</v>
      </c>
      <c r="O13" s="71">
        <f>COUNTA($N$1:FormFields[[#This Row],[Form Name]])-1</f>
        <v>11</v>
      </c>
      <c r="P13" s="70" t="str">
        <f>FormFields[[#This Row],[Form Name]]&amp;"/"&amp;FormFields[[#This Row],[Name]]</f>
        <v>PartnerTask/TaskCompleteDescription/task.name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800904</v>
      </c>
      <c r="S13" s="73" t="s">
        <v>1018</v>
      </c>
      <c r="T13" s="73" t="s">
        <v>1017</v>
      </c>
      <c r="U13" s="73" t="s">
        <v>1</v>
      </c>
      <c r="V13" s="74"/>
      <c r="W13" s="74"/>
      <c r="X13" s="74"/>
      <c r="Y13" s="74"/>
      <c r="Z13" s="75" t="str">
        <f>'Table Seed Map'!$A$13&amp;"-"&amp;FormFields[[#This Row],[NO2]]</f>
        <v>Field Data-10</v>
      </c>
      <c r="AA13" s="76">
        <f>COUNTIFS($AB$1:FormFields[[#This Row],[Exists]],1)-1</f>
        <v>10</v>
      </c>
      <c r="AB13" s="76">
        <f>IF(AND(FormFields[[#This Row],[Attribute]]="",FormFields[[#This Row],[Rel]]=""),0,1)</f>
        <v>0</v>
      </c>
      <c r="AC13" s="76">
        <f>IF(FormFields[[#This Row],[NO2]]=0,"id",FormFields[[#This Row],[NO2]]+IF(ISNUMBER(VLOOKUP('Table Seed Map'!$A$13,SeedMap[],9,0)),VLOOKUP('Table Seed Map'!$A$13,SeedMap[],9,0),0))</f>
        <v>801110</v>
      </c>
      <c r="AD13" s="77">
        <f>IF(FormFields[[#This Row],[ID]]="id","form_field",FormFields[[#This Row],[ID]])</f>
        <v>801011</v>
      </c>
      <c r="AE13" s="76"/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0</v>
      </c>
      <c r="AK13" s="71" t="str">
        <f>'Table Seed Map'!$A$14&amp;"-"&amp;FormFields[[#This Row],[NO4]]</f>
        <v>Field Options-3</v>
      </c>
      <c r="AL13" s="71">
        <f>COUNTIF($AJ$2:FormFields[[#This Row],[Exists FO]],1)</f>
        <v>3</v>
      </c>
      <c r="AM13" s="71">
        <f>IF(FormFields[[#This Row],[NO4]]=0,"id",FormFields[[#This Row],[NO4]]+IF(ISNUMBER(VLOOKUP('Table Seed Map'!$A$14,SeedMap[],9,0)),VLOOKUP('Table Seed Map'!$A$14,SeedMap[],9,0),0))</f>
        <v>801203</v>
      </c>
      <c r="AN13" s="58">
        <f>IF(FormFields[[#This Row],[ID]]="id","form_field",FormFields[[#This Row],[ID]])</f>
        <v>801011</v>
      </c>
      <c r="AO13" s="79"/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800904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1021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904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1016</v>
      </c>
      <c r="O14" s="71">
        <f>COUNTA($N$1:FormFields[[#This Row],[Form Name]])-1</f>
        <v>12</v>
      </c>
      <c r="P14" s="70" t="str">
        <f>FormFields[[#This Row],[Form Name]]&amp;"/"&amp;FormFields[[#This Row],[Name]]</f>
        <v>PartnerTask/TaskCompleteDescription/task.description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800904</v>
      </c>
      <c r="S14" s="73" t="s">
        <v>1019</v>
      </c>
      <c r="T14" s="73" t="s">
        <v>1020</v>
      </c>
      <c r="U14" s="73" t="s">
        <v>102</v>
      </c>
      <c r="V14" s="74"/>
      <c r="W14" s="74"/>
      <c r="X14" s="74"/>
      <c r="Y14" s="74"/>
      <c r="Z14" s="75" t="str">
        <f>'Table Seed Map'!$A$13&amp;"-"&amp;FormFields[[#This Row],[NO2]]</f>
        <v>Field Data-10</v>
      </c>
      <c r="AA14" s="76">
        <f>COUNTIFS($AB$1:FormFields[[#This Row],[Exists]],1)-1</f>
        <v>10</v>
      </c>
      <c r="AB14" s="76">
        <f>IF(AND(FormFields[[#This Row],[Attribute]]="",FormFields[[#This Row],[Rel]]=""),0,1)</f>
        <v>0</v>
      </c>
      <c r="AC14" s="76">
        <f>IF(FormFields[[#This Row],[NO2]]=0,"id",FormFields[[#This Row],[NO2]]+IF(ISNUMBER(VLOOKUP('Table Seed Map'!$A$13,SeedMap[],9,0)),VLOOKUP('Table Seed Map'!$A$13,SeedMap[],9,0),0))</f>
        <v>801110</v>
      </c>
      <c r="AD14" s="77">
        <f>IF(FormFields[[#This Row],[ID]]="id","form_field",FormFields[[#This Row],[ID]])</f>
        <v>801012</v>
      </c>
      <c r="AE14" s="76"/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0</v>
      </c>
      <c r="AK14" s="71" t="str">
        <f>'Table Seed Map'!$A$14&amp;"-"&amp;FormFields[[#This Row],[NO4]]</f>
        <v>Field Options-3</v>
      </c>
      <c r="AL14" s="71">
        <f>COUNTIF($AJ$2:FormFields[[#This Row],[Exists FO]],1)</f>
        <v>3</v>
      </c>
      <c r="AM14" s="71">
        <f>IF(FormFields[[#This Row],[NO4]]=0,"id",FormFields[[#This Row],[NO4]]+IF(ISNUMBER(VLOOKUP('Table Seed Map'!$A$14,SeedMap[],9,0)),VLOOKUP('Table Seed Map'!$A$14,SeedMap[],9,0),0))</f>
        <v>801203</v>
      </c>
      <c r="AN14" s="58">
        <f>IF(FormFields[[#This Row],[ID]]="id","form_field",FormFields[[#This Row],[ID]])</f>
        <v>801012</v>
      </c>
      <c r="AO14" s="79"/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800904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1022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904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1016</v>
      </c>
      <c r="O15" s="71">
        <f>COUNTA($N$1:FormFields[[#This Row],[Form Name]])-1</f>
        <v>13</v>
      </c>
      <c r="P15" s="70" t="str">
        <f>FormFields[[#This Row],[Form Name]]&amp;"/"&amp;FormFields[[#This Row],[Name]]</f>
        <v>PartnerTask/TaskCompleteDescription/progress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800904</v>
      </c>
      <c r="S15" s="73" t="s">
        <v>823</v>
      </c>
      <c r="T15" s="73" t="s">
        <v>1017</v>
      </c>
      <c r="U15" s="73" t="s">
        <v>1030</v>
      </c>
      <c r="V15" s="74"/>
      <c r="W15" s="74"/>
      <c r="X15" s="74"/>
      <c r="Y15" s="74"/>
      <c r="Z15" s="75" t="str">
        <f>'Table Seed Map'!$A$13&amp;"-"&amp;FormFields[[#This Row],[NO2]]</f>
        <v>Field Data-11</v>
      </c>
      <c r="AA15" s="76">
        <f>COUNTIFS($AB$1:FormFields[[#This Row],[Exists]],1)-1</f>
        <v>11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801111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progress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0</v>
      </c>
      <c r="AK15" s="71" t="str">
        <f>'Table Seed Map'!$A$14&amp;"-"&amp;FormFields[[#This Row],[NO4]]</f>
        <v>Field Options-3</v>
      </c>
      <c r="AL15" s="71">
        <f>COUNTIF($AJ$2:FormFields[[#This Row],[Exists FO]],1)</f>
        <v>3</v>
      </c>
      <c r="AM15" s="71">
        <f>IF(FormFields[[#This Row],[NO4]]=0,"id",FormFields[[#This Row],[NO4]]+IF(ISNUMBER(VLOOKUP('Table Seed Map'!$A$14,SeedMap[],9,0)),VLOOKUP('Table Seed Map'!$A$14,SeedMap[],9,0),0))</f>
        <v>801203</v>
      </c>
      <c r="AN15" s="58">
        <f>IF(FormFields[[#This Row],[ID]]="id","form_field",FormFields[[#This Row],[ID]])</f>
        <v>801013</v>
      </c>
      <c r="AO15" s="79"/>
      <c r="AP15" s="79"/>
      <c r="AQ15" s="79"/>
      <c r="AR15" s="79"/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800904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1024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904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59" t="s">
        <v>1016</v>
      </c>
      <c r="O16" s="71">
        <f>COUNTA($N$1:FormFields[[#This Row],[Form Name]])-1</f>
        <v>14</v>
      </c>
      <c r="P16" s="70" t="str">
        <f>FormFields[[#This Row],[Form Name]]&amp;"/"&amp;FormFields[[#This Row],[Name]]</f>
        <v>PartnerTask/TaskCompleteDescription/remarks</v>
      </c>
      <c r="Q16" s="71">
        <f>IF(FormFields[[#This Row],[No]]=0,"id",FormFields[[#This Row],[No]]+IF(ISNUMBER(VLOOKUP('Table Seed Map'!$A$12,SeedMap[],9,0)),VLOOKUP('Table Seed Map'!$A$12,SeedMap[],9,0),0))</f>
        <v>801014</v>
      </c>
      <c r="R16" s="72">
        <f>IFERROR(VLOOKUP(FormFields[[#This Row],[Form Name]],ResourceForms[[FormName]:[ID]],4,0),"resource_form")</f>
        <v>800904</v>
      </c>
      <c r="S16" s="73" t="s">
        <v>1111</v>
      </c>
      <c r="T16" s="73" t="s">
        <v>898</v>
      </c>
      <c r="U16" s="73" t="s">
        <v>1112</v>
      </c>
      <c r="V16" s="74"/>
      <c r="W16" s="74"/>
      <c r="X16" s="74"/>
      <c r="Y16" s="74"/>
      <c r="Z16" s="75" t="str">
        <f>'Table Seed Map'!$A$13&amp;"-"&amp;FormFields[[#This Row],[NO2]]</f>
        <v>Field Data-12</v>
      </c>
      <c r="AA16" s="76">
        <f>COUNTIFS($AB$1:FormFields[[#This Row],[Exists]],1)-1</f>
        <v>12</v>
      </c>
      <c r="AB16" s="76">
        <f>IF(AND(FormFields[[#This Row],[Attribute]]="",FormFields[[#This Row],[Rel]]=""),0,1)</f>
        <v>1</v>
      </c>
      <c r="AC16" s="76">
        <f>IF(FormFields[[#This Row],[NO2]]=0,"id",FormFields[[#This Row],[NO2]]+IF(ISNUMBER(VLOOKUP('Table Seed Map'!$A$13,SeedMap[],9,0)),VLOOKUP('Table Seed Map'!$A$13,SeedMap[],9,0),0))</f>
        <v>801112</v>
      </c>
      <c r="AD16" s="77">
        <f>IF(FormFields[[#This Row],[ID]]="id","form_field",FormFields[[#This Row],[ID]])</f>
        <v>801014</v>
      </c>
      <c r="AE16" s="76" t="str">
        <f>IF(FormFields[[#This Row],[No]]=0,"attribute",FormFields[[#This Row],[Name]])</f>
        <v>remarks</v>
      </c>
      <c r="AF16" s="78" t="str">
        <f>IF(FormFields[[#This Row],[NO2]]=0,"relation",IF(FormFields[[#This Row],[Rel]]="","",VLOOKUP(FormFields[[#This Row],[Rel]],RelationTable[[Display]:[RELID]],2,0)))</f>
        <v/>
      </c>
      <c r="AG16" s="78" t="str">
        <f>IF(FormFields[[#This Row],[NO2]]=0,"nest_relation1",IF(FormFields[[#This Row],[Rel1]]="","",VLOOKUP(FormFields[[#This Row],[Rel1]],RelationTable[[Display]:[RELID]],2,0)))</f>
        <v/>
      </c>
      <c r="AH16" s="78" t="str">
        <f>IF(FormFields[[#This Row],[NO2]]=0,"nest_relation2",IF(FormFields[[#This Row],[Rel2]]="","",VLOOKUP(FormFields[[#This Row],[Rel2]],RelationTable[[Display]:[RELID]],2,0)))</f>
        <v/>
      </c>
      <c r="AI16" s="78" t="str">
        <f>IF(FormFields[[#This Row],[NO2]]=0,"nest_relation3",IF(FormFields[[#This Row],[Rel3]]="","",VLOOKUP(FormFields[[#This Row],[Rel3]],RelationTable[[Display]:[RELID]],2,0)))</f>
        <v/>
      </c>
      <c r="AJ16" s="71">
        <f>IF(OR(FormFields[[#This Row],[Option Type]]="",FormFields[[#This Row],[Option Type]]="type"),0,1)</f>
        <v>0</v>
      </c>
      <c r="AK16" s="71" t="str">
        <f>'Table Seed Map'!$A$14&amp;"-"&amp;FormFields[[#This Row],[NO4]]</f>
        <v>Field Options-3</v>
      </c>
      <c r="AL16" s="71">
        <f>COUNTIF($AJ$2:FormFields[[#This Row],[Exists FO]],1)</f>
        <v>3</v>
      </c>
      <c r="AM16" s="71">
        <f>IF(FormFields[[#This Row],[NO4]]=0,"id",FormFields[[#This Row],[NO4]]+IF(ISNUMBER(VLOOKUP('Table Seed Map'!$A$14,SeedMap[],9,0)),VLOOKUP('Table Seed Map'!$A$14,SeedMap[],9,0),0))</f>
        <v>801203</v>
      </c>
      <c r="AN16" s="58">
        <f>IF(FormFields[[#This Row],[ID]]="id","form_field",FormFields[[#This Row],[ID]])</f>
        <v>801014</v>
      </c>
      <c r="AO16" s="79"/>
      <c r="AP16" s="79"/>
      <c r="AQ16" s="79"/>
      <c r="AR16" s="79"/>
      <c r="AS16" s="79"/>
      <c r="AT16" s="71">
        <f>IF(OR(FormFields[[#This Row],[Colspan]]="",FormFields[[#This Row],[Colspan]]="colspan"),0,1)</f>
        <v>0</v>
      </c>
      <c r="AU16" s="71" t="str">
        <f>'Table Seed Map'!$A$19&amp;"-"&amp;FormFields[[#This Row],[NO8]]</f>
        <v>Form Layout-0</v>
      </c>
      <c r="AV16" s="71">
        <f>COUNTIF($AT$1:FormFields[[#This Row],[Exists FL]],1)</f>
        <v>0</v>
      </c>
      <c r="AW1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71">
        <f>FormFields[Form]</f>
        <v>800904</v>
      </c>
      <c r="AY16" s="71">
        <f>IF(FormFields[[#This Row],[ID]]="id","form_field",FormFields[[#This Row],[ID]])</f>
        <v>801014</v>
      </c>
      <c r="AZ16" s="80"/>
      <c r="BA16" s="58">
        <f>FormFields[[#This Row],[ID]]</f>
        <v>801014</v>
      </c>
      <c r="BC16" s="63" t="s">
        <v>1024</v>
      </c>
      <c r="BD16" s="62" t="str">
        <f>'Table Seed Map'!$A$15&amp;"-"&amp;(-1+COUNTA($BC$1:FieldAttrs[[#This Row],[ATTR Field]]))</f>
        <v>Field Attrs-14</v>
      </c>
      <c r="BE16" s="60">
        <f>IF(FieldAttrs[[#This Row],[ATTR Field]]="","id",-1+COUNTA($BC$1:FieldAttrs[[#This Row],[ATTR Field]])+VLOOKUP('Table Seed Map'!$A$15,SeedMap[],9,0))</f>
        <v>801314</v>
      </c>
      <c r="BF16" s="58">
        <f>IFERROR(VLOOKUP(FieldAttrs[ATTR Field],FormFields[[Field Name]:[ID]],2,0),"form_field")</f>
        <v>801013</v>
      </c>
      <c r="BG16" s="58" t="s">
        <v>44</v>
      </c>
      <c r="BH16" s="58" t="s">
        <v>1003</v>
      </c>
    </row>
    <row r="17" spans="13:60" x14ac:dyDescent="0.25">
      <c r="M17" s="39" t="str">
        <f>'Table Seed Map'!$A$12&amp;"-"&amp;FormFields[[#This Row],[No]]</f>
        <v>Form Fields-15</v>
      </c>
      <c r="N17" s="59" t="s">
        <v>1033</v>
      </c>
      <c r="O17" s="71">
        <f>COUNTA($N$1:FormFields[[#This Row],[Form Name]])-1</f>
        <v>15</v>
      </c>
      <c r="P17" s="70" t="str">
        <f>FormFields[[#This Row],[Form Name]]&amp;"/"&amp;FormFields[[#This Row],[Name]]</f>
        <v>PartnerTask/TaskCompleteAttachment/task.name</v>
      </c>
      <c r="Q17" s="71">
        <f>IF(FormFields[[#This Row],[No]]=0,"id",FormFields[[#This Row],[No]]+IF(ISNUMBER(VLOOKUP('Table Seed Map'!$A$12,SeedMap[],9,0)),VLOOKUP('Table Seed Map'!$A$12,SeedMap[],9,0),0))</f>
        <v>801015</v>
      </c>
      <c r="R17" s="72">
        <f>IFERROR(VLOOKUP(FormFields[[#This Row],[Form Name]],ResourceForms[[FormName]:[ID]],4,0),"resource_form")</f>
        <v>800905</v>
      </c>
      <c r="S17" s="73" t="s">
        <v>1018</v>
      </c>
      <c r="T17" s="73" t="s">
        <v>1017</v>
      </c>
      <c r="U17" s="73" t="s">
        <v>1</v>
      </c>
      <c r="V17" s="74"/>
      <c r="W17" s="74"/>
      <c r="X17" s="74"/>
      <c r="Y17" s="74"/>
      <c r="Z17" s="75" t="str">
        <f>'Table Seed Map'!$A$13&amp;"-"&amp;FormFields[[#This Row],[NO2]]</f>
        <v>Field Data-12</v>
      </c>
      <c r="AA17" s="76">
        <f>COUNTIFS($AB$1:FormFields[[#This Row],[Exists]],1)-1</f>
        <v>12</v>
      </c>
      <c r="AB17" s="76">
        <f>IF(AND(FormFields[[#This Row],[Attribute]]="",FormFields[[#This Row],[Rel]]=""),0,1)</f>
        <v>0</v>
      </c>
      <c r="AC17" s="76">
        <f>IF(FormFields[[#This Row],[NO2]]=0,"id",FormFields[[#This Row],[NO2]]+IF(ISNUMBER(VLOOKUP('Table Seed Map'!$A$13,SeedMap[],9,0)),VLOOKUP('Table Seed Map'!$A$13,SeedMap[],9,0),0))</f>
        <v>801112</v>
      </c>
      <c r="AD17" s="77">
        <f>IF(FormFields[[#This Row],[ID]]="id","form_field",FormFields[[#This Row],[ID]])</f>
        <v>801015</v>
      </c>
      <c r="AE17" s="76"/>
      <c r="AF17" s="78" t="str">
        <f>IF(FormFields[[#This Row],[NO2]]=0,"relation",IF(FormFields[[#This Row],[Rel]]="","",VLOOKUP(FormFields[[#This Row],[Rel]],RelationTable[[Display]:[RELID]],2,0)))</f>
        <v/>
      </c>
      <c r="AG17" s="78" t="str">
        <f>IF(FormFields[[#This Row],[NO2]]=0,"nest_relation1",IF(FormFields[[#This Row],[Rel1]]="","",VLOOKUP(FormFields[[#This Row],[Rel1]],RelationTable[[Display]:[RELID]],2,0)))</f>
        <v/>
      </c>
      <c r="AH17" s="78" t="str">
        <f>IF(FormFields[[#This Row],[NO2]]=0,"nest_relation2",IF(FormFields[[#This Row],[Rel2]]="","",VLOOKUP(FormFields[[#This Row],[Rel2]],RelationTable[[Display]:[RELID]],2,0)))</f>
        <v/>
      </c>
      <c r="AI17" s="78" t="str">
        <f>IF(FormFields[[#This Row],[NO2]]=0,"nest_relation3",IF(FormFields[[#This Row],[Rel3]]="","",VLOOKUP(FormFields[[#This Row],[Rel3]],RelationTable[[Display]:[RELID]],2,0)))</f>
        <v/>
      </c>
      <c r="AJ17" s="71">
        <f>IF(OR(FormFields[[#This Row],[Option Type]]="",FormFields[[#This Row],[Option Type]]="type"),0,1)</f>
        <v>0</v>
      </c>
      <c r="AK17" s="71" t="str">
        <f>'Table Seed Map'!$A$14&amp;"-"&amp;FormFields[[#This Row],[NO4]]</f>
        <v>Field Options-3</v>
      </c>
      <c r="AL17" s="71">
        <f>COUNTIF($AJ$2:FormFields[[#This Row],[Exists FO]],1)</f>
        <v>3</v>
      </c>
      <c r="AM17" s="71">
        <f>IF(FormFields[[#This Row],[NO4]]=0,"id",FormFields[[#This Row],[NO4]]+IF(ISNUMBER(VLOOKUP('Table Seed Map'!$A$14,SeedMap[],9,0)),VLOOKUP('Table Seed Map'!$A$14,SeedMap[],9,0),0))</f>
        <v>801203</v>
      </c>
      <c r="AN17" s="58">
        <f>IF(FormFields[[#This Row],[ID]]="id","form_field",FormFields[[#This Row],[ID]])</f>
        <v>801015</v>
      </c>
      <c r="AO17" s="79"/>
      <c r="AP17" s="79"/>
      <c r="AQ17" s="79"/>
      <c r="AR17" s="79"/>
      <c r="AS17" s="79"/>
      <c r="AT17" s="71">
        <f>IF(OR(FormFields[[#This Row],[Colspan]]="",FormFields[[#This Row],[Colspan]]="colspan"),0,1)</f>
        <v>1</v>
      </c>
      <c r="AU17" s="71" t="str">
        <f>'Table Seed Map'!$A$19&amp;"-"&amp;FormFields[[#This Row],[NO8]]</f>
        <v>Form Layout-1</v>
      </c>
      <c r="AV17" s="71">
        <f>COUNTIF($AT$1:FormFields[[#This Row],[Exists FL]],1)</f>
        <v>1</v>
      </c>
      <c r="AW17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17" s="71">
        <f>FormFields[Form]</f>
        <v>800905</v>
      </c>
      <c r="AY17" s="71">
        <f>IF(FormFields[[#This Row],[ID]]="id","form_field",FormFields[[#This Row],[ID]])</f>
        <v>801015</v>
      </c>
      <c r="AZ17" s="80">
        <v>12</v>
      </c>
      <c r="BA17" s="58">
        <f>FormFields[[#This Row],[ID]]</f>
        <v>801015</v>
      </c>
      <c r="BC17" s="63" t="s">
        <v>1113</v>
      </c>
      <c r="BD17" s="62" t="str">
        <f>'Table Seed Map'!$A$15&amp;"-"&amp;(-1+COUNTA($BC$1:FieldAttrs[[#This Row],[ATTR Field]]))</f>
        <v>Field Attrs-15</v>
      </c>
      <c r="BE17" s="60">
        <f>IF(FieldAttrs[[#This Row],[ATTR Field]]="","id",-1+COUNTA($BC$1:FieldAttrs[[#This Row],[ATTR Field]])+VLOOKUP('Table Seed Map'!$A$15,SeedMap[],9,0))</f>
        <v>801315</v>
      </c>
      <c r="BF17" s="58">
        <f>IFERROR(VLOOKUP(FieldAttrs[ATTR Field],FormFields[[Field Name]:[ID]],2,0),"form_field")</f>
        <v>801014</v>
      </c>
      <c r="BG17" s="58" t="s">
        <v>904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59" t="s">
        <v>1033</v>
      </c>
      <c r="O18" s="71">
        <f>COUNTA($N$1:FormFields[[#This Row],[Form Name]])-1</f>
        <v>16</v>
      </c>
      <c r="P18" s="70" t="str">
        <f>FormFields[[#This Row],[Form Name]]&amp;"/"&amp;FormFields[[#This Row],[Name]]</f>
        <v>PartnerTask/TaskCompleteAttachment/task.description</v>
      </c>
      <c r="Q18" s="71">
        <f>IF(FormFields[[#This Row],[No]]=0,"id",FormFields[[#This Row],[No]]+IF(ISNUMBER(VLOOKUP('Table Seed Map'!$A$12,SeedMap[],9,0)),VLOOKUP('Table Seed Map'!$A$12,SeedMap[],9,0),0))</f>
        <v>801016</v>
      </c>
      <c r="R18" s="72">
        <f>IFERROR(VLOOKUP(FormFields[[#This Row],[Form Name]],ResourceForms[[FormName]:[ID]],4,0),"resource_form")</f>
        <v>800905</v>
      </c>
      <c r="S18" s="73" t="s">
        <v>1019</v>
      </c>
      <c r="T18" s="73" t="s">
        <v>1017</v>
      </c>
      <c r="U18" s="73" t="s">
        <v>102</v>
      </c>
      <c r="V18" s="74"/>
      <c r="W18" s="74"/>
      <c r="X18" s="74"/>
      <c r="Y18" s="74"/>
      <c r="Z18" s="75" t="str">
        <f>'Table Seed Map'!$A$13&amp;"-"&amp;FormFields[[#This Row],[NO2]]</f>
        <v>Field Data-12</v>
      </c>
      <c r="AA18" s="76">
        <f>COUNTIFS($AB$1:FormFields[[#This Row],[Exists]],1)-1</f>
        <v>12</v>
      </c>
      <c r="AB18" s="76">
        <f>IF(AND(FormFields[[#This Row],[Attribute]]="",FormFields[[#This Row],[Rel]]=""),0,1)</f>
        <v>0</v>
      </c>
      <c r="AC18" s="76">
        <f>IF(FormFields[[#This Row],[NO2]]=0,"id",FormFields[[#This Row],[NO2]]+IF(ISNUMBER(VLOOKUP('Table Seed Map'!$A$13,SeedMap[],9,0)),VLOOKUP('Table Seed Map'!$A$13,SeedMap[],9,0),0))</f>
        <v>801112</v>
      </c>
      <c r="AD18" s="77">
        <f>IF(FormFields[[#This Row],[ID]]="id","form_field",FormFields[[#This Row],[ID]])</f>
        <v>801016</v>
      </c>
      <c r="AE18" s="76"/>
      <c r="AF18" s="78" t="str">
        <f>IF(FormFields[[#This Row],[NO2]]=0,"relation",IF(FormFields[[#This Row],[Rel]]="","",VLOOKUP(FormFields[[#This Row],[Rel]],RelationTable[[Display]:[RELID]],2,0)))</f>
        <v/>
      </c>
      <c r="AG18" s="78" t="str">
        <f>IF(FormFields[[#This Row],[NO2]]=0,"nest_relation1",IF(FormFields[[#This Row],[Rel1]]="","",VLOOKUP(FormFields[[#This Row],[Rel1]],RelationTable[[Display]:[RELID]],2,0)))</f>
        <v/>
      </c>
      <c r="AH18" s="78" t="str">
        <f>IF(FormFields[[#This Row],[NO2]]=0,"nest_relation2",IF(FormFields[[#This Row],[Rel2]]="","",VLOOKUP(FormFields[[#This Row],[Rel2]],RelationTable[[Display]:[RELID]],2,0)))</f>
        <v/>
      </c>
      <c r="AI18" s="78" t="str">
        <f>IF(FormFields[[#This Row],[NO2]]=0,"nest_relation3",IF(FormFields[[#This Row],[Rel3]]="","",VLOOKUP(FormFields[[#This Row],[Rel3]],RelationTable[[Display]:[RELID]],2,0)))</f>
        <v/>
      </c>
      <c r="AJ18" s="71">
        <f>IF(OR(FormFields[[#This Row],[Option Type]]="",FormFields[[#This Row],[Option Type]]="type"),0,1)</f>
        <v>0</v>
      </c>
      <c r="AK18" s="71" t="str">
        <f>'Table Seed Map'!$A$14&amp;"-"&amp;FormFields[[#This Row],[NO4]]</f>
        <v>Field Options-3</v>
      </c>
      <c r="AL18" s="71">
        <f>COUNTIF($AJ$2:FormFields[[#This Row],[Exists FO]],1)</f>
        <v>3</v>
      </c>
      <c r="AM18" s="71">
        <f>IF(FormFields[[#This Row],[NO4]]=0,"id",FormFields[[#This Row],[NO4]]+IF(ISNUMBER(VLOOKUP('Table Seed Map'!$A$14,SeedMap[],9,0)),VLOOKUP('Table Seed Map'!$A$14,SeedMap[],9,0),0))</f>
        <v>801203</v>
      </c>
      <c r="AN18" s="58">
        <f>IF(FormFields[[#This Row],[ID]]="id","form_field",FormFields[[#This Row],[ID]])</f>
        <v>801016</v>
      </c>
      <c r="AO18" s="79"/>
      <c r="AP18" s="79"/>
      <c r="AQ18" s="79"/>
      <c r="AR18" s="79"/>
      <c r="AS18" s="79"/>
      <c r="AT18" s="71">
        <f>IF(OR(FormFields[[#This Row],[Colspan]]="",FormFields[[#This Row],[Colspan]]="colspan"),0,1)</f>
        <v>1</v>
      </c>
      <c r="AU18" s="71" t="str">
        <f>'Table Seed Map'!$A$19&amp;"-"&amp;FormFields[[#This Row],[NO8]]</f>
        <v>Form Layout-2</v>
      </c>
      <c r="AV18" s="71">
        <f>COUNTIF($AT$1:FormFields[[#This Row],[Exists FL]],1)</f>
        <v>2</v>
      </c>
      <c r="AW18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18" s="71">
        <f>FormFields[Form]</f>
        <v>800905</v>
      </c>
      <c r="AY18" s="71">
        <f>IF(FormFields[[#This Row],[ID]]="id","form_field",FormFields[[#This Row],[ID]])</f>
        <v>801016</v>
      </c>
      <c r="AZ18" s="80">
        <v>12</v>
      </c>
      <c r="BA18" s="58">
        <f>FormFields[[#This Row],[ID]]</f>
        <v>801016</v>
      </c>
      <c r="BC18" s="63" t="s">
        <v>1038</v>
      </c>
      <c r="BD18" s="62" t="str">
        <f>'Table Seed Map'!$A$15&amp;"-"&amp;(-1+COUNTA($BC$1:FieldAttrs[[#This Row],[ATTR Field]]))</f>
        <v>Field Attrs-16</v>
      </c>
      <c r="BE18" s="60">
        <f>IF(FieldAttrs[[#This Row],[ATTR Field]]="","id",-1+COUNTA($BC$1:FieldAttrs[[#This Row],[ATTR Field]])+VLOOKUP('Table Seed Map'!$A$15,SeedMap[],9,0))</f>
        <v>801316</v>
      </c>
      <c r="BF18" s="58">
        <f>IFERROR(VLOOKUP(FieldAttrs[ATTR Field],FormFields[[Field Name]:[ID]],2,0),"form_field")</f>
        <v>801015</v>
      </c>
      <c r="BG18" s="58" t="s">
        <v>904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59" t="s">
        <v>1033</v>
      </c>
      <c r="O19" s="71">
        <f>COUNTA($N$1:FormFields[[#This Row],[Form Name]])-1</f>
        <v>17</v>
      </c>
      <c r="P19" s="70" t="str">
        <f>FormFields[[#This Row],[Form Name]]&amp;"/"&amp;FormFields[[#This Row],[Name]]</f>
        <v>PartnerTask/TaskCompleteAttachment/progress</v>
      </c>
      <c r="Q19" s="71">
        <f>IF(FormFields[[#This Row],[No]]=0,"id",FormFields[[#This Row],[No]]+IF(ISNUMBER(VLOOKUP('Table Seed Map'!$A$12,SeedMap[],9,0)),VLOOKUP('Table Seed Map'!$A$12,SeedMap[],9,0),0))</f>
        <v>801017</v>
      </c>
      <c r="R19" s="72">
        <f>IFERROR(VLOOKUP(FormFields[[#This Row],[Form Name]],ResourceForms[[FormName]:[ID]],4,0),"resource_form")</f>
        <v>800905</v>
      </c>
      <c r="S19" s="73" t="s">
        <v>823</v>
      </c>
      <c r="T19" s="73" t="s">
        <v>1017</v>
      </c>
      <c r="U19" s="73" t="s">
        <v>1030</v>
      </c>
      <c r="V19" s="74"/>
      <c r="W19" s="74"/>
      <c r="X19" s="74"/>
      <c r="Y19" s="74"/>
      <c r="Z19" s="75" t="str">
        <f>'Table Seed Map'!$A$13&amp;"-"&amp;FormFields[[#This Row],[NO2]]</f>
        <v>Field Data-13</v>
      </c>
      <c r="AA19" s="76">
        <f>COUNTIFS($AB$1:FormFields[[#This Row],[Exists]],1)-1</f>
        <v>13</v>
      </c>
      <c r="AB19" s="76">
        <f>IF(AND(FormFields[[#This Row],[Attribute]]="",FormFields[[#This Row],[Rel]]=""),0,1)</f>
        <v>1</v>
      </c>
      <c r="AC19" s="76">
        <f>IF(FormFields[[#This Row],[NO2]]=0,"id",FormFields[[#This Row],[NO2]]+IF(ISNUMBER(VLOOKUP('Table Seed Map'!$A$13,SeedMap[],9,0)),VLOOKUP('Table Seed Map'!$A$13,SeedMap[],9,0),0))</f>
        <v>801113</v>
      </c>
      <c r="AD19" s="77">
        <f>IF(FormFields[[#This Row],[ID]]="id","form_field",FormFields[[#This Row],[ID]])</f>
        <v>801017</v>
      </c>
      <c r="AE19" s="76" t="str">
        <f>IF(FormFields[[#This Row],[No]]=0,"attribute",FormFields[[#This Row],[Name]])</f>
        <v>progress</v>
      </c>
      <c r="AF19" s="78" t="str">
        <f>IF(FormFields[[#This Row],[NO2]]=0,"relation",IF(FormFields[[#This Row],[Rel]]="","",VLOOKUP(FormFields[[#This Row],[Rel]],RelationTable[[Display]:[RELID]],2,0)))</f>
        <v/>
      </c>
      <c r="AG19" s="78" t="str">
        <f>IF(FormFields[[#This Row],[NO2]]=0,"nest_relation1",IF(FormFields[[#This Row],[Rel1]]="","",VLOOKUP(FormFields[[#This Row],[Rel1]],RelationTable[[Display]:[RELID]],2,0)))</f>
        <v/>
      </c>
      <c r="AH19" s="78" t="str">
        <f>IF(FormFields[[#This Row],[NO2]]=0,"nest_relation2",IF(FormFields[[#This Row],[Rel2]]="","",VLOOKUP(FormFields[[#This Row],[Rel2]],RelationTable[[Display]:[RELID]],2,0)))</f>
        <v/>
      </c>
      <c r="AI19" s="78" t="str">
        <f>IF(FormFields[[#This Row],[NO2]]=0,"nest_relation3",IF(FormFields[[#This Row],[Rel3]]="","",VLOOKUP(FormFields[[#This Row],[Rel3]],RelationTable[[Display]:[RELID]],2,0)))</f>
        <v/>
      </c>
      <c r="AJ19" s="71">
        <f>IF(OR(FormFields[[#This Row],[Option Type]]="",FormFields[[#This Row],[Option Type]]="type"),0,1)</f>
        <v>0</v>
      </c>
      <c r="AK19" s="71" t="str">
        <f>'Table Seed Map'!$A$14&amp;"-"&amp;FormFields[[#This Row],[NO4]]</f>
        <v>Field Options-3</v>
      </c>
      <c r="AL19" s="71">
        <f>COUNTIF($AJ$2:FormFields[[#This Row],[Exists FO]],1)</f>
        <v>3</v>
      </c>
      <c r="AM19" s="71">
        <f>IF(FormFields[[#This Row],[NO4]]=0,"id",FormFields[[#This Row],[NO4]]+IF(ISNUMBER(VLOOKUP('Table Seed Map'!$A$14,SeedMap[],9,0)),VLOOKUP('Table Seed Map'!$A$14,SeedMap[],9,0),0))</f>
        <v>801203</v>
      </c>
      <c r="AN19" s="58">
        <f>IF(FormFields[[#This Row],[ID]]="id","form_field",FormFields[[#This Row],[ID]])</f>
        <v>801017</v>
      </c>
      <c r="AO19" s="79"/>
      <c r="AP19" s="79"/>
      <c r="AQ19" s="79"/>
      <c r="AR19" s="79"/>
      <c r="AS19" s="79"/>
      <c r="AT19" s="71">
        <f>IF(OR(FormFields[[#This Row],[Colspan]]="",FormFields[[#This Row],[Colspan]]="colspan"),0,1)</f>
        <v>1</v>
      </c>
      <c r="AU19" s="71" t="str">
        <f>'Table Seed Map'!$A$19&amp;"-"&amp;FormFields[[#This Row],[NO8]]</f>
        <v>Form Layout-3</v>
      </c>
      <c r="AV19" s="71">
        <f>COUNTIF($AT$1:FormFields[[#This Row],[Exists FL]],1)</f>
        <v>3</v>
      </c>
      <c r="AW19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19" s="71">
        <f>FormFields[Form]</f>
        <v>800905</v>
      </c>
      <c r="AY19" s="71">
        <f>IF(FormFields[[#This Row],[ID]]="id","form_field",FormFields[[#This Row],[ID]])</f>
        <v>801017</v>
      </c>
      <c r="AZ19" s="80">
        <v>12</v>
      </c>
      <c r="BA19" s="58">
        <f>FormFields[[#This Row],[ID]]</f>
        <v>801017</v>
      </c>
      <c r="BC19" s="63" t="s">
        <v>1039</v>
      </c>
      <c r="BD19" s="62" t="str">
        <f>'Table Seed Map'!$A$15&amp;"-"&amp;(-1+COUNTA($BC$1:FieldAttrs[[#This Row],[ATTR Field]]))</f>
        <v>Field Attrs-17</v>
      </c>
      <c r="BE19" s="60">
        <f>IF(FieldAttrs[[#This Row],[ATTR Field]]="","id",-1+COUNTA($BC$1:FieldAttrs[[#This Row],[ATTR Field]])+VLOOKUP('Table Seed Map'!$A$15,SeedMap[],9,0))</f>
        <v>801317</v>
      </c>
      <c r="BF19" s="58">
        <f>IFERROR(VLOOKUP(FieldAttrs[ATTR Field],FormFields[[Field Name]:[ID]],2,0),"form_field")</f>
        <v>801016</v>
      </c>
      <c r="BG19" s="58" t="s">
        <v>904</v>
      </c>
      <c r="BH19" s="58">
        <v>4</v>
      </c>
    </row>
    <row r="20" spans="13:60" x14ac:dyDescent="0.25">
      <c r="M20" s="70" t="str">
        <f>'Table Seed Map'!$A$12&amp;"-"&amp;FormFields[[#This Row],[No]]</f>
        <v>Form Fields-18</v>
      </c>
      <c r="N20" s="59" t="s">
        <v>1033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PartnerTask/TaskCompleteAttachment/remarks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73" t="s">
        <v>1111</v>
      </c>
      <c r="T20" s="73" t="s">
        <v>898</v>
      </c>
      <c r="U20" s="73" t="s">
        <v>1112</v>
      </c>
      <c r="V20" s="74"/>
      <c r="W20" s="74"/>
      <c r="X20" s="74"/>
      <c r="Y20" s="74"/>
      <c r="Z20" s="75" t="str">
        <f>'Table Seed Map'!$A$13&amp;"-"&amp;FormFields[[#This Row],[NO2]]</f>
        <v>Field Data-14</v>
      </c>
      <c r="AA20" s="76">
        <f>COUNTIFS($AB$1:FormFields[[#This Row],[Exists]],1)-1</f>
        <v>14</v>
      </c>
      <c r="AB20" s="76">
        <f>IF(AND(FormFields[[#This Row],[Attribute]]="",FormFields[[#This Row],[Rel]]=""),0,1)</f>
        <v>1</v>
      </c>
      <c r="AC20" s="76">
        <f>IF(FormFields[[#This Row],[NO2]]=0,"id",FormFields[[#This Row],[NO2]]+IF(ISNUMBER(VLOOKUP('Table Seed Map'!$A$13,SeedMap[],9,0)),VLOOKUP('Table Seed Map'!$A$13,SeedMap[],9,0),0))</f>
        <v>801114</v>
      </c>
      <c r="AD20" s="77">
        <f>IF(FormFields[[#This Row],[ID]]="id","form_field",FormFields[[#This Row],[ID]])</f>
        <v>801018</v>
      </c>
      <c r="AE20" s="76" t="str">
        <f>IF(FormFields[[#This Row],[No]]=0,"attribute",FormFields[[#This Row],[Name]])</f>
        <v>remarks</v>
      </c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Options-3</v>
      </c>
      <c r="AL20" s="71">
        <f>COUNTIF($AJ$2:FormFields[[#This Row],[Exists FO]],1)</f>
        <v>3</v>
      </c>
      <c r="AM20" s="71">
        <f>IF(FormFields[[#This Row],[NO4]]=0,"id",FormFields[[#This Row],[NO4]]+IF(ISNUMBER(VLOOKUP('Table Seed Map'!$A$14,SeedMap[],9,0)),VLOOKUP('Table Seed Map'!$A$14,SeedMap[],9,0),0))</f>
        <v>801203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Layout-4</v>
      </c>
      <c r="AV20" s="71">
        <f>COUNTIF($AT$1:FormFields[[#This Row],[Exists FL]],1)</f>
        <v>4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63" t="s">
        <v>1040</v>
      </c>
      <c r="BD20" s="62" t="str">
        <f>'Table Seed Map'!$A$15&amp;"-"&amp;(-1+COUNTA($BC$1:FieldAttrs[[#This Row],[ATTR Field]]))</f>
        <v>Field Attrs-18</v>
      </c>
      <c r="BE20" s="60">
        <f>IF(FieldAttrs[[#This Row],[ATTR Field]]="","id",-1+COUNTA($BC$1:FieldAttrs[[#This Row],[ATTR Field]])+VLOOKUP('Table Seed Map'!$A$15,SeedMap[],9,0))</f>
        <v>801318</v>
      </c>
      <c r="BF20" s="58">
        <f>IFERROR(VLOOKUP(FieldAttrs[ATTR Field],FormFields[[Field Name]:[ID]],2,0),"form_field")</f>
        <v>801017</v>
      </c>
      <c r="BG20" s="58" t="s">
        <v>904</v>
      </c>
      <c r="BH20" s="58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1033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PartnerTask/TaskCompleteAttachment/attachment1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73" t="s">
        <v>837</v>
      </c>
      <c r="T21" s="73" t="s">
        <v>1034</v>
      </c>
      <c r="U21" s="73" t="s">
        <v>1035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1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 t="str">
        <f>IF(FormFields[[#This Row],[No]]=0,"attribute",FormFields[[#This Row],[Name]])</f>
        <v>attachment1</v>
      </c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Options-3</v>
      </c>
      <c r="AL21" s="71">
        <f>COUNTIF($AJ$2:FormFields[[#This Row],[Exists FO]],1)</f>
        <v>3</v>
      </c>
      <c r="AM21" s="71">
        <f>IF(FormFields[[#This Row],[NO4]]=0,"id",FormFields[[#This Row],[NO4]]+IF(ISNUMBER(VLOOKUP('Table Seed Map'!$A$14,SeedMap[],9,0)),VLOOKUP('Table Seed Map'!$A$14,SeedMap[],9,0),0))</f>
        <v>801203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Layout-5</v>
      </c>
      <c r="AV21" s="71">
        <f>COUNTIF($AT$1:FormFields[[#This Row],[Exists FL]],1)</f>
        <v>5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4</v>
      </c>
      <c r="BA21" s="58">
        <f>FormFields[[#This Row],[ID]]</f>
        <v>801019</v>
      </c>
      <c r="BC21" s="63" t="s">
        <v>1040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801017</v>
      </c>
      <c r="BG21" s="58" t="s">
        <v>44</v>
      </c>
      <c r="BH21" s="58" t="s">
        <v>1003</v>
      </c>
    </row>
    <row r="22" spans="13:60" x14ac:dyDescent="0.25">
      <c r="M22" s="70" t="str">
        <f>'Table Seed Map'!$A$12&amp;"-"&amp;FormFields[[#This Row],[No]]</f>
        <v>Form Fields-20</v>
      </c>
      <c r="N22" s="59" t="s">
        <v>1033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PartnerTask/TaskCompleteAttachment/attachment2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73" t="s">
        <v>839</v>
      </c>
      <c r="T22" s="73" t="s">
        <v>1034</v>
      </c>
      <c r="U22" s="73" t="s">
        <v>1036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attachment2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Options-3</v>
      </c>
      <c r="AL22" s="71">
        <f>COUNTIF($AJ$2:FormFields[[#This Row],[Exists FO]],1)</f>
        <v>3</v>
      </c>
      <c r="AM22" s="71">
        <f>IF(FormFields[[#This Row],[NO4]]=0,"id",FormFields[[#This Row],[NO4]]+IF(ISNUMBER(VLOOKUP('Table Seed Map'!$A$14,SeedMap[],9,0)),VLOOKUP('Table Seed Map'!$A$14,SeedMap[],9,0),0))</f>
        <v>801203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Layout-6</v>
      </c>
      <c r="AV22" s="71">
        <f>COUNTIF($AT$1:FormFields[[#This Row],[Exists FL]],1)</f>
        <v>6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4</v>
      </c>
      <c r="BA22" s="58">
        <f>FormFields[[#This Row],[ID]]</f>
        <v>801020</v>
      </c>
      <c r="BC22" s="63" t="s">
        <v>1114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801018</v>
      </c>
      <c r="BG22" s="58" t="s">
        <v>904</v>
      </c>
      <c r="BH22" s="58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1033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PartnerTask/TaskCompleteAttachment/attachment3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73" t="s">
        <v>840</v>
      </c>
      <c r="T23" s="73" t="s">
        <v>1034</v>
      </c>
      <c r="U23" s="73" t="s">
        <v>1037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attachment3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Options-3</v>
      </c>
      <c r="AL23" s="71">
        <f>COUNTIF($AJ$2:FormFields[[#This Row],[Exists FO]],1)</f>
        <v>3</v>
      </c>
      <c r="AM23" s="71">
        <f>IF(FormFields[[#This Row],[NO4]]=0,"id",FormFields[[#This Row],[NO4]]+IF(ISNUMBER(VLOOKUP('Table Seed Map'!$A$14,SeedMap[],9,0)),VLOOKUP('Table Seed Map'!$A$14,SeedMap[],9,0),0))</f>
        <v>801203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Layout-7</v>
      </c>
      <c r="AV23" s="71">
        <f>COUNTIF($AT$1:FormFields[[#This Row],[Exists FL]],1)</f>
        <v>7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4</v>
      </c>
      <c r="BA23" s="58">
        <f>FormFields[[#This Row],[ID]]</f>
        <v>801021</v>
      </c>
      <c r="BC23" s="63" t="s">
        <v>1083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801022</v>
      </c>
      <c r="BG23" s="58" t="s">
        <v>904</v>
      </c>
      <c r="BH23" s="58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1082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PartnerTask/TaskDismissForm/task.name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800906</v>
      </c>
      <c r="S24" s="73" t="s">
        <v>1018</v>
      </c>
      <c r="T24" s="73" t="s">
        <v>1017</v>
      </c>
      <c r="U24" s="73" t="s">
        <v>1</v>
      </c>
      <c r="V24" s="74"/>
      <c r="W24" s="74"/>
      <c r="X24" s="74"/>
      <c r="Y24" s="74"/>
      <c r="Z24" s="75" t="str">
        <f>'Table Seed Map'!$A$13&amp;"-"&amp;FormFields[[#This Row],[NO2]]</f>
        <v>Field Data-17</v>
      </c>
      <c r="AA24" s="76">
        <f>COUNTIFS($AB$1:FormFields[[#This Row],[Exists]],1)-1</f>
        <v>17</v>
      </c>
      <c r="AB24" s="76">
        <f>IF(AND(FormFields[[#This Row],[Attribute]]="",FormFields[[#This Row],[Rel]]=""),0,1)</f>
        <v>0</v>
      </c>
      <c r="AC24" s="76">
        <f>IF(FormFields[[#This Row],[NO2]]=0,"id",FormFields[[#This Row],[NO2]]+IF(ISNUMBER(VLOOKUP('Table Seed Map'!$A$13,SeedMap[],9,0)),VLOOKUP('Table Seed Map'!$A$13,SeedMap[],9,0),0))</f>
        <v>801117</v>
      </c>
      <c r="AD24" s="77">
        <f>IF(FormFields[[#This Row],[ID]]="id","form_field",FormFields[[#This Row],[ID]])</f>
        <v>801022</v>
      </c>
      <c r="AE24" s="76"/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Options-3</v>
      </c>
      <c r="AL24" s="71">
        <f>COUNTIF($AJ$2:FormFields[[#This Row],[Exists FO]],1)</f>
        <v>3</v>
      </c>
      <c r="AM24" s="71">
        <f>IF(FormFields[[#This Row],[NO4]]=0,"id",FormFields[[#This Row],[NO4]]+IF(ISNUMBER(VLOOKUP('Table Seed Map'!$A$14,SeedMap[],9,0)),VLOOKUP('Table Seed Map'!$A$14,SeedMap[],9,0),0))</f>
        <v>801203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0</v>
      </c>
      <c r="AU24" s="71" t="str">
        <f>'Table Seed Map'!$A$19&amp;"-"&amp;FormFields[[#This Row],[NO8]]</f>
        <v>Form Layout-7</v>
      </c>
      <c r="AV24" s="71">
        <f>COUNTIF($AT$1:FormFields[[#This Row],[Exists FL]],1)</f>
        <v>7</v>
      </c>
      <c r="AW2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1">
        <f>FormFields[Form]</f>
        <v>800906</v>
      </c>
      <c r="AY24" s="71">
        <f>IF(FormFields[[#This Row],[ID]]="id","form_field",FormFields[[#This Row],[ID]])</f>
        <v>801022</v>
      </c>
      <c r="AZ24" s="80"/>
      <c r="BA24" s="58">
        <f>FormFields[[#This Row],[ID]]</f>
        <v>801022</v>
      </c>
      <c r="BC24" s="63" t="s">
        <v>1084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801023</v>
      </c>
      <c r="BG24" s="58" t="s">
        <v>904</v>
      </c>
      <c r="BH24" s="58">
        <v>4</v>
      </c>
    </row>
    <row r="25" spans="13:60" x14ac:dyDescent="0.25">
      <c r="M25" s="70" t="str">
        <f>'Table Seed Map'!$A$12&amp;"-"&amp;FormFields[[#This Row],[No]]</f>
        <v>Form Fields-23</v>
      </c>
      <c r="N25" s="59" t="s">
        <v>1082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PartnerTask/TaskDismissForm/task.description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800906</v>
      </c>
      <c r="S25" s="73" t="s">
        <v>1019</v>
      </c>
      <c r="T25" s="73" t="s">
        <v>1020</v>
      </c>
      <c r="U25" s="73" t="s">
        <v>102</v>
      </c>
      <c r="V25" s="74"/>
      <c r="W25" s="74"/>
      <c r="X25" s="74"/>
      <c r="Y25" s="74"/>
      <c r="Z25" s="75" t="str">
        <f>'Table Seed Map'!$A$13&amp;"-"&amp;FormFields[[#This Row],[NO2]]</f>
        <v>Field Data-17</v>
      </c>
      <c r="AA25" s="76">
        <f>COUNTIFS($AB$1:FormFields[[#This Row],[Exists]],1)-1</f>
        <v>17</v>
      </c>
      <c r="AB25" s="76">
        <f>IF(AND(FormFields[[#This Row],[Attribute]]="",FormFields[[#This Row],[Rel]]=""),0,1)</f>
        <v>0</v>
      </c>
      <c r="AC25" s="76">
        <f>IF(FormFields[[#This Row],[NO2]]=0,"id",FormFields[[#This Row],[NO2]]+IF(ISNUMBER(VLOOKUP('Table Seed Map'!$A$13,SeedMap[],9,0)),VLOOKUP('Table Seed Map'!$A$13,SeedMap[],9,0),0))</f>
        <v>801117</v>
      </c>
      <c r="AD25" s="77">
        <f>IF(FormFields[[#This Row],[ID]]="id","form_field",FormFields[[#This Row],[ID]])</f>
        <v>801023</v>
      </c>
      <c r="AE25" s="76"/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Options-3</v>
      </c>
      <c r="AL25" s="71">
        <f>COUNTIF($AJ$2:FormFields[[#This Row],[Exists FO]],1)</f>
        <v>3</v>
      </c>
      <c r="AM25" s="71">
        <f>IF(FormFields[[#This Row],[NO4]]=0,"id",FormFields[[#This Row],[NO4]]+IF(ISNUMBER(VLOOKUP('Table Seed Map'!$A$14,SeedMap[],9,0)),VLOOKUP('Table Seed Map'!$A$14,SeedMap[],9,0),0))</f>
        <v>801203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0</v>
      </c>
      <c r="AU25" s="71" t="str">
        <f>'Table Seed Map'!$A$19&amp;"-"&amp;FormFields[[#This Row],[NO8]]</f>
        <v>Form Layout-7</v>
      </c>
      <c r="AV25" s="71">
        <f>COUNTIF($AT$1:FormFields[[#This Row],[Exists FL]],1)</f>
        <v>7</v>
      </c>
      <c r="AW2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1">
        <f>FormFields[Form]</f>
        <v>800906</v>
      </c>
      <c r="AY25" s="71">
        <f>IF(FormFields[[#This Row],[ID]]="id","form_field",FormFields[[#This Row],[ID]])</f>
        <v>801023</v>
      </c>
      <c r="AZ25" s="80"/>
      <c r="BA25" s="58">
        <f>FormFields[[#This Row],[ID]]</f>
        <v>801023</v>
      </c>
      <c r="BC25" s="63" t="s">
        <v>1115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801024</v>
      </c>
      <c r="BG25" s="58" t="s">
        <v>904</v>
      </c>
      <c r="BH25" s="58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1082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PartnerTask/TaskDismissForm/progress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800906</v>
      </c>
      <c r="S26" s="73" t="s">
        <v>823</v>
      </c>
      <c r="T26" s="73" t="s">
        <v>1017</v>
      </c>
      <c r="U26" s="73" t="s">
        <v>1030</v>
      </c>
      <c r="V26" s="74"/>
      <c r="W26" s="74"/>
      <c r="X26" s="74"/>
      <c r="Y26" s="74"/>
      <c r="Z26" s="75" t="str">
        <f>'Table Seed Map'!$A$13&amp;"-"&amp;FormFields[[#This Row],[NO2]]</f>
        <v>Field Data-18</v>
      </c>
      <c r="AA26" s="76">
        <f>COUNTIFS($AB$1:FormFields[[#This Row],[Exists]],1)-1</f>
        <v>18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801118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progress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Options-3</v>
      </c>
      <c r="AL26" s="71">
        <f>COUNTIF($AJ$2:FormFields[[#This Row],[Exists FO]],1)</f>
        <v>3</v>
      </c>
      <c r="AM26" s="71">
        <f>IF(FormFields[[#This Row],[NO4]]=0,"id",FormFields[[#This Row],[NO4]]+IF(ISNUMBER(VLOOKUP('Table Seed Map'!$A$14,SeedMap[],9,0)),VLOOKUP('Table Seed Map'!$A$14,SeedMap[],9,0),0))</f>
        <v>801203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0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1">
        <f>FormFields[Form]</f>
        <v>800906</v>
      </c>
      <c r="AY26" s="71">
        <f>IF(FormFields[[#This Row],[ID]]="id","form_field",FormFields[[#This Row],[ID]])</f>
        <v>801024</v>
      </c>
      <c r="AZ26" s="80"/>
      <c r="BA26" s="58">
        <f>FormFields[[#This Row],[ID]]</f>
        <v>801024</v>
      </c>
      <c r="BC26" s="63" t="s">
        <v>1115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801024</v>
      </c>
      <c r="BG26" s="58" t="s">
        <v>44</v>
      </c>
      <c r="BH26" s="58" t="s">
        <v>1002</v>
      </c>
    </row>
    <row r="27" spans="13:60" x14ac:dyDescent="0.25">
      <c r="M27" s="70" t="str">
        <f>'Table Seed Map'!$A$12&amp;"-"&amp;FormFields[[#This Row],[No]]</f>
        <v>Form Fields-25</v>
      </c>
      <c r="N27" s="59" t="s">
        <v>1082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PartnerTask/TaskDismissForm/remarks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1111</v>
      </c>
      <c r="T27" s="73" t="s">
        <v>898</v>
      </c>
      <c r="U27" s="73" t="s">
        <v>1112</v>
      </c>
      <c r="V27" s="74"/>
      <c r="W27" s="74"/>
      <c r="X27" s="74"/>
      <c r="Y27" s="74"/>
      <c r="Z27" s="75" t="str">
        <f>'Table Seed Map'!$A$13&amp;"-"&amp;FormFields[[#This Row],[NO2]]</f>
        <v>Field Data-19</v>
      </c>
      <c r="AA27" s="76">
        <f>COUNTIFS($AB$1:FormFields[[#This Row],[Exists]],1)-1</f>
        <v>19</v>
      </c>
      <c r="AB27" s="76">
        <f>IF(AND(FormFields[[#This Row],[Attribute]]="",FormFields[[#This Row],[Rel]]=""),0,1)</f>
        <v>1</v>
      </c>
      <c r="AC27" s="76">
        <f>IF(FormFields[[#This Row],[NO2]]=0,"id",FormFields[[#This Row],[NO2]]+IF(ISNUMBER(VLOOKUP('Table Seed Map'!$A$13,SeedMap[],9,0)),VLOOKUP('Table Seed Map'!$A$13,SeedMap[],9,0),0))</f>
        <v>801119</v>
      </c>
      <c r="AD27" s="77">
        <f>IF(FormFields[[#This Row],[ID]]="id","form_field",FormFields[[#This Row],[ID]])</f>
        <v>801025</v>
      </c>
      <c r="AE27" s="76" t="str">
        <f>IF(FormFields[[#This Row],[No]]=0,"attribute",FormFields[[#This Row],[Name]])</f>
        <v>remarks</v>
      </c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Options-3</v>
      </c>
      <c r="AL27" s="71">
        <f>COUNTIF($AJ$2:FormFields[[#This Row],[Exists FO]],1)</f>
        <v>3</v>
      </c>
      <c r="AM27" s="71">
        <f>IF(FormFields[[#This Row],[NO4]]=0,"id",FormFields[[#This Row],[NO4]]+IF(ISNUMBER(VLOOKUP('Table Seed Map'!$A$14,SeedMap[],9,0)),VLOOKUP('Table Seed Map'!$A$14,SeedMap[],9,0),0))</f>
        <v>801203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1116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801025</v>
      </c>
      <c r="BG27" s="58" t="s">
        <v>904</v>
      </c>
      <c r="BH27" s="58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1131</v>
      </c>
      <c r="O28" s="71">
        <f>COUNTA($N$1:FormFields[[#This Row],[Form Name]])-1</f>
        <v>26</v>
      </c>
      <c r="P28" s="70" t="str">
        <f>FormFields[[#This Row],[Form Name]]&amp;"/"&amp;FormFields[[#This Row],[Name]]</f>
        <v>Category/CreateCategory/name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800907</v>
      </c>
      <c r="S28" s="73" t="s">
        <v>23</v>
      </c>
      <c r="T28" s="73" t="s">
        <v>897</v>
      </c>
      <c r="U28" s="73" t="s">
        <v>1132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1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 t="str">
        <f>IF(FormFields[[#This Row],[No]]=0,"attribute",FormFields[[#This Row],[Name]])</f>
        <v>name</v>
      </c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Options-3</v>
      </c>
      <c r="AL28" s="71">
        <f>COUNTIF($AJ$2:FormFields[[#This Row],[Exists FO]],1)</f>
        <v>3</v>
      </c>
      <c r="AM28" s="71">
        <f>IF(FormFields[[#This Row],[NO4]]=0,"id",FormFields[[#This Row],[NO4]]+IF(ISNUMBER(VLOOKUP('Table Seed Map'!$A$14,SeedMap[],9,0)),VLOOKUP('Table Seed Map'!$A$14,SeedMap[],9,0),0))</f>
        <v>801203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800907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1243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801028</v>
      </c>
      <c r="BG28" s="58" t="s">
        <v>904</v>
      </c>
      <c r="BH28" s="58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1131</v>
      </c>
      <c r="O29" s="71">
        <f>COUNTA($N$1:FormFields[[#This Row],[Form Name]])-1</f>
        <v>27</v>
      </c>
      <c r="P29" s="70" t="str">
        <f>FormFields[[#This Row],[Form Name]]&amp;"/"&amp;FormFields[[#This Row],[Name]]</f>
        <v>Category/CreateCategory/status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800907</v>
      </c>
      <c r="S29" s="73" t="s">
        <v>809</v>
      </c>
      <c r="T29" s="73" t="s">
        <v>899</v>
      </c>
      <c r="U29" s="73" t="s">
        <v>901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status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1</v>
      </c>
      <c r="AK29" s="71" t="str">
        <f>'Table Seed Map'!$A$14&amp;"-"&amp;FormFields[[#This Row],[NO4]]</f>
        <v>Field Options-4</v>
      </c>
      <c r="AL29" s="71">
        <f>COUNTIF($AJ$2:FormFields[[#This Row],[Exists FO]],1)</f>
        <v>4</v>
      </c>
      <c r="AM29" s="71">
        <f>IF(FormFields[[#This Row],[NO4]]=0,"id",FormFields[[#This Row],[NO4]]+IF(ISNUMBER(VLOOKUP('Table Seed Map'!$A$14,SeedMap[],9,0)),VLOOKUP('Table Seed Map'!$A$14,SeedMap[],9,0),0))</f>
        <v>801204</v>
      </c>
      <c r="AN29" s="58">
        <f>IF(FormFields[[#This Row],[ID]]="id","form_field",FormFields[[#This Row],[ID]])</f>
        <v>801027</v>
      </c>
      <c r="AO29" s="79" t="s">
        <v>902</v>
      </c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800907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1244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801029</v>
      </c>
      <c r="BG29" s="58" t="s">
        <v>904</v>
      </c>
      <c r="BH29" s="58">
        <v>4</v>
      </c>
    </row>
    <row r="30" spans="13:60" x14ac:dyDescent="0.25">
      <c r="M30" s="70" t="str">
        <f>'Table Seed Map'!$A$12&amp;"-"&amp;FormFields[[#This Row],[No]]</f>
        <v>Form Fields-28</v>
      </c>
      <c r="N30" s="34" t="s">
        <v>1242</v>
      </c>
      <c r="O30" s="71">
        <f>COUNTA($N$1:FormFields[[#This Row],[Form Name]])-1</f>
        <v>28</v>
      </c>
      <c r="P30" s="70" t="str">
        <f>FormFields[[#This Row],[Form Name]]&amp;"/"&amp;FormFields[[#This Row],[Name]]</f>
        <v>Profile/CreateProfile/name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800908</v>
      </c>
      <c r="S30" s="42" t="s">
        <v>23</v>
      </c>
      <c r="T30" s="42" t="s">
        <v>897</v>
      </c>
      <c r="U30" s="42" t="s">
        <v>1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name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Options-4</v>
      </c>
      <c r="AL30" s="71">
        <f>COUNTIF($AJ$2:FormFields[[#This Row],[Exists FO]],1)</f>
        <v>4</v>
      </c>
      <c r="AM30" s="71">
        <f>IF(FormFields[[#This Row],[NO4]]=0,"id",FormFields[[#This Row],[NO4]]+IF(ISNUMBER(VLOOKUP('Table Seed Map'!$A$14,SeedMap[],9,0)),VLOOKUP('Table Seed Map'!$A$14,SeedMap[],9,0),0))</f>
        <v>801204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800908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1245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801030</v>
      </c>
      <c r="BG30" s="58" t="s">
        <v>904</v>
      </c>
      <c r="BH30" s="58">
        <v>4</v>
      </c>
    </row>
    <row r="31" spans="13:60" x14ac:dyDescent="0.25">
      <c r="M31" s="70" t="str">
        <f>'Table Seed Map'!$A$12&amp;"-"&amp;FormFields[[#This Row],[No]]</f>
        <v>Form Fields-29</v>
      </c>
      <c r="N31" s="34" t="s">
        <v>1242</v>
      </c>
      <c r="O31" s="71">
        <f>COUNTA($N$1:FormFields[[#This Row],[Form Name]])-1</f>
        <v>29</v>
      </c>
      <c r="P31" s="70" t="str">
        <f>FormFields[[#This Row],[Form Name]]&amp;"/"&amp;FormFields[[#This Row],[Name]]</f>
        <v>Profile/CreateProfile/email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800908</v>
      </c>
      <c r="S31" s="42" t="s">
        <v>854</v>
      </c>
      <c r="T31" s="42" t="s">
        <v>897</v>
      </c>
      <c r="U31" s="42" t="s">
        <v>919</v>
      </c>
      <c r="V31" s="74"/>
      <c r="W31" s="74"/>
      <c r="X31" s="74"/>
      <c r="Y31" s="74"/>
      <c r="Z31" s="75" t="str">
        <f>'Table Seed Map'!$A$13&amp;"-"&amp;FormFields[[#This Row],[NO2]]</f>
        <v>Field Data-23</v>
      </c>
      <c r="AA31" s="76">
        <f>COUNTIFS($AB$1:FormFields[[#This Row],[Exists]],1)-1</f>
        <v>23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801123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email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Options-4</v>
      </c>
      <c r="AL31" s="71">
        <f>COUNTIF($AJ$2:FormFields[[#This Row],[Exists FO]],1)</f>
        <v>4</v>
      </c>
      <c r="AM31" s="71">
        <f>IF(FormFields[[#This Row],[NO4]]=0,"id",FormFields[[#This Row],[NO4]]+IF(ISNUMBER(VLOOKUP('Table Seed Map'!$A$14,SeedMap[],9,0)),VLOOKUP('Table Seed Map'!$A$14,SeedMap[],9,0),0))</f>
        <v>801204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800908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1253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801031</v>
      </c>
      <c r="BG31" s="58" t="s">
        <v>904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34" t="s">
        <v>1242</v>
      </c>
      <c r="O32" s="71">
        <f>COUNTA($N$1:FormFields[[#This Row],[Form Name]])-1</f>
        <v>30</v>
      </c>
      <c r="P32" s="70" t="str">
        <f>FormFields[[#This Row],[Form Name]]&amp;"/"&amp;FormFields[[#This Row],[Name]]</f>
        <v>Profile/CreateProfile/password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800908</v>
      </c>
      <c r="S32" s="42" t="s">
        <v>855</v>
      </c>
      <c r="T32" s="42" t="s">
        <v>855</v>
      </c>
      <c r="U32" s="42" t="s">
        <v>920</v>
      </c>
      <c r="V32" s="74"/>
      <c r="W32" s="74"/>
      <c r="X32" s="74"/>
      <c r="Y32" s="74"/>
      <c r="Z32" s="75" t="str">
        <f>'Table Seed Map'!$A$13&amp;"-"&amp;FormFields[[#This Row],[NO2]]</f>
        <v>Field Data-24</v>
      </c>
      <c r="AA32" s="76">
        <f>COUNTIFS($AB$1:FormFields[[#This Row],[Exists]],1)-1</f>
        <v>24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801124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password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0</v>
      </c>
      <c r="AK32" s="71" t="str">
        <f>'Table Seed Map'!$A$14&amp;"-"&amp;FormFields[[#This Row],[NO4]]</f>
        <v>Field Options-4</v>
      </c>
      <c r="AL32" s="71">
        <f>COUNTIF($AJ$2:FormFields[[#This Row],[Exists FO]],1)</f>
        <v>4</v>
      </c>
      <c r="AM32" s="71">
        <f>IF(FormFields[[#This Row],[NO4]]=0,"id",FormFields[[#This Row],[NO4]]+IF(ISNUMBER(VLOOKUP('Table Seed Map'!$A$14,SeedMap[],9,0)),VLOOKUP('Table Seed Map'!$A$14,SeedMap[],9,0),0))</f>
        <v>801204</v>
      </c>
      <c r="AN32" s="58">
        <f>IF(FormFields[[#This Row],[ID]]="id","form_field",FormFields[[#This Row],[ID]])</f>
        <v>801030</v>
      </c>
      <c r="AO32" s="79"/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800908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1252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801032</v>
      </c>
      <c r="BG32" s="58" t="s">
        <v>904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1249</v>
      </c>
      <c r="O33" s="71">
        <f>COUNTA($N$1:FormFields[[#This Row],[Form Name]])-1</f>
        <v>31</v>
      </c>
      <c r="P33" s="70" t="str">
        <f>FormFields[[#This Row],[Form Name]]&amp;"/"&amp;FormFields[[#This Row],[Name]]</f>
        <v>PartnerTask/TaskUpdateForm/task.name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800909</v>
      </c>
      <c r="S33" s="73" t="s">
        <v>1018</v>
      </c>
      <c r="T33" s="73" t="s">
        <v>1017</v>
      </c>
      <c r="U33" s="73" t="s">
        <v>845</v>
      </c>
      <c r="V33" s="74"/>
      <c r="W33" s="74"/>
      <c r="X33" s="74"/>
      <c r="Y33" s="74"/>
      <c r="Z33" s="75" t="str">
        <f>'Table Seed Map'!$A$13&amp;"-"&amp;FormFields[[#This Row],[NO2]]</f>
        <v>Field Data-24</v>
      </c>
      <c r="AA33" s="76">
        <f>COUNTIFS($AB$1:FormFields[[#This Row],[Exists]],1)-1</f>
        <v>24</v>
      </c>
      <c r="AB33" s="76">
        <f>IF(AND(FormFields[[#This Row],[Attribute]]="",FormFields[[#This Row],[Rel]]=""),0,1)</f>
        <v>0</v>
      </c>
      <c r="AC33" s="76">
        <f>IF(FormFields[[#This Row],[NO2]]=0,"id",FormFields[[#This Row],[NO2]]+IF(ISNUMBER(VLOOKUP('Table Seed Map'!$A$13,SeedMap[],9,0)),VLOOKUP('Table Seed Map'!$A$13,SeedMap[],9,0),0))</f>
        <v>801124</v>
      </c>
      <c r="AD33" s="77">
        <f>IF(FormFields[[#This Row],[ID]]="id","form_field",FormFields[[#This Row],[ID]])</f>
        <v>801031</v>
      </c>
      <c r="AE33" s="76"/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Options-4</v>
      </c>
      <c r="AL33" s="71">
        <f>COUNTIF($AJ$2:FormFields[[#This Row],[Exists FO]],1)</f>
        <v>4</v>
      </c>
      <c r="AM33" s="71">
        <f>IF(FormFields[[#This Row],[NO4]]=0,"id",FormFields[[#This Row],[NO4]]+IF(ISNUMBER(VLOOKUP('Table Seed Map'!$A$14,SeedMap[],9,0)),VLOOKUP('Table Seed Map'!$A$14,SeedMap[],9,0),0))</f>
        <v>801204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800909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1251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801033</v>
      </c>
      <c r="BG33" s="58" t="s">
        <v>904</v>
      </c>
      <c r="BH33" s="58">
        <v>4</v>
      </c>
    </row>
    <row r="34" spans="13:60" x14ac:dyDescent="0.25">
      <c r="M34" s="70" t="str">
        <f>'Table Seed Map'!$A$12&amp;"-"&amp;FormFields[[#This Row],[No]]</f>
        <v>Form Fields-32</v>
      </c>
      <c r="N34" s="59" t="s">
        <v>1249</v>
      </c>
      <c r="O34" s="71">
        <f>COUNTA($N$1:FormFields[[#This Row],[Form Name]])-1</f>
        <v>32</v>
      </c>
      <c r="P34" s="70" t="str">
        <f>FormFields[[#This Row],[Form Name]]&amp;"/"&amp;FormFields[[#This Row],[Name]]</f>
        <v>PartnerTask/TaskUpdateForm/progress</v>
      </c>
      <c r="Q34" s="71">
        <f>IF(FormFields[[#This Row],[No]]=0,"id",FormFields[[#This Row],[No]]+IF(ISNUMBER(VLOOKUP('Table Seed Map'!$A$12,SeedMap[],9,0)),VLOOKUP('Table Seed Map'!$A$12,SeedMap[],9,0),0))</f>
        <v>801032</v>
      </c>
      <c r="R34" s="72">
        <f>IFERROR(VLOOKUP(FormFields[[#This Row],[Form Name]],ResourceForms[[FormName]:[ID]],4,0),"resource_form")</f>
        <v>800909</v>
      </c>
      <c r="S34" s="73" t="s">
        <v>823</v>
      </c>
      <c r="T34" s="73" t="s">
        <v>899</v>
      </c>
      <c r="U34" s="73" t="s">
        <v>1250</v>
      </c>
      <c r="V34" s="74"/>
      <c r="W34" s="74"/>
      <c r="X34" s="74"/>
      <c r="Y34" s="74"/>
      <c r="Z34" s="75" t="str">
        <f>'Table Seed Map'!$A$13&amp;"-"&amp;FormFields[[#This Row],[NO2]]</f>
        <v>Field Data-25</v>
      </c>
      <c r="AA34" s="76">
        <f>COUNTIFS($AB$1:FormFields[[#This Row],[Exists]],1)-1</f>
        <v>25</v>
      </c>
      <c r="AB34" s="76">
        <f>IF(AND(FormFields[[#This Row],[Attribute]]="",FormFields[[#This Row],[Rel]]=""),0,1)</f>
        <v>1</v>
      </c>
      <c r="AC34" s="76">
        <f>IF(FormFields[[#This Row],[NO2]]=0,"id",FormFields[[#This Row],[NO2]]+IF(ISNUMBER(VLOOKUP('Table Seed Map'!$A$13,SeedMap[],9,0)),VLOOKUP('Table Seed Map'!$A$13,SeedMap[],9,0),0))</f>
        <v>801125</v>
      </c>
      <c r="AD34" s="77">
        <f>IF(FormFields[[#This Row],[ID]]="id","form_field",FormFields[[#This Row],[ID]])</f>
        <v>801032</v>
      </c>
      <c r="AE34" s="76" t="str">
        <f>IF(FormFields[[#This Row],[No]]=0,"attribute",FormFields[[#This Row],[Name]])</f>
        <v>progress</v>
      </c>
      <c r="AF34" s="78" t="str">
        <f>IF(FormFields[[#This Row],[NO2]]=0,"relation",IF(FormFields[[#This Row],[Rel]]="","",VLOOKUP(FormFields[[#This Row],[Rel]],RelationTable[[Display]:[RELID]],2,0)))</f>
        <v/>
      </c>
      <c r="AG34" s="78" t="str">
        <f>IF(FormFields[[#This Row],[NO2]]=0,"nest_relation1",IF(FormFields[[#This Row],[Rel1]]="","",VLOOKUP(FormFields[[#This Row],[Rel1]],RelationTable[[Display]:[RELID]],2,0)))</f>
        <v/>
      </c>
      <c r="AH34" s="78" t="str">
        <f>IF(FormFields[[#This Row],[NO2]]=0,"nest_relation2",IF(FormFields[[#This Row],[Rel2]]="","",VLOOKUP(FormFields[[#This Row],[Rel2]],RelationTable[[Display]:[RELID]],2,0)))</f>
        <v/>
      </c>
      <c r="AI34" s="78" t="str">
        <f>IF(FormFields[[#This Row],[NO2]]=0,"nest_relation3",IF(FormFields[[#This Row],[Rel3]]="","",VLOOKUP(FormFields[[#This Row],[Rel3]],RelationTable[[Display]:[RELID]],2,0)))</f>
        <v/>
      </c>
      <c r="AJ34" s="71">
        <f>IF(OR(FormFields[[#This Row],[Option Type]]="",FormFields[[#This Row],[Option Type]]="type"),0,1)</f>
        <v>1</v>
      </c>
      <c r="AK34" s="71" t="str">
        <f>'Table Seed Map'!$A$14&amp;"-"&amp;FormFields[[#This Row],[NO4]]</f>
        <v>Field Options-5</v>
      </c>
      <c r="AL34" s="71">
        <f>COUNTIF($AJ$2:FormFields[[#This Row],[Exists FO]],1)</f>
        <v>5</v>
      </c>
      <c r="AM34" s="71">
        <f>IF(FormFields[[#This Row],[NO4]]=0,"id",FormFields[[#This Row],[NO4]]+IF(ISNUMBER(VLOOKUP('Table Seed Map'!$A$14,SeedMap[],9,0)),VLOOKUP('Table Seed Map'!$A$14,SeedMap[],9,0),0))</f>
        <v>801205</v>
      </c>
      <c r="AN34" s="58">
        <f>IF(FormFields[[#This Row],[ID]]="id","form_field",FormFields[[#This Row],[ID]])</f>
        <v>801032</v>
      </c>
      <c r="AO34" s="79" t="s">
        <v>902</v>
      </c>
      <c r="AP34" s="79"/>
      <c r="AQ34" s="79"/>
      <c r="AR34" s="79"/>
      <c r="AS34" s="79"/>
      <c r="AT34" s="71">
        <f>IF(OR(FormFields[[#This Row],[Colspan]]="",FormFields[[#This Row],[Colspan]]="colspan"),0,1)</f>
        <v>0</v>
      </c>
      <c r="AU34" s="71" t="str">
        <f>'Table Seed Map'!$A$19&amp;"-"&amp;FormFields[[#This Row],[NO8]]</f>
        <v>Form Layout-7</v>
      </c>
      <c r="AV34" s="71">
        <f>COUNTIF($AT$1:FormFields[[#This Row],[Exists FL]],1)</f>
        <v>7</v>
      </c>
      <c r="AW3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1">
        <f>FormFields[Form]</f>
        <v>800909</v>
      </c>
      <c r="AY34" s="71">
        <f>IF(FormFields[[#This Row],[ID]]="id","form_field",FormFields[[#This Row],[ID]])</f>
        <v>801032</v>
      </c>
      <c r="AZ34" s="80"/>
      <c r="BA34" s="58">
        <f>FormFields[[#This Row],[ID]]</f>
        <v>801032</v>
      </c>
    </row>
    <row r="35" spans="13:60" x14ac:dyDescent="0.25">
      <c r="M35" s="70" t="str">
        <f>'Table Seed Map'!$A$12&amp;"-"&amp;FormFields[[#This Row],[No]]</f>
        <v>Form Fields-33</v>
      </c>
      <c r="N35" s="59" t="s">
        <v>1249</v>
      </c>
      <c r="O35" s="71">
        <f>COUNTA($N$1:FormFields[[#This Row],[Form Name]])-1</f>
        <v>33</v>
      </c>
      <c r="P35" s="70" t="str">
        <f>FormFields[[#This Row],[Form Name]]&amp;"/"&amp;FormFields[[#This Row],[Name]]</f>
        <v>PartnerTask/TaskUpdateForm/remarks</v>
      </c>
      <c r="Q35" s="71">
        <f>IF(FormFields[[#This Row],[No]]=0,"id",FormFields[[#This Row],[No]]+IF(ISNUMBER(VLOOKUP('Table Seed Map'!$A$12,SeedMap[],9,0)),VLOOKUP('Table Seed Map'!$A$12,SeedMap[],9,0),0))</f>
        <v>801033</v>
      </c>
      <c r="R35" s="72">
        <f>IFERROR(VLOOKUP(FormFields[[#This Row],[Form Name]],ResourceForms[[FormName]:[ID]],4,0),"resource_form")</f>
        <v>800909</v>
      </c>
      <c r="S35" s="73" t="s">
        <v>1111</v>
      </c>
      <c r="T35" s="73" t="s">
        <v>898</v>
      </c>
      <c r="U35" s="73" t="s">
        <v>1112</v>
      </c>
      <c r="V35" s="74"/>
      <c r="W35" s="74"/>
      <c r="X35" s="74"/>
      <c r="Y35" s="74"/>
      <c r="Z35" s="75" t="str">
        <f>'Table Seed Map'!$A$13&amp;"-"&amp;FormFields[[#This Row],[NO2]]</f>
        <v>Field Data-26</v>
      </c>
      <c r="AA35" s="76">
        <f>COUNTIFS($AB$1:FormFields[[#This Row],[Exists]],1)-1</f>
        <v>26</v>
      </c>
      <c r="AB35" s="76">
        <f>IF(AND(FormFields[[#This Row],[Attribute]]="",FormFields[[#This Row],[Rel]]=""),0,1)</f>
        <v>1</v>
      </c>
      <c r="AC35" s="76">
        <f>IF(FormFields[[#This Row],[NO2]]=0,"id",FormFields[[#This Row],[NO2]]+IF(ISNUMBER(VLOOKUP('Table Seed Map'!$A$13,SeedMap[],9,0)),VLOOKUP('Table Seed Map'!$A$13,SeedMap[],9,0),0))</f>
        <v>801126</v>
      </c>
      <c r="AD35" s="77">
        <f>IF(FormFields[[#This Row],[ID]]="id","form_field",FormFields[[#This Row],[ID]])</f>
        <v>801033</v>
      </c>
      <c r="AE35" s="76" t="str">
        <f>IF(FormFields[[#This Row],[No]]=0,"attribute",FormFields[[#This Row],[Name]])</f>
        <v>remarks</v>
      </c>
      <c r="AF35" s="78" t="str">
        <f>IF(FormFields[[#This Row],[NO2]]=0,"relation",IF(FormFields[[#This Row],[Rel]]="","",VLOOKUP(FormFields[[#This Row],[Rel]],RelationTable[[Display]:[RELID]],2,0)))</f>
        <v/>
      </c>
      <c r="AG35" s="78" t="str">
        <f>IF(FormFields[[#This Row],[NO2]]=0,"nest_relation1",IF(FormFields[[#This Row],[Rel1]]="","",VLOOKUP(FormFields[[#This Row],[Rel1]],RelationTable[[Display]:[RELID]],2,0)))</f>
        <v/>
      </c>
      <c r="AH35" s="78" t="str">
        <f>IF(FormFields[[#This Row],[NO2]]=0,"nest_relation2",IF(FormFields[[#This Row],[Rel2]]="","",VLOOKUP(FormFields[[#This Row],[Rel2]],RelationTable[[Display]:[RELID]],2,0)))</f>
        <v/>
      </c>
      <c r="AI35" s="78" t="str">
        <f>IF(FormFields[[#This Row],[NO2]]=0,"nest_relation3",IF(FormFields[[#This Row],[Rel3]]="","",VLOOKUP(FormFields[[#This Row],[Rel3]],RelationTable[[Display]:[RELID]],2,0)))</f>
        <v/>
      </c>
      <c r="AJ35" s="71">
        <f>IF(OR(FormFields[[#This Row],[Option Type]]="",FormFields[[#This Row],[Option Type]]="type"),0,1)</f>
        <v>0</v>
      </c>
      <c r="AK35" s="71" t="str">
        <f>'Table Seed Map'!$A$14&amp;"-"&amp;FormFields[[#This Row],[NO4]]</f>
        <v>Field Options-5</v>
      </c>
      <c r="AL35" s="71">
        <f>COUNTIF($AJ$2:FormFields[[#This Row],[Exists FO]],1)</f>
        <v>5</v>
      </c>
      <c r="AM35" s="71">
        <f>IF(FormFields[[#This Row],[NO4]]=0,"id",FormFields[[#This Row],[NO4]]+IF(ISNUMBER(VLOOKUP('Table Seed Map'!$A$14,SeedMap[],9,0)),VLOOKUP('Table Seed Map'!$A$14,SeedMap[],9,0),0))</f>
        <v>801205</v>
      </c>
      <c r="AN35" s="58">
        <f>IF(FormFields[[#This Row],[ID]]="id","form_field",FormFields[[#This Row],[ID]])</f>
        <v>801033</v>
      </c>
      <c r="AO35" s="79"/>
      <c r="AP35" s="79"/>
      <c r="AQ35" s="79"/>
      <c r="AR35" s="79"/>
      <c r="AS35" s="79"/>
      <c r="AT35" s="71">
        <f>IF(OR(FormFields[[#This Row],[Colspan]]="",FormFields[[#This Row],[Colspan]]="colspan"),0,1)</f>
        <v>0</v>
      </c>
      <c r="AU35" s="71" t="str">
        <f>'Table Seed Map'!$A$19&amp;"-"&amp;FormFields[[#This Row],[NO8]]</f>
        <v>Form Layout-7</v>
      </c>
      <c r="AV35" s="71">
        <f>COUNTIF($AT$1:FormFields[[#This Row],[Exists FL]],1)</f>
        <v>7</v>
      </c>
      <c r="AW3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1">
        <f>FormFields[Form]</f>
        <v>800909</v>
      </c>
      <c r="AY35" s="71">
        <f>IF(FormFields[[#This Row],[ID]]="id","form_field",FormFields[[#This Row],[ID]])</f>
        <v>801033</v>
      </c>
      <c r="AZ35" s="80"/>
      <c r="BA35" s="58">
        <f>FormFields[[#This Row],[ID]]</f>
        <v>801033</v>
      </c>
    </row>
  </sheetData>
  <dataValidations count="9">
    <dataValidation type="list" allowBlank="1" showInputMessage="1" showErrorMessage="1" sqref="EN2:ES2 CS2:CY2 BX2 V2:Y35">
      <formula1>Relations</formula1>
    </dataValidation>
    <dataValidation type="list" allowBlank="1" showInputMessage="1" showErrorMessage="1" sqref="CH2 DY2 BV2:BW2 N2:N35">
      <formula1>FormNames</formula1>
    </dataValidation>
    <dataValidation type="list" allowBlank="1" showInputMessage="1" showErrorMessage="1" sqref="DB2 DN2 EA2 BY2 BJ2:BJ11 BC2:BC3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opLeftCell="AR19" workbookViewId="0">
      <selection activeCell="AU48" sqref="AU48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25.8554687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910</v>
      </c>
      <c r="G3" s="65" t="s">
        <v>911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983</v>
      </c>
      <c r="N3" s="6">
        <f>VLOOKUP(ListExtras[[#This Row],[List Name]],ResourceList[[ListDisplayName]:[No]],2,0)</f>
        <v>802205</v>
      </c>
      <c r="O3" s="1" t="s">
        <v>984</v>
      </c>
      <c r="P3" s="1" t="s">
        <v>987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802205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802205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912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912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931</v>
      </c>
      <c r="G4" s="65" t="s">
        <v>932</v>
      </c>
      <c r="H4" s="65" t="s">
        <v>852</v>
      </c>
      <c r="I4" s="65" t="s">
        <v>23</v>
      </c>
      <c r="J4" s="65">
        <v>30</v>
      </c>
      <c r="K4" s="64">
        <f>ResourceList[No]</f>
        <v>802202</v>
      </c>
      <c r="M4" s="2" t="s">
        <v>994</v>
      </c>
      <c r="N4" s="6">
        <f>VLOOKUP(ListExtras[[#This Row],[List Name]],ResourceList[[ListDisplayName]:[No]],2,0)</f>
        <v>802206</v>
      </c>
      <c r="O4" s="1" t="s">
        <v>994</v>
      </c>
      <c r="P4" s="1" t="s">
        <v>987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802206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802206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912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912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901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845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800506</v>
      </c>
      <c r="F5" s="65" t="s">
        <v>959</v>
      </c>
      <c r="G5" s="65" t="s">
        <v>960</v>
      </c>
      <c r="H5" s="65" t="s">
        <v>850</v>
      </c>
      <c r="I5" s="65" t="s">
        <v>21</v>
      </c>
      <c r="J5" s="65">
        <v>30</v>
      </c>
      <c r="K5" s="64">
        <f>ResourceList[No]</f>
        <v>802203</v>
      </c>
      <c r="M5" s="2" t="s">
        <v>995</v>
      </c>
      <c r="N5" s="6">
        <f>VLOOKUP(ListExtras[[#This Row],[List Name]],ResourceList[[ListDisplayName]:[No]],2,0)</f>
        <v>802207</v>
      </c>
      <c r="O5" s="1" t="s">
        <v>995</v>
      </c>
      <c r="P5" s="1" t="s">
        <v>987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802207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802207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933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933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846</v>
      </c>
      <c r="C6" s="62" t="str">
        <f>ResourceList[[#This Row],[Resource Name]]&amp;"/"&amp;ResourceList[[#This Row],[Name]]</f>
        <v>PartnerTask/NewCategoryList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800507</v>
      </c>
      <c r="F6" s="65" t="s">
        <v>1153</v>
      </c>
      <c r="G6" s="65" t="s">
        <v>1154</v>
      </c>
      <c r="H6" s="65" t="s">
        <v>1155</v>
      </c>
      <c r="I6" s="65" t="s">
        <v>21</v>
      </c>
      <c r="J6" s="65">
        <v>30</v>
      </c>
      <c r="K6" s="64">
        <f>ResourceList[No]</f>
        <v>802204</v>
      </c>
      <c r="M6" s="2" t="s">
        <v>996</v>
      </c>
      <c r="N6" s="6">
        <f>VLOOKUP(ListExtras[[#This Row],[List Name]],ResourceList[[ListDisplayName]:[No]],2,0)</f>
        <v>802208</v>
      </c>
      <c r="O6" s="1" t="s">
        <v>996</v>
      </c>
      <c r="P6" s="1" t="s">
        <v>987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802208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802208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933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919</v>
      </c>
      <c r="AY6" s="65" t="s">
        <v>854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2" t="str">
        <f>'Table Seed Map'!$A$24&amp;"-"&amp;COUNTA($B$1:ResourceList[[#This Row],[Resource Name]])-1</f>
        <v>Resource Lists-5</v>
      </c>
      <c r="B7" s="63" t="s">
        <v>846</v>
      </c>
      <c r="C7" s="62" t="str">
        <f>ResourceList[[#This Row],[Resource Name]]&amp;"/"&amp;ResourceList[[#This Row],[Name]]</f>
        <v>PartnerTask/NewTaskList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60">
        <f>IFERROR(VLOOKUP(ResourceList[[#This Row],[Resource Name]],ResourceTable[[RName]:[No]],3,0),"resource")</f>
        <v>800507</v>
      </c>
      <c r="F7" s="65" t="s">
        <v>980</v>
      </c>
      <c r="G7" s="65" t="s">
        <v>981</v>
      </c>
      <c r="H7" s="65" t="s">
        <v>982</v>
      </c>
      <c r="I7" s="65" t="s">
        <v>21</v>
      </c>
      <c r="J7" s="65">
        <v>30</v>
      </c>
      <c r="K7" s="64">
        <f>ResourceList[No]</f>
        <v>802205</v>
      </c>
      <c r="M7" s="61" t="s">
        <v>1066</v>
      </c>
      <c r="N7" s="62">
        <f>VLOOKUP(ListExtras[[#This Row],[List Name]],ResourceList[[ListDisplayName]:[No]],2,0)</f>
        <v>802209</v>
      </c>
      <c r="O7" s="1" t="s">
        <v>996</v>
      </c>
      <c r="P7" s="1" t="s">
        <v>1061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802209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802209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1126</v>
      </c>
      <c r="AY7" s="65" t="s">
        <v>23</v>
      </c>
      <c r="AZ7" s="60">
        <f>IF(ListLayout[[#This Row],[List Name for Layout]]="","relation",IFERROR(VLOOKUP(ListLayout[[#This Row],[Relation]],RelationTable[[Display]:[RELID]],2,0),""))</f>
        <v>800813</v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 t="s">
        <v>1196</v>
      </c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846</v>
      </c>
      <c r="C8" s="6" t="str">
        <f>ResourceList[[#This Row],[Resource Name]]&amp;"/"&amp;ResourceList[[#This Row],[Name]]</f>
        <v>PartnerTask/DismissedTasks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800507</v>
      </c>
      <c r="F8" s="13" t="s">
        <v>890</v>
      </c>
      <c r="G8" s="13" t="s">
        <v>988</v>
      </c>
      <c r="H8" s="13" t="s">
        <v>989</v>
      </c>
      <c r="I8" s="65" t="s">
        <v>21</v>
      </c>
      <c r="J8" s="65">
        <v>30</v>
      </c>
      <c r="K8" s="3">
        <f>ResourceList[No]</f>
        <v>802206</v>
      </c>
      <c r="M8" s="61" t="s">
        <v>1066</v>
      </c>
      <c r="N8" s="62">
        <f>VLOOKUP(ListExtras[[#This Row],[List Name]],ResourceList[[ListDisplayName]:[No]],2,0)</f>
        <v>802209</v>
      </c>
      <c r="O8" s="63" t="s">
        <v>1055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802209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802209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961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1</v>
      </c>
      <c r="AY8" s="65" t="s">
        <v>23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846</v>
      </c>
      <c r="C9" s="6" t="str">
        <f>ResourceList[[#This Row],[Resource Name]]&amp;"/"&amp;ResourceList[[#This Row],[Name]]</f>
        <v>PartnerTask/ReturnedTasks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800507</v>
      </c>
      <c r="F9" s="13" t="s">
        <v>891</v>
      </c>
      <c r="G9" s="13" t="s">
        <v>990</v>
      </c>
      <c r="H9" s="13" t="s">
        <v>991</v>
      </c>
      <c r="I9" s="65" t="s">
        <v>21</v>
      </c>
      <c r="J9" s="65">
        <v>30</v>
      </c>
      <c r="K9" s="3">
        <f>ResourceList[No]</f>
        <v>802207</v>
      </c>
      <c r="M9" s="61" t="s">
        <v>1093</v>
      </c>
      <c r="N9" s="62">
        <f>VLOOKUP(ListExtras[[#This Row],[List Name]],ResourceList[[ListDisplayName]:[No]],2,0)</f>
        <v>802210</v>
      </c>
      <c r="O9" s="63"/>
      <c r="P9" s="63" t="s">
        <v>1061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802210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802210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61" t="s">
        <v>1156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60">
        <f>IFERROR(VLOOKUP(ListSearch[[#This Row],[List Name for Search]],ResourceList[[ListDisplayName]:[No]],2,0),"resource_list")</f>
        <v>802204</v>
      </c>
      <c r="AJ9" s="65" t="s">
        <v>23</v>
      </c>
      <c r="AK9" s="60">
        <f>IF(ListSearch[[#This Row],[List Name for Search]]="","relation",IFERROR(VLOOKUP(ListSearch[[#This Row],[Relation]],RelationTable[[Display]:[RELID]],2,0),""))</f>
        <v>800814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5" t="s">
        <v>1148</v>
      </c>
      <c r="AP9" s="65"/>
      <c r="AQ9" s="65"/>
      <c r="AR9" s="65"/>
      <c r="AT9" s="60" t="str">
        <f>'Table Seed Map'!$A$27&amp;"-"&amp;COUNTA($AV$1:ListLayout[[#This Row],[No]])-2</f>
        <v>List Layout-7</v>
      </c>
      <c r="AU9" s="61" t="s">
        <v>961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60">
        <f>IFERROR(VLOOKUP(ListLayout[[#This Row],[List Name for Layout]],ResourceList[[ListDisplayName]:[No]],2,0),"resource_list")</f>
        <v>802203</v>
      </c>
      <c r="AX9" s="60" t="s">
        <v>901</v>
      </c>
      <c r="AY9" s="65" t="s">
        <v>809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5"/>
      <c r="BD9" s="65"/>
      <c r="BE9" s="65"/>
    </row>
    <row r="10" spans="1:57" x14ac:dyDescent="0.25">
      <c r="A10" s="6" t="str">
        <f>'Table Seed Map'!$A$24&amp;"-"&amp;COUNTA($B$1:ResourceList[[#This Row],[Resource Name]])-1</f>
        <v>Resource Lists-8</v>
      </c>
      <c r="B10" s="1" t="s">
        <v>846</v>
      </c>
      <c r="C10" s="6" t="str">
        <f>ResourceList[[#This Row],[Resource Name]]&amp;"/"&amp;ResourceList[[#This Row],[Name]]</f>
        <v>PartnerTask/CompletedTasks</v>
      </c>
      <c r="D10" s="15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15">
        <f>IFERROR(VLOOKUP(ResourceList[[#This Row],[Resource Name]],ResourceTable[[RName]:[No]],3,0),"resource")</f>
        <v>800507</v>
      </c>
      <c r="F10" s="13" t="s">
        <v>889</v>
      </c>
      <c r="G10" s="13" t="s">
        <v>992</v>
      </c>
      <c r="H10" s="13" t="s">
        <v>993</v>
      </c>
      <c r="I10" s="65" t="s">
        <v>21</v>
      </c>
      <c r="J10" s="65">
        <v>30</v>
      </c>
      <c r="K10" s="3">
        <f>ResourceList[No]</f>
        <v>802208</v>
      </c>
      <c r="M10" s="61" t="s">
        <v>1100</v>
      </c>
      <c r="N10" s="62">
        <f>VLOOKUP(ListExtras[[#This Row],[List Name]],ResourceList[[ListDisplayName]:[No]],2,0)</f>
        <v>802211</v>
      </c>
      <c r="O10" s="63"/>
      <c r="P10" s="63" t="s">
        <v>987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802211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802211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61" t="s">
        <v>1156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60">
        <f>IFERROR(VLOOKUP(ListSearch[[#This Row],[List Name for Search]],ResourceList[[ListDisplayName]:[No]],2,0),"resource_list")</f>
        <v>802204</v>
      </c>
      <c r="AJ10" s="65" t="s">
        <v>809</v>
      </c>
      <c r="AK10" s="60">
        <f>IF(ListSearch[[#This Row],[List Name for Search]]="","relation",IFERROR(VLOOKUP(ListSearch[[#This Row],[Relation]],RelationTable[[Display]:[RELID]],2,0),""))</f>
        <v>800814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5" t="s">
        <v>1148</v>
      </c>
      <c r="AP10" s="65"/>
      <c r="AQ10" s="65"/>
      <c r="AR10" s="65"/>
      <c r="AT10" s="60" t="str">
        <f>'Table Seed Map'!$A$27&amp;"-"&amp;COUNTA($AV$1:ListLayout[[#This Row],[No]])-2</f>
        <v>List Layout-8</v>
      </c>
      <c r="AU10" s="61" t="s">
        <v>1156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60">
        <f>IFERROR(VLOOKUP(ListLayout[[#This Row],[List Name for Layout]],ResourceList[[ListDisplayName]:[No]],2,0),"resource_list")</f>
        <v>802204</v>
      </c>
      <c r="AX10" s="60" t="s">
        <v>1</v>
      </c>
      <c r="AY10" s="65" t="s">
        <v>23</v>
      </c>
      <c r="AZ10" s="60">
        <f>IF(ListLayout[[#This Row],[List Name for Layout]]="","relation",IFERROR(VLOOKUP(ListLayout[[#This Row],[Relation]],RelationTable[[Display]:[RELID]],2,0),""))</f>
        <v>800814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5" t="s">
        <v>1148</v>
      </c>
      <c r="BD10" s="65"/>
      <c r="BE10" s="65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846</v>
      </c>
      <c r="C11" s="62" t="str">
        <f>ResourceList[[#This Row],[Resource Name]]&amp;"/"&amp;ResourceList[[#This Row],[Name]]</f>
        <v>PartnerTask/RecentlyCompletedTasks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800507</v>
      </c>
      <c r="F11" s="65" t="s">
        <v>1062</v>
      </c>
      <c r="G11" s="65" t="s">
        <v>1063</v>
      </c>
      <c r="H11" s="65" t="s">
        <v>1069</v>
      </c>
      <c r="I11" s="65" t="s">
        <v>1018</v>
      </c>
      <c r="J11" s="65">
        <v>15</v>
      </c>
      <c r="K11" s="64">
        <f>ResourceList[No]</f>
        <v>802209</v>
      </c>
      <c r="M11" s="61" t="s">
        <v>983</v>
      </c>
      <c r="N11" s="62">
        <f>VLOOKUP(ListExtras[[#This Row],[List Name]],ResourceList[[ListDisplayName]:[No]],2,0)</f>
        <v>802205</v>
      </c>
      <c r="O11" s="63"/>
      <c r="P11" s="1" t="s">
        <v>1148</v>
      </c>
      <c r="Q11" s="63"/>
      <c r="R11" s="63"/>
      <c r="S11" s="63"/>
      <c r="T11" s="62" t="str">
        <f>'Table Seed Map'!$A$25&amp;"-"&amp;COUNT($W$1:ListExtras[[#This Row],[Scope ID]])</f>
        <v>List Scopes-6</v>
      </c>
      <c r="U11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0">
        <f>IF(ListExtras[[#This Row],[LID]]=0,"resource_list",ListExtras[[#This Row],[LID]])</f>
        <v>802205</v>
      </c>
      <c r="W11" s="60" t="str">
        <f>IFERROR(VLOOKUP(ListExtras[[#This Row],[Scope Name]],ResourceScopes[[ScopesDisplayNames]:[No]],2,0),IF(ListExtras[[#This Row],[LID]]=0,"scope",""))</f>
        <v/>
      </c>
      <c r="X11" s="62" t="str">
        <f>'Table Seed Map'!$A$26&amp;"-"&amp;COUNT($AA$1:ListExtras[[#This Row],[Relation]])</f>
        <v>List Relation-8</v>
      </c>
      <c r="Y1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802408</v>
      </c>
      <c r="Z11" s="60">
        <f>IF(ListExtras[[#This Row],[LID]]=0,"resource_list",ListExtras[[#This Row],[LID]])</f>
        <v>802205</v>
      </c>
      <c r="AA11" s="60">
        <f>IFERROR(VLOOKUP(ListExtras[[#This Row],[Relation Name]],RelationTable[[Display]:[RELID]],2,0),IF(ListExtras[[#This Row],[LID]]=0,"relation",""))</f>
        <v>800814</v>
      </c>
      <c r="AB11" s="60" t="str">
        <f>IFERROR(VLOOKUP(ListExtras[[#This Row],[R1 Name]],RelationTable[[Display]:[RELID]],2,0),IF(ListExtras[[#This Row],[LID]]=0,"nest_relation1",""))</f>
        <v/>
      </c>
      <c r="AC11" s="60" t="str">
        <f>IFERROR(VLOOKUP(ListExtras[[#This Row],[R2 Name]],RelationTable[[Display]:[RELID]],2,0),IF(ListExtras[[#This Row],[LID]]=0,"nest_relation2",""))</f>
        <v/>
      </c>
      <c r="AD11" s="60" t="str">
        <f>IFERROR(VLOOKUP(ListExtras[[#This Row],[R3 Name]],RelationTable[[Display]:[RELID]],2,0),IF(ListExtras[[#This Row],[LID]]=0,"nest_relation3",""))</f>
        <v/>
      </c>
      <c r="AF11" s="15" t="str">
        <f>'Table Seed Map'!$A$28&amp;"-"&amp;COUNTA($AH$1:ListSearch[[#This Row],[No]])-2</f>
        <v>List Search-9</v>
      </c>
      <c r="AG11" s="2" t="s">
        <v>983</v>
      </c>
      <c r="AH11" s="15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15">
        <f>IFERROR(VLOOKUP(ListSearch[[#This Row],[List Name for Search]],ResourceList[[ListDisplayName]:[No]],2,0),"resource_list")</f>
        <v>802205</v>
      </c>
      <c r="AJ11" s="13" t="s">
        <v>23</v>
      </c>
      <c r="AK11" s="15">
        <f>IF(ListSearch[[#This Row],[List Name for Search]]="","relation",IFERROR(VLOOKUP(ListSearch[[#This Row],[Relation]],RelationTable[[Display]:[RELID]],2,0),""))</f>
        <v>800809</v>
      </c>
      <c r="AL11" s="15" t="str">
        <f>IF(ListSearch[[#This Row],[List Name for Search]]="","nest_relation1",IFERROR(VLOOKUP(ListSearch[[#This Row],[Relation 1]],RelationTable[[Display]:[RELID]],2,0),""))</f>
        <v/>
      </c>
      <c r="AM11" s="15" t="str">
        <f>IF(ListSearch[[#This Row],[List Name for Search]]="","nest_relation2",IFERROR(VLOOKUP(ListSearch[[#This Row],[Relation 2]],RelationTable[[Display]:[RELID]],2,0),""))</f>
        <v/>
      </c>
      <c r="AN11" s="15" t="str">
        <f>IF(ListSearch[[#This Row],[List Name for Search]]="","nest_relation3",IFERROR(VLOOKUP(ListSearch[[#This Row],[Relation 3]],RelationTable[[Display]:[RELID]],2,0),""))</f>
        <v/>
      </c>
      <c r="AO11" s="13" t="s">
        <v>987</v>
      </c>
      <c r="AP11" s="13"/>
      <c r="AQ11" s="13"/>
      <c r="AR11" s="13"/>
      <c r="AT11" s="60" t="str">
        <f>'Table Seed Map'!$A$27&amp;"-"&amp;COUNTA($AV$1:ListLayout[[#This Row],[No]])-2</f>
        <v>List Layout-9</v>
      </c>
      <c r="AU11" s="2" t="s">
        <v>983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60">
        <f>IFERROR(VLOOKUP(ListLayout[[#This Row],[List Name for Layout]],ResourceList[[ListDisplayName]:[No]],2,0),"resource_list")</f>
        <v>802205</v>
      </c>
      <c r="AX11" s="60" t="s">
        <v>1126</v>
      </c>
      <c r="AY11" s="65" t="s">
        <v>23</v>
      </c>
      <c r="AZ11" s="60">
        <f>IF(ListLayout[[#This Row],[List Name for Layout]]="","relation",IFERROR(VLOOKUP(ListLayout[[#This Row],[Relation]],RelationTable[[Display]:[RELID]],2,0),""))</f>
        <v>800814</v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13" t="s">
        <v>1148</v>
      </c>
      <c r="BD11" s="65"/>
      <c r="BE11" s="65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846</v>
      </c>
      <c r="C12" s="62" t="str">
        <f>ResourceList[[#This Row],[Resource Name]]&amp;"/"&amp;ResourceList[[#This Row],[Name]]</f>
        <v>PartnerTask/TaskPartnerProgress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800507</v>
      </c>
      <c r="F12" s="65" t="s">
        <v>1088</v>
      </c>
      <c r="G12" s="65" t="s">
        <v>1091</v>
      </c>
      <c r="H12" s="65" t="s">
        <v>1092</v>
      </c>
      <c r="I12" s="65" t="s">
        <v>1077</v>
      </c>
      <c r="J12" s="65">
        <v>30</v>
      </c>
      <c r="K12" s="64">
        <f>ResourceList[No]</f>
        <v>802210</v>
      </c>
      <c r="M12" s="61" t="s">
        <v>996</v>
      </c>
      <c r="N12" s="62">
        <f>VLOOKUP(ListExtras[[#This Row],[List Name]],ResourceList[[ListDisplayName]:[No]],2,0)</f>
        <v>802208</v>
      </c>
      <c r="O12" s="63"/>
      <c r="P12" s="1" t="s">
        <v>1148</v>
      </c>
      <c r="Q12" s="63"/>
      <c r="R12" s="63"/>
      <c r="S12" s="63"/>
      <c r="T12" s="62" t="str">
        <f>'Table Seed Map'!$A$25&amp;"-"&amp;COUNT($W$1:ListExtras[[#This Row],[Scope ID]])</f>
        <v>List Scopes-6</v>
      </c>
      <c r="U1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0">
        <f>IF(ListExtras[[#This Row],[LID]]=0,"resource_list",ListExtras[[#This Row],[LID]])</f>
        <v>802208</v>
      </c>
      <c r="W12" s="60" t="str">
        <f>IFERROR(VLOOKUP(ListExtras[[#This Row],[Scope Name]],ResourceScopes[[ScopesDisplayNames]:[No]],2,0),IF(ListExtras[[#This Row],[LID]]=0,"scope",""))</f>
        <v/>
      </c>
      <c r="X12" s="62" t="str">
        <f>'Table Seed Map'!$A$26&amp;"-"&amp;COUNT($AA$1:ListExtras[[#This Row],[Relation]])</f>
        <v>List Relation-9</v>
      </c>
      <c r="Y1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802409</v>
      </c>
      <c r="Z12" s="60">
        <f>IF(ListExtras[[#This Row],[LID]]=0,"resource_list",ListExtras[[#This Row],[LID]])</f>
        <v>802208</v>
      </c>
      <c r="AA12" s="60">
        <f>IFERROR(VLOOKUP(ListExtras[[#This Row],[Relation Name]],RelationTable[[Display]:[RELID]],2,0),IF(ListExtras[[#This Row],[LID]]=0,"relation",""))</f>
        <v>800814</v>
      </c>
      <c r="AB12" s="60" t="str">
        <f>IFERROR(VLOOKUP(ListExtras[[#This Row],[R1 Name]],RelationTable[[Display]:[RELID]],2,0),IF(ListExtras[[#This Row],[LID]]=0,"nest_relation1",""))</f>
        <v/>
      </c>
      <c r="AC12" s="60" t="str">
        <f>IFERROR(VLOOKUP(ListExtras[[#This Row],[R2 Name]],RelationTable[[Display]:[RELID]],2,0),IF(ListExtras[[#This Row],[LID]]=0,"nest_relation2",""))</f>
        <v/>
      </c>
      <c r="AD12" s="60" t="str">
        <f>IFERROR(VLOOKUP(ListExtras[[#This Row],[R3 Name]],RelationTable[[Display]:[RELID]],2,0),IF(ListExtras[[#This Row],[LID]]=0,"nest_relation3",""))</f>
        <v/>
      </c>
      <c r="AF12" s="15" t="str">
        <f>'Table Seed Map'!$A$28&amp;"-"&amp;COUNTA($AH$1:ListSearch[[#This Row],[No]])-2</f>
        <v>List Search-10</v>
      </c>
      <c r="AG12" s="2" t="s">
        <v>983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24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987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983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802205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987</v>
      </c>
      <c r="BD12" s="13"/>
      <c r="BE12" s="13"/>
    </row>
    <row r="13" spans="1:57" x14ac:dyDescent="0.25">
      <c r="A13" s="62" t="str">
        <f>'Table Seed Map'!$A$24&amp;"-"&amp;COUNTA($B$1:ResourceList[[#This Row],[Resource Name]])-1</f>
        <v>Resource Lists-11</v>
      </c>
      <c r="B13" s="63" t="s">
        <v>846</v>
      </c>
      <c r="C13" s="62" t="str">
        <f>ResourceList[[#This Row],[Resource Name]]&amp;"/"&amp;ResourceList[[#This Row],[Name]]</f>
        <v>PartnerTask/PartnerTaskProgress</v>
      </c>
      <c r="D13" s="60">
        <f>IF(ResourceList[[#This Row],[Resource Name]]="","id",COUNTA($B$2:ResourceList[[#This Row],[Resource Name]])+IF(ISNUMBER(VLOOKUP('Table Seed Map'!$A$24,SeedMap[],9,0)),VLOOKUP('Table Seed Map'!$A$24,SeedMap[],9,0),0))</f>
        <v>802211</v>
      </c>
      <c r="E13" s="60">
        <f>IFERROR(VLOOKUP(ResourceList[[#This Row],[Resource Name]],ResourceTable[[RName]:[No]],3,0),"resource")</f>
        <v>800507</v>
      </c>
      <c r="F13" s="65" t="s">
        <v>1097</v>
      </c>
      <c r="G13" s="65" t="s">
        <v>1098</v>
      </c>
      <c r="H13" s="65" t="s">
        <v>1099</v>
      </c>
      <c r="I13" s="65" t="s">
        <v>1018</v>
      </c>
      <c r="J13" s="65">
        <v>30</v>
      </c>
      <c r="K13" s="64">
        <f>ResourceList[No]</f>
        <v>802211</v>
      </c>
      <c r="M13" s="61" t="s">
        <v>1100</v>
      </c>
      <c r="N13" s="62">
        <f>VLOOKUP(ListExtras[[#This Row],[List Name]],ResourceList[[ListDisplayName]:[No]],2,0)</f>
        <v>802211</v>
      </c>
      <c r="O13" s="63"/>
      <c r="P13" s="1" t="s">
        <v>1148</v>
      </c>
      <c r="Q13" s="63"/>
      <c r="R13" s="63"/>
      <c r="S13" s="63"/>
      <c r="T13" s="62" t="str">
        <f>'Table Seed Map'!$A$25&amp;"-"&amp;COUNT($W$1:ListExtras[[#This Row],[Scope ID]])</f>
        <v>List Scopes-6</v>
      </c>
      <c r="U1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0">
        <f>IF(ListExtras[[#This Row],[LID]]=0,"resource_list",ListExtras[[#This Row],[LID]])</f>
        <v>802211</v>
      </c>
      <c r="W13" s="60" t="str">
        <f>IFERROR(VLOOKUP(ListExtras[[#This Row],[Scope Name]],ResourceScopes[[ScopesDisplayNames]:[No]],2,0),IF(ListExtras[[#This Row],[LID]]=0,"scope",""))</f>
        <v/>
      </c>
      <c r="X13" s="62" t="str">
        <f>'Table Seed Map'!$A$26&amp;"-"&amp;COUNT($AA$1:ListExtras[[#This Row],[Relation]])</f>
        <v>List Relation-10</v>
      </c>
      <c r="Y1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802410</v>
      </c>
      <c r="Z13" s="60">
        <f>IF(ListExtras[[#This Row],[LID]]=0,"resource_list",ListExtras[[#This Row],[LID]])</f>
        <v>802211</v>
      </c>
      <c r="AA13" s="60">
        <f>IFERROR(VLOOKUP(ListExtras[[#This Row],[Relation Name]],RelationTable[[Display]:[RELID]],2,0),IF(ListExtras[[#This Row],[LID]]=0,"relation",""))</f>
        <v>800814</v>
      </c>
      <c r="AB13" s="60" t="str">
        <f>IFERROR(VLOOKUP(ListExtras[[#This Row],[R1 Name]],RelationTable[[Display]:[RELID]],2,0),IF(ListExtras[[#This Row],[LID]]=0,"nest_relation1",""))</f>
        <v/>
      </c>
      <c r="AC13" s="60" t="str">
        <f>IFERROR(VLOOKUP(ListExtras[[#This Row],[R2 Name]],RelationTable[[Display]:[RELID]],2,0),IF(ListExtras[[#This Row],[LID]]=0,"nest_relation2",""))</f>
        <v/>
      </c>
      <c r="AD13" s="6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2" t="s">
        <v>983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60">
        <f>IFERROR(VLOOKUP(ListSearch[[#This Row],[List Name for Search]],ResourceList[[ListDisplayName]:[No]],2,0),"resource_list")</f>
        <v>802205</v>
      </c>
      <c r="AJ13" s="13" t="s">
        <v>1111</v>
      </c>
      <c r="AK13" s="60" t="str">
        <f>IF(ListSearch[[#This Row],[List Name for Search]]="","relation",IFERROR(VLOOKUP(ListSearch[[#This Row],[Relation]],RelationTable[[Display]:[RELID]],2,0),""))</f>
        <v/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5"/>
      <c r="AP13" s="65"/>
      <c r="AQ13" s="65"/>
      <c r="AR13" s="65"/>
      <c r="AT13" s="15" t="str">
        <f>'Table Seed Map'!$A$27&amp;"-"&amp;COUNTA($AV$1:ListLayout[[#This Row],[No]])-2</f>
        <v>List Layout-11</v>
      </c>
      <c r="AU13" s="2" t="s">
        <v>994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</v>
      </c>
      <c r="AY13" s="13" t="s">
        <v>23</v>
      </c>
      <c r="AZ13" s="15">
        <f>IF(ListLayout[[#This Row],[List Name for Layout]]="","relation",IFERROR(VLOOKUP(ListLayout[[#This Row],[Relation]],RelationTable[[Display]:[RELID]],2,0),""))</f>
        <v>800809</v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 t="s">
        <v>987</v>
      </c>
      <c r="BD13" s="13"/>
      <c r="BE13" s="13"/>
    </row>
    <row r="14" spans="1:57" x14ac:dyDescent="0.25">
      <c r="A14" s="62" t="str">
        <f>'Table Seed Map'!$A$24&amp;"-"&amp;COUNTA($B$1:ResourceList[[#This Row],[Resource Name]])-1</f>
        <v>Resource Lists-12</v>
      </c>
      <c r="B14" s="63" t="s">
        <v>1126</v>
      </c>
      <c r="C14" s="62" t="str">
        <f>ResourceList[[#This Row],[Resource Name]]&amp;"/"&amp;ResourceList[[#This Row],[Name]]</f>
        <v>Category/CategoryList</v>
      </c>
      <c r="D14" s="60">
        <f>IF(ResourceList[[#This Row],[Resource Name]]="","id",COUNTA($B$2:ResourceList[[#This Row],[Resource Name]])+IF(ISNUMBER(VLOOKUP('Table Seed Map'!$A$24,SeedMap[],9,0)),VLOOKUP('Table Seed Map'!$A$24,SeedMap[],9,0),0))</f>
        <v>802212</v>
      </c>
      <c r="E14" s="60">
        <f>IFERROR(VLOOKUP(ResourceList[[#This Row],[Resource Name]],ResourceTable[[RName]:[No]],3,0),"resource")</f>
        <v>800503</v>
      </c>
      <c r="F14" s="65" t="s">
        <v>1145</v>
      </c>
      <c r="G14" s="65" t="s">
        <v>1146</v>
      </c>
      <c r="H14" s="65" t="s">
        <v>1128</v>
      </c>
      <c r="I14" s="65" t="s">
        <v>23</v>
      </c>
      <c r="J14" s="65">
        <v>30</v>
      </c>
      <c r="K14" s="64">
        <f>ResourceList[No]</f>
        <v>802212</v>
      </c>
      <c r="M14" s="61" t="s">
        <v>1162</v>
      </c>
      <c r="N14" s="62">
        <f>VLOOKUP(ListExtras[[#This Row],[List Name]],ResourceList[[ListDisplayName]:[No]],2,0)</f>
        <v>802213</v>
      </c>
      <c r="O14" s="63" t="s">
        <v>1185</v>
      </c>
      <c r="P14" s="63"/>
      <c r="Q14" s="63"/>
      <c r="R14" s="63"/>
      <c r="S14" s="63"/>
      <c r="T14" s="62" t="str">
        <f>'Table Seed Map'!$A$25&amp;"-"&amp;COUNT($W$1:ListExtras[[#This Row],[Scope ID]])</f>
        <v>List Scopes-7</v>
      </c>
      <c r="U1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802307</v>
      </c>
      <c r="V14" s="60">
        <f>IF(ListExtras[[#This Row],[LID]]=0,"resource_list",ListExtras[[#This Row],[LID]])</f>
        <v>802213</v>
      </c>
      <c r="W14" s="60">
        <f>IFERROR(VLOOKUP(ListExtras[[#This Row],[Scope Name]],ResourceScopes[[ScopesDisplayNames]:[No]],2,0),IF(ListExtras[[#This Row],[LID]]=0,"scope",""))</f>
        <v>800707</v>
      </c>
      <c r="X14" s="62" t="str">
        <f>'Table Seed Map'!$A$26&amp;"-"&amp;COUNT($AA$1:ListExtras[[#This Row],[Relation]])</f>
        <v>List Relation-10</v>
      </c>
      <c r="Y1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60">
        <f>IF(ListExtras[[#This Row],[LID]]=0,"resource_list",ListExtras[[#This Row],[LID]])</f>
        <v>802213</v>
      </c>
      <c r="AA14" s="60" t="str">
        <f>IFERROR(VLOOKUP(ListExtras[[#This Row],[Relation Name]],RelationTable[[Display]:[RELID]],2,0),IF(ListExtras[[#This Row],[LID]]=0,"relation",""))</f>
        <v/>
      </c>
      <c r="AB14" s="60" t="str">
        <f>IFERROR(VLOOKUP(ListExtras[[#This Row],[R1 Name]],RelationTable[[Display]:[RELID]],2,0),IF(ListExtras[[#This Row],[LID]]=0,"nest_relation1",""))</f>
        <v/>
      </c>
      <c r="AC14" s="60" t="str">
        <f>IFERROR(VLOOKUP(ListExtras[[#This Row],[R2 Name]],RelationTable[[Display]:[RELID]],2,0),IF(ListExtras[[#This Row],[LID]]=0,"nest_relation2",""))</f>
        <v/>
      </c>
      <c r="AD14" s="60" t="str">
        <f>IFERROR(VLOOKUP(ListExtras[[#This Row],[R3 Name]],RelationTable[[Display]:[RELID]],2,0),IF(ListExtras[[#This Row],[LID]]=0,"nest_relation3",""))</f>
        <v/>
      </c>
      <c r="AF14" s="15" t="str">
        <f>'Table Seed Map'!$A$28&amp;"-"&amp;COUNTA($AH$1:ListSearch[[#This Row],[No]])-2</f>
        <v>List Search-12</v>
      </c>
      <c r="AG14" s="2" t="s">
        <v>994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15">
        <f>IFERROR(VLOOKUP(ListSearch[[#This Row],[List Name for Search]],ResourceList[[ListDisplayName]:[No]],2,0),"resource_list")</f>
        <v>802206</v>
      </c>
      <c r="AJ14" s="13" t="s">
        <v>23</v>
      </c>
      <c r="AK14" s="15">
        <f>IF(ListSearch[[#This Row],[List Name for Search]]="","relation",IFERROR(VLOOKUP(ListSearch[[#This Row],[Relation]],RelationTable[[Display]:[RELID]],2,0),""))</f>
        <v>800809</v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 t="s">
        <v>987</v>
      </c>
      <c r="AP14" s="13"/>
      <c r="AQ14" s="13"/>
      <c r="AR14" s="13"/>
      <c r="AT14" s="15" t="str">
        <f>'Table Seed Map'!$A$27&amp;"-"&amp;COUNTA($AV$1:ListLayout[[#This Row],[No]])-2</f>
        <v>List Layout-12</v>
      </c>
      <c r="AU14" s="2" t="s">
        <v>994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802206</v>
      </c>
      <c r="AX14" s="15" t="s">
        <v>1112</v>
      </c>
      <c r="AY14" s="13" t="s">
        <v>1111</v>
      </c>
      <c r="AZ14" s="15" t="str">
        <f>IF(ListLayout[[#This Row],[List Name for Layout]]="","relation",IFERROR(VLOOKUP(ListLayout[[#This Row],[Relation]],RelationTable[[Display]:[RELID]],2,0),""))</f>
        <v/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/>
      <c r="BD14" s="13"/>
      <c r="BE14" s="13"/>
    </row>
    <row r="15" spans="1:57" x14ac:dyDescent="0.25">
      <c r="A15" s="62" t="str">
        <f>'Table Seed Map'!$A$24&amp;"-"&amp;COUNTA($B$1:ResourceList[[#This Row],[Resource Name]])-1</f>
        <v>Resource Lists-13</v>
      </c>
      <c r="B15" s="63" t="s">
        <v>1137</v>
      </c>
      <c r="C15" s="62" t="str">
        <f>ResourceList[[#This Row],[Resource Name]]&amp;"/"&amp;ResourceList[[#This Row],[Name]]</f>
        <v>CategoryTask/CategoryTaskList</v>
      </c>
      <c r="D15" s="60">
        <f>IF(ResourceList[[#This Row],[Resource Name]]="","id",COUNTA($B$2:ResourceList[[#This Row],[Resource Name]])+IF(ISNUMBER(VLOOKUP('Table Seed Map'!$A$24,SeedMap[],9,0)),VLOOKUP('Table Seed Map'!$A$24,SeedMap[],9,0),0))</f>
        <v>802213</v>
      </c>
      <c r="E15" s="60">
        <f>IFERROR(VLOOKUP(ResourceList[[#This Row],[Resource Name]],ResourceTable[[RName]:[No]],3,0),"resource")</f>
        <v>800504</v>
      </c>
      <c r="F15" s="65" t="s">
        <v>1161</v>
      </c>
      <c r="G15" s="65" t="s">
        <v>1146</v>
      </c>
      <c r="H15" s="65" t="s">
        <v>1128</v>
      </c>
      <c r="I15" s="65" t="s">
        <v>23</v>
      </c>
      <c r="J15" s="65">
        <v>20</v>
      </c>
      <c r="K15" s="64">
        <f>ResourceList[No]</f>
        <v>802213</v>
      </c>
      <c r="M15" s="61" t="s">
        <v>1093</v>
      </c>
      <c r="N15" s="62">
        <f>VLOOKUP(ListExtras[[#This Row],[List Name]],ResourceList[[ListDisplayName]:[No]],2,0)</f>
        <v>802210</v>
      </c>
      <c r="O15" s="63"/>
      <c r="P15" s="63" t="s">
        <v>1148</v>
      </c>
      <c r="Q15" s="63"/>
      <c r="R15" s="63"/>
      <c r="S15" s="63"/>
      <c r="T15" s="62" t="str">
        <f>'Table Seed Map'!$A$25&amp;"-"&amp;COUNT($W$1:ListExtras[[#This Row],[Scope ID]])</f>
        <v>List Scopes-7</v>
      </c>
      <c r="U15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0">
        <f>IF(ListExtras[[#This Row],[LID]]=0,"resource_list",ListExtras[[#This Row],[LID]])</f>
        <v>802210</v>
      </c>
      <c r="W15" s="60" t="str">
        <f>IFERROR(VLOOKUP(ListExtras[[#This Row],[Scope Name]],ResourceScopes[[ScopesDisplayNames]:[No]],2,0),IF(ListExtras[[#This Row],[LID]]=0,"scope",""))</f>
        <v/>
      </c>
      <c r="X15" s="62" t="str">
        <f>'Table Seed Map'!$A$26&amp;"-"&amp;COUNT($AA$1:ListExtras[[#This Row],[Relation]])</f>
        <v>List Relation-11</v>
      </c>
      <c r="Y15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802411</v>
      </c>
      <c r="Z15" s="60">
        <f>IF(ListExtras[[#This Row],[LID]]=0,"resource_list",ListExtras[[#This Row],[LID]])</f>
        <v>802210</v>
      </c>
      <c r="AA15" s="60">
        <f>IFERROR(VLOOKUP(ListExtras[[#This Row],[Relation Name]],RelationTable[[Display]:[RELID]],2,0),IF(ListExtras[[#This Row],[LID]]=0,"relation",""))</f>
        <v>800814</v>
      </c>
      <c r="AB15" s="60" t="str">
        <f>IFERROR(VLOOKUP(ListExtras[[#This Row],[R1 Name]],RelationTable[[Display]:[RELID]],2,0),IF(ListExtras[[#This Row],[LID]]=0,"nest_relation1",""))</f>
        <v/>
      </c>
      <c r="AC15" s="60" t="str">
        <f>IFERROR(VLOOKUP(ListExtras[[#This Row],[R2 Name]],RelationTable[[Display]:[RELID]],2,0),IF(ListExtras[[#This Row],[LID]]=0,"nest_relation2",""))</f>
        <v/>
      </c>
      <c r="AD15" s="60" t="str">
        <f>IFERROR(VLOOKUP(ListExtras[[#This Row],[R3 Name]],RelationTable[[Display]:[RELID]],2,0),IF(ListExtras[[#This Row],[LID]]=0,"nest_relation3",""))</f>
        <v/>
      </c>
      <c r="AF15" s="15" t="str">
        <f>'Table Seed Map'!$A$28&amp;"-"&amp;COUNTA($AH$1:ListSearch[[#This Row],[No]])-2</f>
        <v>List Search-13</v>
      </c>
      <c r="AG15" s="2" t="s">
        <v>994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24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987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995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</v>
      </c>
      <c r="AY15" s="13" t="s">
        <v>23</v>
      </c>
      <c r="AZ15" s="15">
        <f>IF(ListLayout[[#This Row],[List Name for Layout]]="","relation",IFERROR(VLOOKUP(ListLayout[[#This Row],[Relation]],RelationTable[[Display]:[RELID]],2,0),""))</f>
        <v>800809</v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 t="s">
        <v>987</v>
      </c>
      <c r="BD15" s="13"/>
      <c r="BE15" s="13"/>
    </row>
    <row r="16" spans="1:57" x14ac:dyDescent="0.25">
      <c r="A16" s="6" t="str">
        <f>'Table Seed Map'!$A$24&amp;"-"&amp;COUNTA($B$1:ResourceList[[#This Row],[Resource Name]])-1</f>
        <v>Resource Lists-14</v>
      </c>
      <c r="B16" s="1" t="s">
        <v>1226</v>
      </c>
      <c r="C16" s="6" t="str">
        <f>ResourceList[[#This Row],[Resource Name]]&amp;"/"&amp;ResourceList[[#This Row],[Name]]</f>
        <v>Profile/ProfileList</v>
      </c>
      <c r="D16" s="15">
        <f>IF(ResourceList[[#This Row],[Resource Name]]="","id",COUNTA($B$2:ResourceList[[#This Row],[Resource Name]])+IF(ISNUMBER(VLOOKUP('Table Seed Map'!$A$24,SeedMap[],9,0)),VLOOKUP('Table Seed Map'!$A$24,SeedMap[],9,0),0))</f>
        <v>802214</v>
      </c>
      <c r="E16" s="15">
        <f>IFERROR(VLOOKUP(ResourceList[[#This Row],[Resource Name]],ResourceTable[[RName]:[No]],3,0),"resource")</f>
        <v>800508</v>
      </c>
      <c r="F16" s="13" t="s">
        <v>1228</v>
      </c>
      <c r="G16" s="13" t="s">
        <v>1229</v>
      </c>
      <c r="H16" s="13" t="s">
        <v>1226</v>
      </c>
      <c r="I16" s="13" t="s">
        <v>23</v>
      </c>
      <c r="J16" s="13">
        <v>10</v>
      </c>
      <c r="K16" s="3">
        <f>ResourceList[No]</f>
        <v>802214</v>
      </c>
      <c r="M16" s="61" t="s">
        <v>961</v>
      </c>
      <c r="N16" s="62">
        <f>VLOOKUP(ListExtras[[#This Row],[List Name]],ResourceList[[ListDisplayName]:[No]],2,0)</f>
        <v>802203</v>
      </c>
      <c r="O16" s="63"/>
      <c r="P16" s="63" t="s">
        <v>1196</v>
      </c>
      <c r="Q16" s="63"/>
      <c r="R16" s="63"/>
      <c r="S16" s="63"/>
      <c r="T16" s="62" t="str">
        <f>'Table Seed Map'!$A$25&amp;"-"&amp;COUNT($W$1:ListExtras[[#This Row],[Scope ID]])</f>
        <v>List Scopes-7</v>
      </c>
      <c r="U1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0">
        <f>IF(ListExtras[[#This Row],[LID]]=0,"resource_list",ListExtras[[#This Row],[LID]])</f>
        <v>802203</v>
      </c>
      <c r="W16" s="60" t="str">
        <f>IFERROR(VLOOKUP(ListExtras[[#This Row],[Scope Name]],ResourceScopes[[ScopesDisplayNames]:[No]],2,0),IF(ListExtras[[#This Row],[LID]]=0,"scope",""))</f>
        <v/>
      </c>
      <c r="X16" s="62" t="str">
        <f>'Table Seed Map'!$A$26&amp;"-"&amp;COUNT($AA$1:ListExtras[[#This Row],[Relation]])</f>
        <v>List Relation-12</v>
      </c>
      <c r="Y16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802412</v>
      </c>
      <c r="Z16" s="60">
        <f>IF(ListExtras[[#This Row],[LID]]=0,"resource_list",ListExtras[[#This Row],[LID]])</f>
        <v>802203</v>
      </c>
      <c r="AA16" s="60">
        <f>IFERROR(VLOOKUP(ListExtras[[#This Row],[Relation Name]],RelationTable[[Display]:[RELID]],2,0),IF(ListExtras[[#This Row],[LID]]=0,"relation",""))</f>
        <v>800813</v>
      </c>
      <c r="AB16" s="60" t="str">
        <f>IFERROR(VLOOKUP(ListExtras[[#This Row],[R1 Name]],RelationTable[[Display]:[RELID]],2,0),IF(ListExtras[[#This Row],[LID]]=0,"nest_relation1",""))</f>
        <v/>
      </c>
      <c r="AC16" s="60" t="str">
        <f>IFERROR(VLOOKUP(ListExtras[[#This Row],[R2 Name]],RelationTable[[Display]:[RELID]],2,0),IF(ListExtras[[#This Row],[LID]]=0,"nest_relation2",""))</f>
        <v/>
      </c>
      <c r="AD16" s="60" t="str">
        <f>IFERROR(VLOOKUP(ListExtras[[#This Row],[R3 Name]],RelationTable[[Display]:[RELID]],2,0),IF(ListExtras[[#This Row],[LID]]=0,"nest_relation3",""))</f>
        <v/>
      </c>
      <c r="AF16" s="60" t="str">
        <f>'Table Seed Map'!$A$28&amp;"-"&amp;COUNTA($AH$1:ListSearch[[#This Row],[No]])-2</f>
        <v>List Search-14</v>
      </c>
      <c r="AG16" s="2" t="s">
        <v>994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60">
        <f>IFERROR(VLOOKUP(ListSearch[[#This Row],[List Name for Search]],ResourceList[[ListDisplayName]:[No]],2,0),"resource_list")</f>
        <v>802206</v>
      </c>
      <c r="AJ16" s="13" t="s">
        <v>1111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5"/>
      <c r="AP16" s="65"/>
      <c r="AQ16" s="65"/>
      <c r="AR16" s="65"/>
      <c r="AT16" s="15" t="str">
        <f>'Table Seed Map'!$A$27&amp;"-"&amp;COUNTA($AV$1:ListLayout[[#This Row],[No]])-2</f>
        <v>List Layout-14</v>
      </c>
      <c r="AU16" s="2" t="s">
        <v>995</v>
      </c>
      <c r="AV16" s="15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15">
        <f>IFERROR(VLOOKUP(ListLayout[[#This Row],[List Name for Layout]],ResourceList[[ListDisplayName]:[No]],2,0),"resource_list")</f>
        <v>802207</v>
      </c>
      <c r="AX16" s="15" t="s">
        <v>1112</v>
      </c>
      <c r="AY16" s="13" t="s">
        <v>1111</v>
      </c>
      <c r="AZ16" s="15" t="str">
        <f>IF(ListLayout[[#This Row],[List Name for Layout]]="","relation",IFERROR(VLOOKUP(ListLayout[[#This Row],[Relation]],RelationTable[[Display]:[RELID]],2,0),""))</f>
        <v/>
      </c>
      <c r="BA16" s="15" t="str">
        <f>IF(ListLayout[[#This Row],[List Name for Layout]]="","nest_relation1",IFERROR(VLOOKUP(ListLayout[[#This Row],[Relation 1]],RelationTable[[Display]:[RELID]],2,0),""))</f>
        <v/>
      </c>
      <c r="BB16" s="15" t="str">
        <f>IF(ListLayout[[#This Row],[List Name for Layout]]="","nest_relation2",IFERROR(VLOOKUP(ListLayout[[#This Row],[Relation 2]],RelationTable[[Display]:[RELID]],2,0),""))</f>
        <v/>
      </c>
      <c r="BC16" s="13"/>
      <c r="BD16" s="13"/>
      <c r="BE16" s="13"/>
    </row>
    <row r="17" spans="1:57" x14ac:dyDescent="0.25">
      <c r="A17" s="62" t="str">
        <f>'Table Seed Map'!$A$24&amp;"-"&amp;COUNTA($B$1:ResourceList[[#This Row],[Resource Name]])-1</f>
        <v>Resource Lists-15</v>
      </c>
      <c r="B17" s="63" t="s">
        <v>846</v>
      </c>
      <c r="C17" s="62" t="str">
        <f>ResourceList[[#This Row],[Resource Name]]&amp;"/"&amp;ResourceList[[#This Row],[Name]]</f>
        <v>PartnerTask/RecentlyUpdatedTasks24</v>
      </c>
      <c r="D17" s="60">
        <f>IF(ResourceList[[#This Row],[Resource Name]]="","id",COUNTA($B$2:ResourceList[[#This Row],[Resource Name]])+IF(ISNUMBER(VLOOKUP('Table Seed Map'!$A$24,SeedMap[],9,0)),VLOOKUP('Table Seed Map'!$A$24,SeedMap[],9,0),0))</f>
        <v>802215</v>
      </c>
      <c r="E17" s="60">
        <f>IFERROR(VLOOKUP(ResourceList[[#This Row],[Resource Name]],ResourceTable[[RName]:[No]],3,0),"resource")</f>
        <v>800507</v>
      </c>
      <c r="F17" s="65" t="s">
        <v>1268</v>
      </c>
      <c r="G17" s="65" t="s">
        <v>1266</v>
      </c>
      <c r="H17" s="65" t="s">
        <v>850</v>
      </c>
      <c r="I17" s="65" t="s">
        <v>21</v>
      </c>
      <c r="J17" s="65">
        <v>30</v>
      </c>
      <c r="K17" s="64">
        <f>ResourceList[No]</f>
        <v>802215</v>
      </c>
      <c r="M17" s="61" t="s">
        <v>1271</v>
      </c>
      <c r="N17" s="62">
        <f>VLOOKUP(ListExtras[[#This Row],[List Name]],ResourceList[[ListDisplayName]:[No]],2,0)</f>
        <v>802215</v>
      </c>
      <c r="O17" s="63" t="s">
        <v>1055</v>
      </c>
      <c r="P17" s="63" t="s">
        <v>1061</v>
      </c>
      <c r="Q17" s="63"/>
      <c r="R17" s="63"/>
      <c r="S17" s="63"/>
      <c r="T17" s="62" t="str">
        <f>'Table Seed Map'!$A$25&amp;"-"&amp;COUNT($W$1:ListExtras[[#This Row],[Scope ID]])</f>
        <v>List Scopes-8</v>
      </c>
      <c r="U1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802308</v>
      </c>
      <c r="V17" s="60">
        <f>IF(ListExtras[[#This Row],[LID]]=0,"resource_list",ListExtras[[#This Row],[LID]])</f>
        <v>802215</v>
      </c>
      <c r="W17" s="60">
        <f>IFERROR(VLOOKUP(ListExtras[[#This Row],[Scope Name]],ResourceScopes[[ScopesDisplayNames]:[No]],2,0),IF(ListExtras[[#This Row],[LID]]=0,"scope",""))</f>
        <v>800705</v>
      </c>
      <c r="X17" s="62" t="str">
        <f>'Table Seed Map'!$A$26&amp;"-"&amp;COUNT($AA$1:ListExtras[[#This Row],[Relation]])</f>
        <v>List Relation-13</v>
      </c>
      <c r="Y1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802413</v>
      </c>
      <c r="Z17" s="60">
        <f>IF(ListExtras[[#This Row],[LID]]=0,"resource_list",ListExtras[[#This Row],[LID]])</f>
        <v>802215</v>
      </c>
      <c r="AA17" s="60">
        <f>IFERROR(VLOOKUP(ListExtras[[#This Row],[Relation Name]],RelationTable[[Display]:[RELID]],2,0),IF(ListExtras[[#This Row],[LID]]=0,"relation",""))</f>
        <v>800810</v>
      </c>
      <c r="AB17" s="60" t="str">
        <f>IFERROR(VLOOKUP(ListExtras[[#This Row],[R1 Name]],RelationTable[[Display]:[RELID]],2,0),IF(ListExtras[[#This Row],[LID]]=0,"nest_relation1",""))</f>
        <v/>
      </c>
      <c r="AC17" s="60" t="str">
        <f>IFERROR(VLOOKUP(ListExtras[[#This Row],[R2 Name]],RelationTable[[Display]:[RELID]],2,0),IF(ListExtras[[#This Row],[LID]]=0,"nest_relation2",""))</f>
        <v/>
      </c>
      <c r="AD17" s="60" t="str">
        <f>IFERROR(VLOOKUP(ListExtras[[#This Row],[R3 Name]],RelationTable[[Display]:[RELID]],2,0),IF(ListExtras[[#This Row],[LID]]=0,"nest_relation3",""))</f>
        <v/>
      </c>
      <c r="AF17" s="15" t="str">
        <f>'Table Seed Map'!$A$28&amp;"-"&amp;COUNTA($AH$1:ListSearch[[#This Row],[No]])-2</f>
        <v>List Search-15</v>
      </c>
      <c r="AG17" s="2" t="s">
        <v>995</v>
      </c>
      <c r="AH17" s="15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15">
        <f>IFERROR(VLOOKUP(ListSearch[[#This Row],[List Name for Search]],ResourceList[[ListDisplayName]:[No]],2,0),"resource_list")</f>
        <v>802207</v>
      </c>
      <c r="AJ17" s="13" t="s">
        <v>23</v>
      </c>
      <c r="AK17" s="15">
        <f>IF(ListSearch[[#This Row],[List Name for Search]]="","relation",IFERROR(VLOOKUP(ListSearch[[#This Row],[Relation]],RelationTable[[Display]:[RELID]],2,0),""))</f>
        <v>800809</v>
      </c>
      <c r="AL17" s="15" t="str">
        <f>IF(ListSearch[[#This Row],[List Name for Search]]="","nest_relation1",IFERROR(VLOOKUP(ListSearch[[#This Row],[Relation 1]],RelationTable[[Display]:[RELID]],2,0),""))</f>
        <v/>
      </c>
      <c r="AM17" s="15" t="str">
        <f>IF(ListSearch[[#This Row],[List Name for Search]]="","nest_relation2",IFERROR(VLOOKUP(ListSearch[[#This Row],[Relation 2]],RelationTable[[Display]:[RELID]],2,0),""))</f>
        <v/>
      </c>
      <c r="AN17" s="15" t="str">
        <f>IF(ListSearch[[#This Row],[List Name for Search]]="","nest_relation3",IFERROR(VLOOKUP(ListSearch[[#This Row],[Relation 3]],RelationTable[[Display]:[RELID]],2,0),""))</f>
        <v/>
      </c>
      <c r="AO17" s="13" t="s">
        <v>987</v>
      </c>
      <c r="AP17" s="13"/>
      <c r="AQ17" s="13"/>
      <c r="AR17" s="13"/>
      <c r="AT17" s="60" t="str">
        <f>'Table Seed Map'!$A$27&amp;"-"&amp;COUNTA($AV$1:ListLayout[[#This Row],[No]])-2</f>
        <v>List Layout-15</v>
      </c>
      <c r="AU17" s="2" t="s">
        <v>996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1126</v>
      </c>
      <c r="AY17" s="65" t="s">
        <v>23</v>
      </c>
      <c r="AZ17" s="60">
        <f>IF(ListLayout[[#This Row],[List Name for Layout]]="","relation",IFERROR(VLOOKUP(ListLayout[[#This Row],[Relation]],RelationTable[[Display]:[RELID]],2,0),""))</f>
        <v>800814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13" t="s">
        <v>1148</v>
      </c>
      <c r="BD17" s="65"/>
      <c r="BE17" s="65"/>
    </row>
    <row r="18" spans="1:57" x14ac:dyDescent="0.25">
      <c r="A18" s="62" t="str">
        <f>'Table Seed Map'!$A$24&amp;"-"&amp;COUNTA($B$1:ResourceList[[#This Row],[Resource Name]])-1</f>
        <v>Resource Lists-16</v>
      </c>
      <c r="B18" s="63" t="s">
        <v>846</v>
      </c>
      <c r="C18" s="62" t="str">
        <f>ResourceList[[#This Row],[Resource Name]]&amp;"/"&amp;ResourceList[[#This Row],[Name]]</f>
        <v>PartnerTask/RecentlyUpdatedTasks48</v>
      </c>
      <c r="D18" s="60">
        <f>IF(ResourceList[[#This Row],[Resource Name]]="","id",COUNTA($B$2:ResourceList[[#This Row],[Resource Name]])+IF(ISNUMBER(VLOOKUP('Table Seed Map'!$A$24,SeedMap[],9,0)),VLOOKUP('Table Seed Map'!$A$24,SeedMap[],9,0),0))</f>
        <v>802216</v>
      </c>
      <c r="E18" s="60">
        <f>IFERROR(VLOOKUP(ResourceList[[#This Row],[Resource Name]],ResourceTable[[RName]:[No]],3,0),"resource")</f>
        <v>800507</v>
      </c>
      <c r="F18" s="65" t="s">
        <v>1267</v>
      </c>
      <c r="G18" s="65" t="s">
        <v>1269</v>
      </c>
      <c r="H18" s="65" t="s">
        <v>850</v>
      </c>
      <c r="I18" s="65" t="s">
        <v>21</v>
      </c>
      <c r="J18" s="65">
        <v>30</v>
      </c>
      <c r="K18" s="64">
        <f>ResourceList[No]</f>
        <v>802216</v>
      </c>
      <c r="M18" s="61" t="s">
        <v>1271</v>
      </c>
      <c r="N18" s="62">
        <f>VLOOKUP(ListExtras[[#This Row],[List Name]],ResourceList[[ListDisplayName]:[No]],2,0)</f>
        <v>802215</v>
      </c>
      <c r="O18" s="63" t="s">
        <v>1265</v>
      </c>
      <c r="P18" s="63" t="s">
        <v>987</v>
      </c>
      <c r="Q18" s="63"/>
      <c r="R18" s="63"/>
      <c r="S18" s="63"/>
      <c r="T18" s="62" t="str">
        <f>'Table Seed Map'!$A$25&amp;"-"&amp;COUNT($W$1:ListExtras[[#This Row],[Scope ID]])</f>
        <v>List Scopes-9</v>
      </c>
      <c r="U1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802309</v>
      </c>
      <c r="V18" s="60">
        <f>IF(ListExtras[[#This Row],[LID]]=0,"resource_list",ListExtras[[#This Row],[LID]])</f>
        <v>802215</v>
      </c>
      <c r="W18" s="60">
        <f>IFERROR(VLOOKUP(ListExtras[[#This Row],[Scope Name]],ResourceScopes[[ScopesDisplayNames]:[No]],2,0),IF(ListExtras[[#This Row],[LID]]=0,"scope",""))</f>
        <v>800708</v>
      </c>
      <c r="X18" s="62" t="str">
        <f>'Table Seed Map'!$A$26&amp;"-"&amp;COUNT($AA$1:ListExtras[[#This Row],[Relation]])</f>
        <v>List Relation-14</v>
      </c>
      <c r="Y18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802414</v>
      </c>
      <c r="Z18" s="60">
        <f>IF(ListExtras[[#This Row],[LID]]=0,"resource_list",ListExtras[[#This Row],[LID]])</f>
        <v>802215</v>
      </c>
      <c r="AA18" s="60">
        <f>IFERROR(VLOOKUP(ListExtras[[#This Row],[Relation Name]],RelationTable[[Display]:[RELID]],2,0),IF(ListExtras[[#This Row],[LID]]=0,"relation",""))</f>
        <v>800809</v>
      </c>
      <c r="AB18" s="60" t="str">
        <f>IFERROR(VLOOKUP(ListExtras[[#This Row],[R1 Name]],RelationTable[[Display]:[RELID]],2,0),IF(ListExtras[[#This Row],[LID]]=0,"nest_relation1",""))</f>
        <v/>
      </c>
      <c r="AC18" s="60" t="str">
        <f>IFERROR(VLOOKUP(ListExtras[[#This Row],[R2 Name]],RelationTable[[Display]:[RELID]],2,0),IF(ListExtras[[#This Row],[LID]]=0,"nest_relation2",""))</f>
        <v/>
      </c>
      <c r="AD18" s="60" t="str">
        <f>IFERROR(VLOOKUP(ListExtras[[#This Row],[R3 Name]],RelationTable[[Display]:[RELID]],2,0),IF(ListExtras[[#This Row],[LID]]=0,"nest_relation3",""))</f>
        <v/>
      </c>
      <c r="AF18" s="15" t="str">
        <f>'Table Seed Map'!$A$28&amp;"-"&amp;COUNTA($AH$1:ListSearch[[#This Row],[No]])-2</f>
        <v>List Search-16</v>
      </c>
      <c r="AG18" s="2" t="s">
        <v>995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24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987</v>
      </c>
      <c r="AP18" s="13"/>
      <c r="AQ18" s="13"/>
      <c r="AR18" s="13"/>
      <c r="AT18" s="15" t="str">
        <f>'Table Seed Map'!$A$27&amp;"-"&amp;COUNTA($AV$1:ListLayout[[#This Row],[No]])-2</f>
        <v>List Layout-16</v>
      </c>
      <c r="AU18" s="2" t="s">
        <v>996</v>
      </c>
      <c r="AV18" s="15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15">
        <f>IFERROR(VLOOKUP(ListLayout[[#This Row],[List Name for Layout]],ResourceList[[ListDisplayName]:[No]],2,0),"resource_list")</f>
        <v>802208</v>
      </c>
      <c r="AX18" s="15" t="s">
        <v>1</v>
      </c>
      <c r="AY18" s="13" t="s">
        <v>23</v>
      </c>
      <c r="AZ18" s="15">
        <f>IF(ListLayout[[#This Row],[List Name for Layout]]="","relation",IFERROR(VLOOKUP(ListLayout[[#This Row],[Relation]],RelationTable[[Display]:[RELID]],2,0),""))</f>
        <v>800809</v>
      </c>
      <c r="BA18" s="15" t="str">
        <f>IF(ListLayout[[#This Row],[List Name for Layout]]="","nest_relation1",IFERROR(VLOOKUP(ListLayout[[#This Row],[Relation 1]],RelationTable[[Display]:[RELID]],2,0),""))</f>
        <v/>
      </c>
      <c r="BB18" s="15" t="str">
        <f>IF(ListLayout[[#This Row],[List Name for Layout]]="","nest_relation2",IFERROR(VLOOKUP(ListLayout[[#This Row],[Relation 2]],RelationTable[[Display]:[RELID]],2,0),""))</f>
        <v/>
      </c>
      <c r="BC18" s="13" t="s">
        <v>987</v>
      </c>
      <c r="BD18" s="13"/>
      <c r="BE18" s="13"/>
    </row>
    <row r="19" spans="1:57" x14ac:dyDescent="0.25">
      <c r="M19" s="61" t="s">
        <v>1271</v>
      </c>
      <c r="N19" s="62">
        <f>VLOOKUP(ListExtras[[#This Row],[List Name]],ResourceList[[ListDisplayName]:[No]],2,0)</f>
        <v>802215</v>
      </c>
      <c r="O19" s="63"/>
      <c r="P19" s="63" t="s">
        <v>1148</v>
      </c>
      <c r="Q19" s="63"/>
      <c r="R19" s="63"/>
      <c r="S19" s="63"/>
      <c r="T19" s="62" t="str">
        <f>'Table Seed Map'!$A$25&amp;"-"&amp;COUNT($W$1:ListExtras[[#This Row],[Scope ID]])</f>
        <v>List Scopes-9</v>
      </c>
      <c r="U1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0">
        <f>IF(ListExtras[[#This Row],[LID]]=0,"resource_list",ListExtras[[#This Row],[LID]])</f>
        <v>802215</v>
      </c>
      <c r="W19" s="60" t="str">
        <f>IFERROR(VLOOKUP(ListExtras[[#This Row],[Scope Name]],ResourceScopes[[ScopesDisplayNames]:[No]],2,0),IF(ListExtras[[#This Row],[LID]]=0,"scope",""))</f>
        <v/>
      </c>
      <c r="X19" s="62" t="str">
        <f>'Table Seed Map'!$A$26&amp;"-"&amp;COUNT($AA$1:ListExtras[[#This Row],[Relation]])</f>
        <v>List Relation-15</v>
      </c>
      <c r="Y1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802415</v>
      </c>
      <c r="Z19" s="60">
        <f>IF(ListExtras[[#This Row],[LID]]=0,"resource_list",ListExtras[[#This Row],[LID]])</f>
        <v>802215</v>
      </c>
      <c r="AA19" s="60">
        <f>IFERROR(VLOOKUP(ListExtras[[#This Row],[Relation Name]],RelationTable[[Display]:[RELID]],2,0),IF(ListExtras[[#This Row],[LID]]=0,"relation",""))</f>
        <v>800814</v>
      </c>
      <c r="AB19" s="60" t="str">
        <f>IFERROR(VLOOKUP(ListExtras[[#This Row],[R1 Name]],RelationTable[[Display]:[RELID]],2,0),IF(ListExtras[[#This Row],[LID]]=0,"nest_relation1",""))</f>
        <v/>
      </c>
      <c r="AC19" s="60" t="str">
        <f>IFERROR(VLOOKUP(ListExtras[[#This Row],[R2 Name]],RelationTable[[Display]:[RELID]],2,0),IF(ListExtras[[#This Row],[LID]]=0,"nest_relation2",""))</f>
        <v/>
      </c>
      <c r="AD19" s="60" t="str">
        <f>IFERROR(VLOOKUP(ListExtras[[#This Row],[R3 Name]],RelationTable[[Display]:[RELID]],2,0),IF(ListExtras[[#This Row],[LID]]=0,"nest_relation3",""))</f>
        <v/>
      </c>
      <c r="AF19" s="60" t="str">
        <f>'Table Seed Map'!$A$28&amp;"-"&amp;COUNTA($AH$1:ListSearch[[#This Row],[No]])-2</f>
        <v>List Search-17</v>
      </c>
      <c r="AG19" s="2" t="s">
        <v>995</v>
      </c>
      <c r="AH19" s="60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60">
        <f>IFERROR(VLOOKUP(ListSearch[[#This Row],[List Name for Search]],ResourceList[[ListDisplayName]:[No]],2,0),"resource_list")</f>
        <v>802207</v>
      </c>
      <c r="AJ19" s="65" t="s">
        <v>1111</v>
      </c>
      <c r="AK19" s="60" t="str">
        <f>IF(ListSearch[[#This Row],[List Name for Search]]="","relation",IFERROR(VLOOKUP(ListSearch[[#This Row],[Relation]],RelationTable[[Display]:[RELID]],2,0),""))</f>
        <v/>
      </c>
      <c r="AL19" s="60" t="str">
        <f>IF(ListSearch[[#This Row],[List Name for Search]]="","nest_relation1",IFERROR(VLOOKUP(ListSearch[[#This Row],[Relation 1]],RelationTable[[Display]:[RELID]],2,0),""))</f>
        <v/>
      </c>
      <c r="AM19" s="60" t="str">
        <f>IF(ListSearch[[#This Row],[List Name for Search]]="","nest_relation2",IFERROR(VLOOKUP(ListSearch[[#This Row],[Relation 2]],RelationTable[[Display]:[RELID]],2,0),""))</f>
        <v/>
      </c>
      <c r="AN19" s="60" t="str">
        <f>IF(ListSearch[[#This Row],[List Name for Search]]="","nest_relation3",IFERROR(VLOOKUP(ListSearch[[#This Row],[Relation 3]],RelationTable[[Display]:[RELID]],2,0),""))</f>
        <v/>
      </c>
      <c r="AO19" s="65"/>
      <c r="AP19" s="65"/>
      <c r="AQ19" s="65"/>
      <c r="AR19" s="65"/>
      <c r="AT19" s="15" t="str">
        <f>'Table Seed Map'!$A$27&amp;"-"&amp;COUNTA($AV$1:ListLayout[[#This Row],[No]])-2</f>
        <v>List Layout-17</v>
      </c>
      <c r="AU19" s="2" t="s">
        <v>996</v>
      </c>
      <c r="AV19" s="15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15">
        <f>IFERROR(VLOOKUP(ListLayout[[#This Row],[List Name for Layout]],ResourceList[[ListDisplayName]:[No]],2,0),"resource_list")</f>
        <v>802208</v>
      </c>
      <c r="AX19" s="15" t="s">
        <v>1112</v>
      </c>
      <c r="AY19" s="13" t="s">
        <v>1111</v>
      </c>
      <c r="AZ19" s="15" t="str">
        <f>IF(ListLayout[[#This Row],[List Name for Layout]]="","relation",IFERROR(VLOOKUP(ListLayout[[#This Row],[Relation]],RelationTable[[Display]:[RELID]],2,0),""))</f>
        <v/>
      </c>
      <c r="BA19" s="15" t="str">
        <f>IF(ListLayout[[#This Row],[List Name for Layout]]="","nest_relation1",IFERROR(VLOOKUP(ListLayout[[#This Row],[Relation 1]],RelationTable[[Display]:[RELID]],2,0),""))</f>
        <v/>
      </c>
      <c r="BB19" s="15" t="str">
        <f>IF(ListLayout[[#This Row],[List Name for Layout]]="","nest_relation2",IFERROR(VLOOKUP(ListLayout[[#This Row],[Relation 2]],RelationTable[[Display]:[RELID]],2,0),""))</f>
        <v/>
      </c>
      <c r="BC19" s="13"/>
      <c r="BD19" s="13"/>
      <c r="BE19" s="13"/>
    </row>
    <row r="20" spans="1:57" x14ac:dyDescent="0.25">
      <c r="M20" s="61" t="s">
        <v>1270</v>
      </c>
      <c r="N20" s="62">
        <f>VLOOKUP(ListExtras[[#This Row],[List Name]],ResourceList[[ListDisplayName]:[No]],2,0)</f>
        <v>802216</v>
      </c>
      <c r="O20" s="63" t="s">
        <v>1055</v>
      </c>
      <c r="P20" s="63" t="s">
        <v>1061</v>
      </c>
      <c r="Q20" s="63"/>
      <c r="R20" s="63"/>
      <c r="S20" s="63"/>
      <c r="T20" s="62" t="str">
        <f>'Table Seed Map'!$A$25&amp;"-"&amp;COUNT($W$1:ListExtras[[#This Row],[Scope ID]])</f>
        <v>List Scopes-10</v>
      </c>
      <c r="U20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802310</v>
      </c>
      <c r="V20" s="60">
        <f>IF(ListExtras[[#This Row],[LID]]=0,"resource_list",ListExtras[[#This Row],[LID]])</f>
        <v>802216</v>
      </c>
      <c r="W20" s="60">
        <f>IFERROR(VLOOKUP(ListExtras[[#This Row],[Scope Name]],ResourceScopes[[ScopesDisplayNames]:[No]],2,0),IF(ListExtras[[#This Row],[LID]]=0,"scope",""))</f>
        <v>800705</v>
      </c>
      <c r="X20" s="62" t="str">
        <f>'Table Seed Map'!$A$26&amp;"-"&amp;COUNT($AA$1:ListExtras[[#This Row],[Relation]])</f>
        <v>List Relation-16</v>
      </c>
      <c r="Y2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802416</v>
      </c>
      <c r="Z20" s="60">
        <f>IF(ListExtras[[#This Row],[LID]]=0,"resource_list",ListExtras[[#This Row],[LID]])</f>
        <v>802216</v>
      </c>
      <c r="AA20" s="60">
        <f>IFERROR(VLOOKUP(ListExtras[[#This Row],[Relation Name]],RelationTable[[Display]:[RELID]],2,0),IF(ListExtras[[#This Row],[LID]]=0,"relation",""))</f>
        <v>800810</v>
      </c>
      <c r="AB20" s="60" t="str">
        <f>IFERROR(VLOOKUP(ListExtras[[#This Row],[R1 Name]],RelationTable[[Display]:[RELID]],2,0),IF(ListExtras[[#This Row],[LID]]=0,"nest_relation1",""))</f>
        <v/>
      </c>
      <c r="AC20" s="60" t="str">
        <f>IFERROR(VLOOKUP(ListExtras[[#This Row],[R2 Name]],RelationTable[[Display]:[RELID]],2,0),IF(ListExtras[[#This Row],[LID]]=0,"nest_relation2",""))</f>
        <v/>
      </c>
      <c r="AD20" s="60" t="str">
        <f>IFERROR(VLOOKUP(ListExtras[[#This Row],[R3 Name]],RelationTable[[Display]:[RELID]],2,0),IF(ListExtras[[#This Row],[LID]]=0,"nest_relation3",""))</f>
        <v/>
      </c>
      <c r="AF20" s="15" t="str">
        <f>'Table Seed Map'!$A$28&amp;"-"&amp;COUNTA($AH$1:ListSearch[[#This Row],[No]])-2</f>
        <v>List Search-18</v>
      </c>
      <c r="AG20" s="2" t="s">
        <v>996</v>
      </c>
      <c r="AH20" s="15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15">
        <f>IFERROR(VLOOKUP(ListSearch[[#This Row],[List Name for Search]],ResourceList[[ListDisplayName]:[No]],2,0),"resource_list")</f>
        <v>802208</v>
      </c>
      <c r="AJ20" s="13" t="s">
        <v>23</v>
      </c>
      <c r="AK20" s="15">
        <f>IF(ListSearch[[#This Row],[List Name for Search]]="","relation",IFERROR(VLOOKUP(ListSearch[[#This Row],[Relation]],RelationTable[[Display]:[RELID]],2,0),""))</f>
        <v>800809</v>
      </c>
      <c r="AL20" s="15" t="str">
        <f>IF(ListSearch[[#This Row],[List Name for Search]]="","nest_relation1",IFERROR(VLOOKUP(ListSearch[[#This Row],[Relation 1]],RelationTable[[Display]:[RELID]],2,0),""))</f>
        <v/>
      </c>
      <c r="AM20" s="15" t="str">
        <f>IF(ListSearch[[#This Row],[List Name for Search]]="","nest_relation2",IFERROR(VLOOKUP(ListSearch[[#This Row],[Relation 2]],RelationTable[[Display]:[RELID]],2,0),""))</f>
        <v/>
      </c>
      <c r="AN20" s="15" t="str">
        <f>IF(ListSearch[[#This Row],[List Name for Search]]="","nest_relation3",IFERROR(VLOOKUP(ListSearch[[#This Row],[Relation 3]],RelationTable[[Display]:[RELID]],2,0),""))</f>
        <v/>
      </c>
      <c r="AO20" s="13" t="s">
        <v>987</v>
      </c>
      <c r="AP20" s="13"/>
      <c r="AQ20" s="13"/>
      <c r="AR20" s="13"/>
      <c r="AT20" s="60" t="str">
        <f>'Table Seed Map'!$A$27&amp;"-"&amp;COUNTA($AV$1:ListLayout[[#This Row],[No]])-2</f>
        <v>List Layout-18</v>
      </c>
      <c r="AU20" s="2" t="s">
        <v>1066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843</v>
      </c>
      <c r="AY20" s="65" t="s">
        <v>23</v>
      </c>
      <c r="AZ20" s="60">
        <f>IF(ListLayout[[#This Row],[List Name for Layout]]="","relation",IFERROR(VLOOKUP(ListLayout[[#This Row],[Relation]],RelationTable[[Display]:[RELID]],2,0),""))</f>
        <v>800810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 t="s">
        <v>1061</v>
      </c>
      <c r="BD20" s="65"/>
      <c r="BE20" s="65"/>
    </row>
    <row r="21" spans="1:57" x14ac:dyDescent="0.25">
      <c r="M21" s="61" t="s">
        <v>1270</v>
      </c>
      <c r="N21" s="62">
        <f>VLOOKUP(ListExtras[[#This Row],[List Name]],ResourceList[[ListDisplayName]:[No]],2,0)</f>
        <v>802216</v>
      </c>
      <c r="O21" s="63" t="s">
        <v>1272</v>
      </c>
      <c r="P21" s="63" t="s">
        <v>987</v>
      </c>
      <c r="Q21" s="63"/>
      <c r="R21" s="63"/>
      <c r="S21" s="63"/>
      <c r="T21" s="62" t="str">
        <f>'Table Seed Map'!$A$25&amp;"-"&amp;COUNT($W$1:ListExtras[[#This Row],[Scope ID]])</f>
        <v>List Scopes-11</v>
      </c>
      <c r="U21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802311</v>
      </c>
      <c r="V21" s="60">
        <f>IF(ListExtras[[#This Row],[LID]]=0,"resource_list",ListExtras[[#This Row],[LID]])</f>
        <v>802216</v>
      </c>
      <c r="W21" s="60">
        <f>IFERROR(VLOOKUP(ListExtras[[#This Row],[Scope Name]],ResourceScopes[[ScopesDisplayNames]:[No]],2,0),IF(ListExtras[[#This Row],[LID]]=0,"scope",""))</f>
        <v>800709</v>
      </c>
      <c r="X21" s="62" t="str">
        <f>'Table Seed Map'!$A$26&amp;"-"&amp;COUNT($AA$1:ListExtras[[#This Row],[Relation]])</f>
        <v>List Relation-17</v>
      </c>
      <c r="Y2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802417</v>
      </c>
      <c r="Z21" s="60">
        <f>IF(ListExtras[[#This Row],[LID]]=0,"resource_list",ListExtras[[#This Row],[LID]])</f>
        <v>802216</v>
      </c>
      <c r="AA21" s="60">
        <f>IFERROR(VLOOKUP(ListExtras[[#This Row],[Relation Name]],RelationTable[[Display]:[RELID]],2,0),IF(ListExtras[[#This Row],[LID]]=0,"relation",""))</f>
        <v>800809</v>
      </c>
      <c r="AB21" s="60" t="str">
        <f>IFERROR(VLOOKUP(ListExtras[[#This Row],[R1 Name]],RelationTable[[Display]:[RELID]],2,0),IF(ListExtras[[#This Row],[LID]]=0,"nest_relation1",""))</f>
        <v/>
      </c>
      <c r="AC21" s="60" t="str">
        <f>IFERROR(VLOOKUP(ListExtras[[#This Row],[R2 Name]],RelationTable[[Display]:[RELID]],2,0),IF(ListExtras[[#This Row],[LID]]=0,"nest_relation2",""))</f>
        <v/>
      </c>
      <c r="AD21" s="60" t="str">
        <f>IFERROR(VLOOKUP(ListExtras[[#This Row],[R3 Name]],RelationTable[[Display]:[RELID]],2,0),IF(ListExtras[[#This Row],[LID]]=0,"nest_relation3",""))</f>
        <v/>
      </c>
      <c r="AF21" s="15" t="str">
        <f>'Table Seed Map'!$A$28&amp;"-"&amp;COUNTA($AH$1:ListSearch[[#This Row],[No]])-2</f>
        <v>List Search-19</v>
      </c>
      <c r="AG21" s="2" t="s">
        <v>996</v>
      </c>
      <c r="AH21" s="15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15">
        <f>IFERROR(VLOOKUP(ListSearch[[#This Row],[List Name for Search]],ResourceList[[ListDisplayName]:[No]],2,0),"resource_list")</f>
        <v>802208</v>
      </c>
      <c r="AJ21" s="13" t="s">
        <v>24</v>
      </c>
      <c r="AK21" s="15">
        <f>IF(ListSearch[[#This Row],[List Name for Search]]="","relation",IFERROR(VLOOKUP(ListSearch[[#This Row],[Relation]],RelationTable[[Display]:[RELID]],2,0),""))</f>
        <v>800809</v>
      </c>
      <c r="AL21" s="15" t="str">
        <f>IF(ListSearch[[#This Row],[List Name for Search]]="","nest_relation1",IFERROR(VLOOKUP(ListSearch[[#This Row],[Relation 1]],RelationTable[[Display]:[RELID]],2,0),""))</f>
        <v/>
      </c>
      <c r="AM21" s="15" t="str">
        <f>IF(ListSearch[[#This Row],[List Name for Search]]="","nest_relation2",IFERROR(VLOOKUP(ListSearch[[#This Row],[Relation 2]],RelationTable[[Display]:[RELID]],2,0),""))</f>
        <v/>
      </c>
      <c r="AN21" s="15" t="str">
        <f>IF(ListSearch[[#This Row],[List Name for Search]]="","nest_relation3",IFERROR(VLOOKUP(ListSearch[[#This Row],[Relation 3]],RelationTable[[Display]:[RELID]],2,0),""))</f>
        <v/>
      </c>
      <c r="AO21" s="13" t="s">
        <v>987</v>
      </c>
      <c r="AP21" s="13"/>
      <c r="AQ21" s="13"/>
      <c r="AR21" s="13"/>
      <c r="AT21" s="60" t="str">
        <f>'Table Seed Map'!$A$27&amp;"-"&amp;COUNTA($AV$1:ListLayout[[#This Row],[No]])-2</f>
        <v>List Layout-19</v>
      </c>
      <c r="AU21" s="2" t="s">
        <v>1066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1064</v>
      </c>
      <c r="AY21" s="65" t="s">
        <v>1065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1:57" x14ac:dyDescent="0.25">
      <c r="M22" s="61" t="s">
        <v>1270</v>
      </c>
      <c r="N22" s="62">
        <f>VLOOKUP(ListExtras[[#This Row],[List Name]],ResourceList[[ListDisplayName]:[No]],2,0)</f>
        <v>802216</v>
      </c>
      <c r="O22" s="63"/>
      <c r="P22" s="63" t="s">
        <v>1148</v>
      </c>
      <c r="Q22" s="63"/>
      <c r="R22" s="63"/>
      <c r="S22" s="63"/>
      <c r="T22" s="62" t="str">
        <f>'Table Seed Map'!$A$25&amp;"-"&amp;COUNT($W$1:ListExtras[[#This Row],[Scope ID]])</f>
        <v>List Scopes-11</v>
      </c>
      <c r="U2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0">
        <f>IF(ListExtras[[#This Row],[LID]]=0,"resource_list",ListExtras[[#This Row],[LID]])</f>
        <v>802216</v>
      </c>
      <c r="W22" s="60" t="str">
        <f>IFERROR(VLOOKUP(ListExtras[[#This Row],[Scope Name]],ResourceScopes[[ScopesDisplayNames]:[No]],2,0),IF(ListExtras[[#This Row],[LID]]=0,"scope",""))</f>
        <v/>
      </c>
      <c r="X22" s="62" t="str">
        <f>'Table Seed Map'!$A$26&amp;"-"&amp;COUNT($AA$1:ListExtras[[#This Row],[Relation]])</f>
        <v>List Relation-18</v>
      </c>
      <c r="Y2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802418</v>
      </c>
      <c r="Z22" s="60">
        <f>IF(ListExtras[[#This Row],[LID]]=0,"resource_list",ListExtras[[#This Row],[LID]])</f>
        <v>802216</v>
      </c>
      <c r="AA22" s="60">
        <f>IFERROR(VLOOKUP(ListExtras[[#This Row],[Relation Name]],RelationTable[[Display]:[RELID]],2,0),IF(ListExtras[[#This Row],[LID]]=0,"relation",""))</f>
        <v>800814</v>
      </c>
      <c r="AB22" s="60" t="str">
        <f>IFERROR(VLOOKUP(ListExtras[[#This Row],[R1 Name]],RelationTable[[Display]:[RELID]],2,0),IF(ListExtras[[#This Row],[LID]]=0,"nest_relation1",""))</f>
        <v/>
      </c>
      <c r="AC22" s="60" t="str">
        <f>IFERROR(VLOOKUP(ListExtras[[#This Row],[R2 Name]],RelationTable[[Display]:[RELID]],2,0),IF(ListExtras[[#This Row],[LID]]=0,"nest_relation2",""))</f>
        <v/>
      </c>
      <c r="AD22" s="60" t="str">
        <f>IFERROR(VLOOKUP(ListExtras[[#This Row],[R3 Name]],RelationTable[[Display]:[RELID]],2,0),IF(ListExtras[[#This Row],[LID]]=0,"nest_relation3",""))</f>
        <v/>
      </c>
      <c r="AF22" s="60" t="str">
        <f>'Table Seed Map'!$A$28&amp;"-"&amp;COUNTA($AH$1:ListSearch[[#This Row],[No]])-2</f>
        <v>List Search-20</v>
      </c>
      <c r="AG22" s="2" t="s">
        <v>996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1111</v>
      </c>
      <c r="AK22" s="60" t="str">
        <f>IF(ListSearch[[#This Row],[List Name for Search]]="","relation",IFERROR(VLOOKUP(ListSearch[[#This Row],[Relation]],RelationTable[[Display]:[RELID]],2,0),""))</f>
        <v/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65"/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1093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1126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3" t="s">
        <v>1148</v>
      </c>
      <c r="BD22" s="65"/>
      <c r="BE22" s="65"/>
    </row>
    <row r="23" spans="1:57" x14ac:dyDescent="0.25">
      <c r="AF23" s="60" t="str">
        <f>'Table Seed Map'!$A$28&amp;"-"&amp;COUNTA($AH$1:ListSearch[[#This Row],[No]])-2</f>
        <v>List Search-21</v>
      </c>
      <c r="AG23" s="61" t="s">
        <v>1066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802209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800809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987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1093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843</v>
      </c>
      <c r="AY23" s="65" t="s">
        <v>23</v>
      </c>
      <c r="AZ23" s="60">
        <f>IF(ListLayout[[#This Row],[List Name for Layout]]="","relation",IFERROR(VLOOKUP(ListLayout[[#This Row],[Relation]],RelationTable[[Display]:[RELID]],2,0),""))</f>
        <v>800810</v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 t="s">
        <v>1061</v>
      </c>
      <c r="BD23" s="65"/>
      <c r="BE23" s="65"/>
    </row>
    <row r="24" spans="1:57" x14ac:dyDescent="0.25">
      <c r="AF24" s="60" t="str">
        <f>'Table Seed Map'!$A$28&amp;"-"&amp;COUNTA($AH$1:ListSearch[[#This Row],[No]])-2</f>
        <v>List Search-22</v>
      </c>
      <c r="AG24" s="61" t="s">
        <v>1066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802209</v>
      </c>
      <c r="AJ24" s="65" t="s">
        <v>24</v>
      </c>
      <c r="AK24" s="60">
        <f>IF(ListSearch[[#This Row],[List Name for Search]]="","relation",IFERROR(VLOOKUP(ListSearch[[#This Row],[Relation]],RelationTable[[Display]:[RELID]],2,0),""))</f>
        <v>800809</v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13" t="s">
        <v>987</v>
      </c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1093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901</v>
      </c>
      <c r="AY24" s="65" t="s">
        <v>823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1:57" x14ac:dyDescent="0.25">
      <c r="AF25" s="60" t="str">
        <f>'Table Seed Map'!$A$28&amp;"-"&amp;COUNTA($AH$1:ListSearch[[#This Row],[No]])-2</f>
        <v>List Search-23</v>
      </c>
      <c r="AG25" s="61" t="s">
        <v>1066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1061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1093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1064</v>
      </c>
      <c r="AY25" s="65" t="s">
        <v>1065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1:57" x14ac:dyDescent="0.25">
      <c r="AF26" s="60" t="str">
        <f>'Table Seed Map'!$A$28&amp;"-"&amp;COUNTA($AH$1:ListSearch[[#This Row],[No]])-2</f>
        <v>List Search-24</v>
      </c>
      <c r="AG26" s="61" t="s">
        <v>1066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1111</v>
      </c>
      <c r="AK26" s="60" t="str">
        <f>IF(ListSearch[[#This Row],[List Name for Search]]="","relation",IFERROR(VLOOKUP(ListSearch[[#This Row],[Relation]],RelationTable[[Display]:[RELID]],2,0),""))</f>
        <v/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65"/>
      <c r="AP26" s="65"/>
      <c r="AQ26" s="65"/>
      <c r="AR26" s="65"/>
      <c r="AT26" s="60" t="str">
        <f>'Table Seed Map'!$A$27&amp;"-"&amp;COUNTA($AV$1:ListLayout[[#This Row],[No]])-2</f>
        <v>List Layout-24</v>
      </c>
      <c r="AU26" s="61" t="s">
        <v>1093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802524</v>
      </c>
      <c r="AW26" s="60">
        <f>IFERROR(VLOOKUP(ListLayout[[#This Row],[List Name for Layout]],ResourceList[[ListDisplayName]:[No]],2,0),"resource_list")</f>
        <v>802210</v>
      </c>
      <c r="AX26" s="60" t="s">
        <v>1112</v>
      </c>
      <c r="AY26" s="65" t="s">
        <v>1111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5"/>
      <c r="BD26" s="65"/>
      <c r="BE26" s="65"/>
    </row>
    <row r="27" spans="1:57" x14ac:dyDescent="0.25">
      <c r="AF27" s="60" t="str">
        <f>'Table Seed Map'!$A$28&amp;"-"&amp;COUNTA($AH$1:ListSearch[[#This Row],[No]])-2</f>
        <v>List Search-25</v>
      </c>
      <c r="AG27" s="61" t="s">
        <v>1093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802210</v>
      </c>
      <c r="AJ27" s="65" t="s">
        <v>23</v>
      </c>
      <c r="AK27" s="60">
        <f>IF(ListSearch[[#This Row],[List Name for Search]]="","relation",IFERROR(VLOOKUP(ListSearch[[#This Row],[Relation]],RelationTable[[Display]:[RELID]],2,0),""))</f>
        <v>800810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1061</v>
      </c>
      <c r="AP27" s="65"/>
      <c r="AQ27" s="65"/>
      <c r="AR27" s="65"/>
      <c r="AT27" s="60" t="str">
        <f>'Table Seed Map'!$A$27&amp;"-"&amp;COUNTA($AV$1:ListLayout[[#This Row],[No]])-2</f>
        <v>List Layout-25</v>
      </c>
      <c r="AU27" s="61" t="s">
        <v>1100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802525</v>
      </c>
      <c r="AW27" s="60">
        <f>IFERROR(VLOOKUP(ListLayout[[#This Row],[List Name for Layout]],ResourceList[[ListDisplayName]:[No]],2,0),"resource_list")</f>
        <v>802211</v>
      </c>
      <c r="AX27" s="60" t="s">
        <v>1126</v>
      </c>
      <c r="AY27" s="65" t="s">
        <v>23</v>
      </c>
      <c r="AZ27" s="60">
        <f>IF(ListLayout[[#This Row],[List Name for Layout]]="","relation",IFERROR(VLOOKUP(ListLayout[[#This Row],[Relation]],RelationTable[[Display]:[RELID]],2,0),""))</f>
        <v>800814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5" t="s">
        <v>1148</v>
      </c>
      <c r="BD27" s="65"/>
      <c r="BE27" s="65"/>
    </row>
    <row r="28" spans="1:57" x14ac:dyDescent="0.25">
      <c r="AF28" s="60" t="str">
        <f>'Table Seed Map'!$A$28&amp;"-"&amp;COUNTA($AH$1:ListSearch[[#This Row],[No]])-2</f>
        <v>List Search-26</v>
      </c>
      <c r="AG28" s="61" t="s">
        <v>1093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802210</v>
      </c>
      <c r="AJ28" s="65" t="s">
        <v>23</v>
      </c>
      <c r="AK28" s="60">
        <f>IF(ListSearch[[#This Row],[List Name for Search]]="","relation",IFERROR(VLOOKUP(ListSearch[[#This Row],[Relation]],RelationTable[[Display]:[RELID]],2,0),""))</f>
        <v>800809</v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13" t="s">
        <v>987</v>
      </c>
      <c r="AP28" s="65"/>
      <c r="AQ28" s="65"/>
      <c r="AR28" s="65"/>
      <c r="AT28" s="60" t="str">
        <f>'Table Seed Map'!$A$27&amp;"-"&amp;COUNTA($AV$1:ListLayout[[#This Row],[No]])-2</f>
        <v>List Layout-26</v>
      </c>
      <c r="AU28" s="61" t="s">
        <v>1100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802526</v>
      </c>
      <c r="AW28" s="60">
        <f>IFERROR(VLOOKUP(ListLayout[[#This Row],[List Name for Layout]],ResourceList[[ListDisplayName]:[No]],2,0),"resource_list")</f>
        <v>802211</v>
      </c>
      <c r="AX28" s="60" t="s">
        <v>845</v>
      </c>
      <c r="AY28" s="65" t="s">
        <v>23</v>
      </c>
      <c r="AZ28" s="60">
        <f>IF(ListLayout[[#This Row],[List Name for Layout]]="","relation",IFERROR(VLOOKUP(ListLayout[[#This Row],[Relation]],RelationTable[[Display]:[RELID]],2,0),""))</f>
        <v>800809</v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5" t="s">
        <v>987</v>
      </c>
      <c r="BD28" s="65"/>
      <c r="BE28" s="65"/>
    </row>
    <row r="29" spans="1:57" x14ac:dyDescent="0.25">
      <c r="AF29" s="60" t="str">
        <f>'Table Seed Map'!$A$28&amp;"-"&amp;COUNTA($AH$1:ListSearch[[#This Row],[No]])-2</f>
        <v>List Search-27</v>
      </c>
      <c r="AG29" s="61" t="s">
        <v>1093</v>
      </c>
      <c r="AH29" s="60">
        <f>IF(ListSearch[[#This Row],[List Name for Search]]="","id",-1+COUNTA($AG$1:ListSearch[[#This Row],[List Name for Search]])+IF(ISNUMBER(VLOOKUP('Table Seed Map'!$A$28,SeedMap[],9,0)),VLOOKUP('Table Seed Map'!$A$28,SeedMap[],9,0),0))</f>
        <v>802627</v>
      </c>
      <c r="AI29" s="60">
        <f>IFERROR(VLOOKUP(ListSearch[[#This Row],[List Name for Search]],ResourceList[[ListDisplayName]:[No]],2,0),"resource_list")</f>
        <v>802210</v>
      </c>
      <c r="AJ29" s="65" t="s">
        <v>24</v>
      </c>
      <c r="AK29" s="60">
        <f>IF(ListSearch[[#This Row],[List Name for Search]]="","relation",IFERROR(VLOOKUP(ListSearch[[#This Row],[Relation]],RelationTable[[Display]:[RELID]],2,0),""))</f>
        <v>800809</v>
      </c>
      <c r="AL29" s="60" t="str">
        <f>IF(ListSearch[[#This Row],[List Name for Search]]="","nest_relation1",IFERROR(VLOOKUP(ListSearch[[#This Row],[Relation 1]],RelationTable[[Display]:[RELID]],2,0),""))</f>
        <v/>
      </c>
      <c r="AM29" s="60" t="str">
        <f>IF(ListSearch[[#This Row],[List Name for Search]]="","nest_relation2",IFERROR(VLOOKUP(ListSearch[[#This Row],[Relation 2]],RelationTable[[Display]:[RELID]],2,0),""))</f>
        <v/>
      </c>
      <c r="AN29" s="60" t="str">
        <f>IF(ListSearch[[#This Row],[List Name for Search]]="","nest_relation3",IFERROR(VLOOKUP(ListSearch[[#This Row],[Relation 3]],RelationTable[[Display]:[RELID]],2,0),""))</f>
        <v/>
      </c>
      <c r="AO29" s="13" t="s">
        <v>987</v>
      </c>
      <c r="AP29" s="65"/>
      <c r="AQ29" s="65"/>
      <c r="AR29" s="65"/>
      <c r="AT29" s="60" t="str">
        <f>'Table Seed Map'!$A$27&amp;"-"&amp;COUNTA($AV$1:ListLayout[[#This Row],[No]])-2</f>
        <v>List Layout-27</v>
      </c>
      <c r="AU29" s="61" t="s">
        <v>1100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802527</v>
      </c>
      <c r="AW29" s="60">
        <f>IFERROR(VLOOKUP(ListLayout[[#This Row],[List Name for Layout]],ResourceList[[ListDisplayName]:[No]],2,0),"resource_list")</f>
        <v>802211</v>
      </c>
      <c r="AX29" s="60" t="s">
        <v>901</v>
      </c>
      <c r="AY29" s="65" t="s">
        <v>823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5"/>
      <c r="BD29" s="65"/>
      <c r="BE29" s="65"/>
    </row>
    <row r="30" spans="1:57" x14ac:dyDescent="0.25">
      <c r="AF30" s="60" t="str">
        <f>'Table Seed Map'!$A$28&amp;"-"&amp;COUNTA($AH$1:ListSearch[[#This Row],[No]])-2</f>
        <v>List Search-28</v>
      </c>
      <c r="AG30" s="61" t="s">
        <v>1093</v>
      </c>
      <c r="AH30" s="60">
        <f>IF(ListSearch[[#This Row],[List Name for Search]]="","id",-1+COUNTA($AG$1:ListSearch[[#This Row],[List Name for Search]])+IF(ISNUMBER(VLOOKUP('Table Seed Map'!$A$28,SeedMap[],9,0)),VLOOKUP('Table Seed Map'!$A$28,SeedMap[],9,0),0))</f>
        <v>802628</v>
      </c>
      <c r="AI30" s="60">
        <f>IFERROR(VLOOKUP(ListSearch[[#This Row],[List Name for Search]],ResourceList[[ListDisplayName]:[No]],2,0),"resource_list")</f>
        <v>802210</v>
      </c>
      <c r="AJ30" s="65" t="s">
        <v>1111</v>
      </c>
      <c r="AK30" s="60" t="str">
        <f>IF(ListSearch[[#This Row],[List Name for Search]]="","relation",IFERROR(VLOOKUP(ListSearch[[#This Row],[Relation]],RelationTable[[Display]:[RELID]],2,0),""))</f>
        <v/>
      </c>
      <c r="AL30" s="60" t="str">
        <f>IF(ListSearch[[#This Row],[List Name for Search]]="","nest_relation1",IFERROR(VLOOKUP(ListSearch[[#This Row],[Relation 1]],RelationTable[[Display]:[RELID]],2,0),""))</f>
        <v/>
      </c>
      <c r="AM30" s="60" t="str">
        <f>IF(ListSearch[[#This Row],[List Name for Search]]="","nest_relation2",IFERROR(VLOOKUP(ListSearch[[#This Row],[Relation 2]],RelationTable[[Display]:[RELID]],2,0),""))</f>
        <v/>
      </c>
      <c r="AN30" s="60" t="str">
        <f>IF(ListSearch[[#This Row],[List Name for Search]]="","nest_relation3",IFERROR(VLOOKUP(ListSearch[[#This Row],[Relation 3]],RelationTable[[Display]:[RELID]],2,0),""))</f>
        <v/>
      </c>
      <c r="AO30" s="65"/>
      <c r="AP30" s="65"/>
      <c r="AQ30" s="65"/>
      <c r="AR30" s="65"/>
      <c r="AT30" s="60" t="str">
        <f>'Table Seed Map'!$A$27&amp;"-"&amp;COUNTA($AV$1:ListLayout[[#This Row],[No]])-2</f>
        <v>List Layout-28</v>
      </c>
      <c r="AU30" s="61" t="s">
        <v>1100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802528</v>
      </c>
      <c r="AW30" s="60">
        <f>IFERROR(VLOOKUP(ListLayout[[#This Row],[List Name for Layout]],ResourceList[[ListDisplayName]:[No]],2,0),"resource_list")</f>
        <v>802211</v>
      </c>
      <c r="AX30" s="60" t="s">
        <v>1064</v>
      </c>
      <c r="AY30" s="65" t="s">
        <v>1065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5"/>
      <c r="BD30" s="65"/>
      <c r="BE30" s="65"/>
    </row>
    <row r="31" spans="1:57" x14ac:dyDescent="0.25">
      <c r="AF31" s="60" t="str">
        <f>'Table Seed Map'!$A$28&amp;"-"&amp;COUNTA($AH$1:ListSearch[[#This Row],[No]])-2</f>
        <v>List Search-29</v>
      </c>
      <c r="AG31" s="61" t="s">
        <v>1147</v>
      </c>
      <c r="AH31" s="60">
        <f>IF(ListSearch[[#This Row],[List Name for Search]]="","id",-1+COUNTA($AG$1:ListSearch[[#This Row],[List Name for Search]])+IF(ISNUMBER(VLOOKUP('Table Seed Map'!$A$28,SeedMap[],9,0)),VLOOKUP('Table Seed Map'!$A$28,SeedMap[],9,0),0))</f>
        <v>802629</v>
      </c>
      <c r="AI31" s="60">
        <f>IFERROR(VLOOKUP(ListSearch[[#This Row],[List Name for Search]],ResourceList[[ListDisplayName]:[No]],2,0),"resource_list")</f>
        <v>802212</v>
      </c>
      <c r="AJ31" s="65" t="s">
        <v>23</v>
      </c>
      <c r="AK31" s="60" t="str">
        <f>IF(ListSearch[[#This Row],[List Name for Search]]="","relation",IFERROR(VLOOKUP(ListSearch[[#This Row],[Relation]],RelationTable[[Display]:[RELID]],2,0),""))</f>
        <v/>
      </c>
      <c r="AL31" s="60" t="str">
        <f>IF(ListSearch[[#This Row],[List Name for Search]]="","nest_relation1",IFERROR(VLOOKUP(ListSearch[[#This Row],[Relation 1]],RelationTable[[Display]:[RELID]],2,0),""))</f>
        <v/>
      </c>
      <c r="AM31" s="60" t="str">
        <f>IF(ListSearch[[#This Row],[List Name for Search]]="","nest_relation2",IFERROR(VLOOKUP(ListSearch[[#This Row],[Relation 2]],RelationTable[[Display]:[RELID]],2,0),""))</f>
        <v/>
      </c>
      <c r="AN31" s="60" t="str">
        <f>IF(ListSearch[[#This Row],[List Name for Search]]="","nest_relation3",IFERROR(VLOOKUP(ListSearch[[#This Row],[Relation 3]],RelationTable[[Display]:[RELID]],2,0),""))</f>
        <v/>
      </c>
      <c r="AO31" s="65"/>
      <c r="AP31" s="65"/>
      <c r="AQ31" s="65"/>
      <c r="AR31" s="65"/>
      <c r="AT31" s="60" t="str">
        <f>'Table Seed Map'!$A$27&amp;"-"&amp;COUNTA($AV$1:ListLayout[[#This Row],[No]])-2</f>
        <v>List Layout-29</v>
      </c>
      <c r="AU31" s="61" t="s">
        <v>1100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802529</v>
      </c>
      <c r="AW31" s="60">
        <f>IFERROR(VLOOKUP(ListLayout[[#This Row],[List Name for Layout]],ResourceList[[ListDisplayName]:[No]],2,0),"resource_list")</f>
        <v>802211</v>
      </c>
      <c r="AX31" s="60" t="s">
        <v>1112</v>
      </c>
      <c r="AY31" s="65" t="s">
        <v>1111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5"/>
      <c r="BD31" s="65"/>
      <c r="BE31" s="65"/>
    </row>
    <row r="32" spans="1:57" x14ac:dyDescent="0.25">
      <c r="AF32" s="60" t="str">
        <f>'Table Seed Map'!$A$28&amp;"-"&amp;COUNTA($AH$1:ListSearch[[#This Row],[No]])-2</f>
        <v>List Search-30</v>
      </c>
      <c r="AG32" s="61" t="s">
        <v>1147</v>
      </c>
      <c r="AH32" s="60">
        <f>IF(ListSearch[[#This Row],[List Name for Search]]="","id",-1+COUNTA($AG$1:ListSearch[[#This Row],[List Name for Search]])+IF(ISNUMBER(VLOOKUP('Table Seed Map'!$A$28,SeedMap[],9,0)),VLOOKUP('Table Seed Map'!$A$28,SeedMap[],9,0),0))</f>
        <v>802630</v>
      </c>
      <c r="AI32" s="60">
        <f>IFERROR(VLOOKUP(ListSearch[[#This Row],[List Name for Search]],ResourceList[[ListDisplayName]:[No]],2,0),"resource_list")</f>
        <v>802212</v>
      </c>
      <c r="AJ32" s="65" t="s">
        <v>809</v>
      </c>
      <c r="AK32" s="60" t="str">
        <f>IF(ListSearch[[#This Row],[List Name for Search]]="","relation",IFERROR(VLOOKUP(ListSearch[[#This Row],[Relation]],RelationTable[[Display]:[RELID]],2,0),""))</f>
        <v/>
      </c>
      <c r="AL32" s="60" t="str">
        <f>IF(ListSearch[[#This Row],[List Name for Search]]="","nest_relation1",IFERROR(VLOOKUP(ListSearch[[#This Row],[Relation 1]],RelationTable[[Display]:[RELID]],2,0),""))</f>
        <v/>
      </c>
      <c r="AM32" s="60" t="str">
        <f>IF(ListSearch[[#This Row],[List Name for Search]]="","nest_relation2",IFERROR(VLOOKUP(ListSearch[[#This Row],[Relation 2]],RelationTable[[Display]:[RELID]],2,0),""))</f>
        <v/>
      </c>
      <c r="AN32" s="60" t="str">
        <f>IF(ListSearch[[#This Row],[List Name for Search]]="","nest_relation3",IFERROR(VLOOKUP(ListSearch[[#This Row],[Relation 3]],RelationTable[[Display]:[RELID]],2,0),""))</f>
        <v/>
      </c>
      <c r="AO32" s="65"/>
      <c r="AP32" s="65"/>
      <c r="AQ32" s="65"/>
      <c r="AR32" s="65"/>
      <c r="AT32" s="60" t="str">
        <f>'Table Seed Map'!$A$27&amp;"-"&amp;COUNTA($AV$1:ListLayout[[#This Row],[No]])-2</f>
        <v>List Layout-30</v>
      </c>
      <c r="AU32" s="61" t="s">
        <v>1147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802530</v>
      </c>
      <c r="AW32" s="60">
        <f>IFERROR(VLOOKUP(ListLayout[[#This Row],[List Name for Layout]],ResourceList[[ListDisplayName]:[No]],2,0),"resource_list")</f>
        <v>802212</v>
      </c>
      <c r="AX32" s="60" t="s">
        <v>1</v>
      </c>
      <c r="AY32" s="65" t="s">
        <v>23</v>
      </c>
      <c r="AZ32" s="60" t="str">
        <f>IF(ListLayout[[#This Row],[List Name for Layout]]="","relation",IFERROR(VLOOKUP(ListLayout[[#This Row],[Relation]],RelationTable[[Display]:[RELID]],2,0),""))</f>
        <v/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5"/>
      <c r="BD32" s="65"/>
      <c r="BE32" s="65"/>
    </row>
    <row r="33" spans="32:57" x14ac:dyDescent="0.25">
      <c r="AF33" s="15" t="str">
        <f>'Table Seed Map'!$A$28&amp;"-"&amp;COUNTA($AH$1:ListSearch[[#This Row],[No]])-2</f>
        <v>List Search-31</v>
      </c>
      <c r="AG33" s="2" t="s">
        <v>1230</v>
      </c>
      <c r="AH33" s="15">
        <f>IF(ListSearch[[#This Row],[List Name for Search]]="","id",-1+COUNTA($AG$1:ListSearch[[#This Row],[List Name for Search]])+IF(ISNUMBER(VLOOKUP('Table Seed Map'!$A$28,SeedMap[],9,0)),VLOOKUP('Table Seed Map'!$A$28,SeedMap[],9,0),0))</f>
        <v>802631</v>
      </c>
      <c r="AI33" s="15">
        <f>IFERROR(VLOOKUP(ListSearch[[#This Row],[List Name for Search]],ResourceList[[ListDisplayName]:[No]],2,0),"resource_list")</f>
        <v>802214</v>
      </c>
      <c r="AJ33" s="13" t="s">
        <v>23</v>
      </c>
      <c r="AK33" s="15" t="str">
        <f>IF(ListSearch[[#This Row],[List Name for Search]]="","relation",IFERROR(VLOOKUP(ListSearch[[#This Row],[Relation]],RelationTable[[Display]:[RELID]],2,0),""))</f>
        <v/>
      </c>
      <c r="AL33" s="15" t="str">
        <f>IF(ListSearch[[#This Row],[List Name for Search]]="","nest_relation1",IFERROR(VLOOKUP(ListSearch[[#This Row],[Relation 1]],RelationTable[[Display]:[RELID]],2,0),""))</f>
        <v/>
      </c>
      <c r="AM33" s="15" t="str">
        <f>IF(ListSearch[[#This Row],[List Name for Search]]="","nest_relation2",IFERROR(VLOOKUP(ListSearch[[#This Row],[Relation 2]],RelationTable[[Display]:[RELID]],2,0),""))</f>
        <v/>
      </c>
      <c r="AN33" s="15" t="str">
        <f>IF(ListSearch[[#This Row],[List Name for Search]]="","nest_relation3",IFERROR(VLOOKUP(ListSearch[[#This Row],[Relation 3]],RelationTable[[Display]:[RELID]],2,0),""))</f>
        <v/>
      </c>
      <c r="AO33" s="13"/>
      <c r="AP33" s="13"/>
      <c r="AQ33" s="13"/>
      <c r="AR33" s="13"/>
      <c r="AT33" s="60" t="str">
        <f>'Table Seed Map'!$A$27&amp;"-"&amp;COUNTA($AV$1:ListLayout[[#This Row],[No]])-2</f>
        <v>List Layout-31</v>
      </c>
      <c r="AU33" s="61" t="s">
        <v>1147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802531</v>
      </c>
      <c r="AW33" s="60">
        <f>IFERROR(VLOOKUP(ListLayout[[#This Row],[List Name for Layout]],ResourceList[[ListDisplayName]:[No]],2,0),"resource_list")</f>
        <v>802212</v>
      </c>
      <c r="AX33" s="60" t="s">
        <v>901</v>
      </c>
      <c r="AY33" s="65" t="s">
        <v>809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5"/>
      <c r="BD33" s="65"/>
      <c r="BE33" s="65"/>
    </row>
    <row r="34" spans="32:57" x14ac:dyDescent="0.25">
      <c r="AF34" s="15" t="str">
        <f>'Table Seed Map'!$A$28&amp;"-"&amp;COUNTA($AH$1:ListSearch[[#This Row],[No]])-2</f>
        <v>List Search-32</v>
      </c>
      <c r="AG34" s="2" t="s">
        <v>1230</v>
      </c>
      <c r="AH34" s="15">
        <f>IF(ListSearch[[#This Row],[List Name for Search]]="","id",-1+COUNTA($AG$1:ListSearch[[#This Row],[List Name for Search]])+IF(ISNUMBER(VLOOKUP('Table Seed Map'!$A$28,SeedMap[],9,0)),VLOOKUP('Table Seed Map'!$A$28,SeedMap[],9,0),0))</f>
        <v>802632</v>
      </c>
      <c r="AI34" s="15">
        <f>IFERROR(VLOOKUP(ListSearch[[#This Row],[List Name for Search]],ResourceList[[ListDisplayName]:[No]],2,0),"resource_list")</f>
        <v>802214</v>
      </c>
      <c r="AJ34" s="13" t="s">
        <v>854</v>
      </c>
      <c r="AK34" s="15" t="str">
        <f>IF(ListSearch[[#This Row],[List Name for Search]]="","relation",IFERROR(VLOOKUP(ListSearch[[#This Row],[Relation]],RelationTable[[Display]:[RELID]],2,0),""))</f>
        <v/>
      </c>
      <c r="AL34" s="15" t="str">
        <f>IF(ListSearch[[#This Row],[List Name for Search]]="","nest_relation1",IFERROR(VLOOKUP(ListSearch[[#This Row],[Relation 1]],RelationTable[[Display]:[RELID]],2,0),""))</f>
        <v/>
      </c>
      <c r="AM34" s="15" t="str">
        <f>IF(ListSearch[[#This Row],[List Name for Search]]="","nest_relation2",IFERROR(VLOOKUP(ListSearch[[#This Row],[Relation 2]],RelationTable[[Display]:[RELID]],2,0),""))</f>
        <v/>
      </c>
      <c r="AN34" s="15" t="str">
        <f>IF(ListSearch[[#This Row],[List Name for Search]]="","nest_relation3",IFERROR(VLOOKUP(ListSearch[[#This Row],[Relation 3]],RelationTable[[Display]:[RELID]],2,0),""))</f>
        <v/>
      </c>
      <c r="AO34" s="13"/>
      <c r="AP34" s="13"/>
      <c r="AQ34" s="13"/>
      <c r="AR34" s="13"/>
      <c r="AT34" s="60" t="str">
        <f>'Table Seed Map'!$A$27&amp;"-"&amp;COUNTA($AV$1:ListLayout[[#This Row],[No]])-2</f>
        <v>List Layout-32</v>
      </c>
      <c r="AU34" s="61" t="s">
        <v>1162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802532</v>
      </c>
      <c r="AW34" s="60">
        <f>IFERROR(VLOOKUP(ListLayout[[#This Row],[List Name for Layout]],ResourceList[[ListDisplayName]:[No]],2,0),"resource_list")</f>
        <v>802213</v>
      </c>
      <c r="AX34" s="60" t="s">
        <v>1</v>
      </c>
      <c r="AY34" s="65" t="s">
        <v>23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5"/>
      <c r="BD34" s="65"/>
      <c r="BE34" s="65"/>
    </row>
    <row r="35" spans="32:57" x14ac:dyDescent="0.25">
      <c r="AF35" s="15" t="str">
        <f>'Table Seed Map'!$A$28&amp;"-"&amp;COUNTA($AH$1:ListSearch[[#This Row],[No]])-2</f>
        <v>List Search-33</v>
      </c>
      <c r="AG35" s="2" t="s">
        <v>1230</v>
      </c>
      <c r="AH35" s="15">
        <f>IF(ListSearch[[#This Row],[List Name for Search]]="","id",-1+COUNTA($AG$1:ListSearch[[#This Row],[List Name for Search]])+IF(ISNUMBER(VLOOKUP('Table Seed Map'!$A$28,SeedMap[],9,0)),VLOOKUP('Table Seed Map'!$A$28,SeedMap[],9,0),0))</f>
        <v>802633</v>
      </c>
      <c r="AI35" s="15">
        <f>IFERROR(VLOOKUP(ListSearch[[#This Row],[List Name for Search]],ResourceList[[ListDisplayName]:[No]],2,0),"resource_list")</f>
        <v>802214</v>
      </c>
      <c r="AJ35" s="13" t="s">
        <v>855</v>
      </c>
      <c r="AK35" s="15" t="str">
        <f>IF(ListSearch[[#This Row],[List Name for Search]]="","relation",IFERROR(VLOOKUP(ListSearch[[#This Row],[Relation]],RelationTable[[Display]:[RELID]],2,0),""))</f>
        <v/>
      </c>
      <c r="AL35" s="15" t="str">
        <f>IF(ListSearch[[#This Row],[List Name for Search]]="","nest_relation1",IFERROR(VLOOKUP(ListSearch[[#This Row],[Relation 1]],RelationTable[[Display]:[RELID]],2,0),""))</f>
        <v/>
      </c>
      <c r="AM35" s="15" t="str">
        <f>IF(ListSearch[[#This Row],[List Name for Search]]="","nest_relation2",IFERROR(VLOOKUP(ListSearch[[#This Row],[Relation 2]],RelationTable[[Display]:[RELID]],2,0),""))</f>
        <v/>
      </c>
      <c r="AN35" s="15" t="str">
        <f>IF(ListSearch[[#This Row],[List Name for Search]]="","nest_relation3",IFERROR(VLOOKUP(ListSearch[[#This Row],[Relation 3]],RelationTable[[Display]:[RELID]],2,0),""))</f>
        <v/>
      </c>
      <c r="AO35" s="13"/>
      <c r="AP35" s="13"/>
      <c r="AQ35" s="13"/>
      <c r="AR35" s="13"/>
      <c r="AT35" s="60" t="str">
        <f>'Table Seed Map'!$A$27&amp;"-"&amp;COUNTA($AV$1:ListLayout[[#This Row],[No]])-2</f>
        <v>List Layout-33</v>
      </c>
      <c r="AU35" s="61" t="s">
        <v>1162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802533</v>
      </c>
      <c r="AW35" s="60">
        <f>IFERROR(VLOOKUP(ListLayout[[#This Row],[List Name for Layout]],ResourceList[[ListDisplayName]:[No]],2,0),"resource_list")</f>
        <v>802213</v>
      </c>
      <c r="AX35" s="60" t="s">
        <v>1181</v>
      </c>
      <c r="AY35" s="65" t="s">
        <v>1163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5"/>
      <c r="BD35" s="65"/>
      <c r="BE35" s="65"/>
    </row>
    <row r="36" spans="32:57" x14ac:dyDescent="0.25">
      <c r="AF36" s="60" t="str">
        <f>'Table Seed Map'!$A$28&amp;"-"&amp;COUNTA($AH$1:ListSearch[[#This Row],[No]])-2</f>
        <v>List Search-34</v>
      </c>
      <c r="AG36" s="61" t="s">
        <v>1271</v>
      </c>
      <c r="AH36" s="60">
        <f>IF(ListSearch[[#This Row],[List Name for Search]]="","id",-1+COUNTA($AG$1:ListSearch[[#This Row],[List Name for Search]])+IF(ISNUMBER(VLOOKUP('Table Seed Map'!$A$28,SeedMap[],9,0)),VLOOKUP('Table Seed Map'!$A$28,SeedMap[],9,0),0))</f>
        <v>802634</v>
      </c>
      <c r="AI36" s="60">
        <f>IFERROR(VLOOKUP(ListSearch[[#This Row],[List Name for Search]],ResourceList[[ListDisplayName]:[No]],2,0),"resource_list")</f>
        <v>802215</v>
      </c>
      <c r="AJ36" s="65" t="s">
        <v>23</v>
      </c>
      <c r="AK36" s="60">
        <f>IF(ListSearch[[#This Row],[List Name for Search]]="","relation",IFERROR(VLOOKUP(ListSearch[[#This Row],[Relation]],RelationTable[[Display]:[RELID]],2,0),""))</f>
        <v>800809</v>
      </c>
      <c r="AL36" s="60" t="str">
        <f>IF(ListSearch[[#This Row],[List Name for Search]]="","nest_relation1",IFERROR(VLOOKUP(ListSearch[[#This Row],[Relation 1]],RelationTable[[Display]:[RELID]],2,0),""))</f>
        <v/>
      </c>
      <c r="AM36" s="60" t="str">
        <f>IF(ListSearch[[#This Row],[List Name for Search]]="","nest_relation2",IFERROR(VLOOKUP(ListSearch[[#This Row],[Relation 2]],RelationTable[[Display]:[RELID]],2,0),""))</f>
        <v/>
      </c>
      <c r="AN36" s="60" t="str">
        <f>IF(ListSearch[[#This Row],[List Name for Search]]="","nest_relation3",IFERROR(VLOOKUP(ListSearch[[#This Row],[Relation 3]],RelationTable[[Display]:[RELID]],2,0),""))</f>
        <v/>
      </c>
      <c r="AO36" s="65" t="s">
        <v>987</v>
      </c>
      <c r="AP36" s="65"/>
      <c r="AQ36" s="65"/>
      <c r="AR36" s="65"/>
      <c r="AT36" s="60" t="str">
        <f>'Table Seed Map'!$A$27&amp;"-"&amp;COUNTA($AV$1:ListLayout[[#This Row],[No]])-2</f>
        <v>List Layout-34</v>
      </c>
      <c r="AU36" s="61" t="s">
        <v>1162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802534</v>
      </c>
      <c r="AW36" s="60">
        <f>IFERROR(VLOOKUP(ListLayout[[#This Row],[List Name for Layout]],ResourceList[[ListDisplayName]:[No]],2,0),"resource_list")</f>
        <v>802213</v>
      </c>
      <c r="AX36" s="60" t="s">
        <v>993</v>
      </c>
      <c r="AY36" s="65" t="s">
        <v>1164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5"/>
      <c r="BD36" s="65"/>
      <c r="BE36" s="65"/>
    </row>
    <row r="37" spans="32:57" x14ac:dyDescent="0.25">
      <c r="AF37" s="60" t="str">
        <f>'Table Seed Map'!$A$28&amp;"-"&amp;COUNTA($AH$1:ListSearch[[#This Row],[No]])-2</f>
        <v>List Search-35</v>
      </c>
      <c r="AG37" s="61" t="s">
        <v>1271</v>
      </c>
      <c r="AH37" s="60">
        <f>IF(ListSearch[[#This Row],[List Name for Search]]="","id",-1+COUNTA($AG$1:ListSearch[[#This Row],[List Name for Search]])+IF(ISNUMBER(VLOOKUP('Table Seed Map'!$A$28,SeedMap[],9,0)),VLOOKUP('Table Seed Map'!$A$28,SeedMap[],9,0),0))</f>
        <v>802635</v>
      </c>
      <c r="AI37" s="60">
        <f>IFERROR(VLOOKUP(ListSearch[[#This Row],[List Name for Search]],ResourceList[[ListDisplayName]:[No]],2,0),"resource_list")</f>
        <v>802215</v>
      </c>
      <c r="AJ37" s="65" t="s">
        <v>23</v>
      </c>
      <c r="AK37" s="60">
        <f>IF(ListSearch[[#This Row],[List Name for Search]]="","relation",IFERROR(VLOOKUP(ListSearch[[#This Row],[Relation]],RelationTable[[Display]:[RELID]],2,0),""))</f>
        <v>800810</v>
      </c>
      <c r="AL37" s="60" t="str">
        <f>IF(ListSearch[[#This Row],[List Name for Search]]="","nest_relation1",IFERROR(VLOOKUP(ListSearch[[#This Row],[Relation 1]],RelationTable[[Display]:[RELID]],2,0),""))</f>
        <v/>
      </c>
      <c r="AM37" s="60" t="str">
        <f>IF(ListSearch[[#This Row],[List Name for Search]]="","nest_relation2",IFERROR(VLOOKUP(ListSearch[[#This Row],[Relation 2]],RelationTable[[Display]:[RELID]],2,0),""))</f>
        <v/>
      </c>
      <c r="AN37" s="60" t="str">
        <f>IF(ListSearch[[#This Row],[List Name for Search]]="","nest_relation3",IFERROR(VLOOKUP(ListSearch[[#This Row],[Relation 3]],RelationTable[[Display]:[RELID]],2,0),""))</f>
        <v/>
      </c>
      <c r="AO37" s="65" t="s">
        <v>1061</v>
      </c>
      <c r="AP37" s="65"/>
      <c r="AQ37" s="65"/>
      <c r="AR37" s="65"/>
      <c r="AT37" s="15" t="str">
        <f>'Table Seed Map'!$A$27&amp;"-"&amp;COUNTA($AV$1:ListLayout[[#This Row],[No]])-2</f>
        <v>List Layout-35</v>
      </c>
      <c r="AU37" s="2" t="s">
        <v>1230</v>
      </c>
      <c r="AV37" s="15">
        <f>IF(ListLayout[[#This Row],[List Name for Layout]]="","id",COUNTA($AU$2:ListLayout[[#This Row],[List Name for Layout]])+IF(ISNUMBER(VLOOKUP('Table Seed Map'!$A$27,SeedMap[],9,0)),VLOOKUP('Table Seed Map'!$A$27,SeedMap[],9,0),0))</f>
        <v>802535</v>
      </c>
      <c r="AW37" s="15">
        <f>IFERROR(VLOOKUP(ListLayout[[#This Row],[List Name for Layout]],ResourceList[[ListDisplayName]:[No]],2,0),"resource_list")</f>
        <v>802214</v>
      </c>
      <c r="AX37" s="15" t="s">
        <v>1</v>
      </c>
      <c r="AY37" s="13" t="s">
        <v>23</v>
      </c>
      <c r="AZ37" s="15" t="str">
        <f>IF(ListLayout[[#This Row],[List Name for Layout]]="","relation",IFERROR(VLOOKUP(ListLayout[[#This Row],[Relation]],RelationTable[[Display]:[RELID]],2,0),""))</f>
        <v/>
      </c>
      <c r="BA37" s="15" t="str">
        <f>IF(ListLayout[[#This Row],[List Name for Layout]]="","nest_relation1",IFERROR(VLOOKUP(ListLayout[[#This Row],[Relation 1]],RelationTable[[Display]:[RELID]],2,0),""))</f>
        <v/>
      </c>
      <c r="BB37" s="15" t="str">
        <f>IF(ListLayout[[#This Row],[List Name for Layout]]="","nest_relation2",IFERROR(VLOOKUP(ListLayout[[#This Row],[Relation 2]],RelationTable[[Display]:[RELID]],2,0),""))</f>
        <v/>
      </c>
      <c r="BC37" s="13"/>
      <c r="BD37" s="13"/>
      <c r="BE37" s="13"/>
    </row>
    <row r="38" spans="32:57" x14ac:dyDescent="0.25">
      <c r="AF38" s="60" t="str">
        <f>'Table Seed Map'!$A$28&amp;"-"&amp;COUNTA($AH$1:ListSearch[[#This Row],[No]])-2</f>
        <v>List Search-36</v>
      </c>
      <c r="AG38" s="61" t="s">
        <v>1270</v>
      </c>
      <c r="AH38" s="60">
        <f>IF(ListSearch[[#This Row],[List Name for Search]]="","id",-1+COUNTA($AG$1:ListSearch[[#This Row],[List Name for Search]])+IF(ISNUMBER(VLOOKUP('Table Seed Map'!$A$28,SeedMap[],9,0)),VLOOKUP('Table Seed Map'!$A$28,SeedMap[],9,0),0))</f>
        <v>802636</v>
      </c>
      <c r="AI38" s="60">
        <f>IFERROR(VLOOKUP(ListSearch[[#This Row],[List Name for Search]],ResourceList[[ListDisplayName]:[No]],2,0),"resource_list")</f>
        <v>802216</v>
      </c>
      <c r="AJ38" s="65" t="s">
        <v>23</v>
      </c>
      <c r="AK38" s="60">
        <f>IF(ListSearch[[#This Row],[List Name for Search]]="","relation",IFERROR(VLOOKUP(ListSearch[[#This Row],[Relation]],RelationTable[[Display]:[RELID]],2,0),""))</f>
        <v>800809</v>
      </c>
      <c r="AL38" s="60" t="str">
        <f>IF(ListSearch[[#This Row],[List Name for Search]]="","nest_relation1",IFERROR(VLOOKUP(ListSearch[[#This Row],[Relation 1]],RelationTable[[Display]:[RELID]],2,0),""))</f>
        <v/>
      </c>
      <c r="AM38" s="60" t="str">
        <f>IF(ListSearch[[#This Row],[List Name for Search]]="","nest_relation2",IFERROR(VLOOKUP(ListSearch[[#This Row],[Relation 2]],RelationTable[[Display]:[RELID]],2,0),""))</f>
        <v/>
      </c>
      <c r="AN38" s="60" t="str">
        <f>IF(ListSearch[[#This Row],[List Name for Search]]="","nest_relation3",IFERROR(VLOOKUP(ListSearch[[#This Row],[Relation 3]],RelationTable[[Display]:[RELID]],2,0),""))</f>
        <v/>
      </c>
      <c r="AO38" s="65" t="s">
        <v>987</v>
      </c>
      <c r="AP38" s="65"/>
      <c r="AQ38" s="65"/>
      <c r="AR38" s="65"/>
      <c r="AT38" s="15" t="str">
        <f>'Table Seed Map'!$A$27&amp;"-"&amp;COUNTA($AV$1:ListLayout[[#This Row],[No]])-2</f>
        <v>List Layout-36</v>
      </c>
      <c r="AU38" s="2" t="s">
        <v>1230</v>
      </c>
      <c r="AV38" s="15">
        <f>IF(ListLayout[[#This Row],[List Name for Layout]]="","id",COUNTA($AU$2:ListLayout[[#This Row],[List Name for Layout]])+IF(ISNUMBER(VLOOKUP('Table Seed Map'!$A$27,SeedMap[],9,0)),VLOOKUP('Table Seed Map'!$A$27,SeedMap[],9,0),0))</f>
        <v>802536</v>
      </c>
      <c r="AW38" s="15">
        <f>IFERROR(VLOOKUP(ListLayout[[#This Row],[List Name for Layout]],ResourceList[[ListDisplayName]:[No]],2,0),"resource_list")</f>
        <v>802214</v>
      </c>
      <c r="AX38" s="15" t="s">
        <v>919</v>
      </c>
      <c r="AY38" s="13" t="s">
        <v>854</v>
      </c>
      <c r="AZ38" s="15" t="str">
        <f>IF(ListLayout[[#This Row],[List Name for Layout]]="","relation",IFERROR(VLOOKUP(ListLayout[[#This Row],[Relation]],RelationTable[[Display]:[RELID]],2,0),""))</f>
        <v/>
      </c>
      <c r="BA38" s="15" t="str">
        <f>IF(ListLayout[[#This Row],[List Name for Layout]]="","nest_relation1",IFERROR(VLOOKUP(ListLayout[[#This Row],[Relation 1]],RelationTable[[Display]:[RELID]],2,0),""))</f>
        <v/>
      </c>
      <c r="BB38" s="15" t="str">
        <f>IF(ListLayout[[#This Row],[List Name for Layout]]="","nest_relation2",IFERROR(VLOOKUP(ListLayout[[#This Row],[Relation 2]],RelationTable[[Display]:[RELID]],2,0),""))</f>
        <v/>
      </c>
      <c r="BC38" s="13"/>
      <c r="BD38" s="13"/>
      <c r="BE38" s="13"/>
    </row>
    <row r="39" spans="32:57" x14ac:dyDescent="0.25">
      <c r="AF39" s="60" t="str">
        <f>'Table Seed Map'!$A$28&amp;"-"&amp;COUNTA($AH$1:ListSearch[[#This Row],[No]])-2</f>
        <v>List Search-37</v>
      </c>
      <c r="AG39" s="61" t="s">
        <v>1270</v>
      </c>
      <c r="AH39" s="60">
        <f>IF(ListSearch[[#This Row],[List Name for Search]]="","id",-1+COUNTA($AG$1:ListSearch[[#This Row],[List Name for Search]])+IF(ISNUMBER(VLOOKUP('Table Seed Map'!$A$28,SeedMap[],9,0)),VLOOKUP('Table Seed Map'!$A$28,SeedMap[],9,0),0))</f>
        <v>802637</v>
      </c>
      <c r="AI39" s="60">
        <f>IFERROR(VLOOKUP(ListSearch[[#This Row],[List Name for Search]],ResourceList[[ListDisplayName]:[No]],2,0),"resource_list")</f>
        <v>802216</v>
      </c>
      <c r="AJ39" s="65" t="s">
        <v>23</v>
      </c>
      <c r="AK39" s="60">
        <f>IF(ListSearch[[#This Row],[List Name for Search]]="","relation",IFERROR(VLOOKUP(ListSearch[[#This Row],[Relation]],RelationTable[[Display]:[RELID]],2,0),""))</f>
        <v>800810</v>
      </c>
      <c r="AL39" s="60" t="str">
        <f>IF(ListSearch[[#This Row],[List Name for Search]]="","nest_relation1",IFERROR(VLOOKUP(ListSearch[[#This Row],[Relation 1]],RelationTable[[Display]:[RELID]],2,0),""))</f>
        <v/>
      </c>
      <c r="AM39" s="60" t="str">
        <f>IF(ListSearch[[#This Row],[List Name for Search]]="","nest_relation2",IFERROR(VLOOKUP(ListSearch[[#This Row],[Relation 2]],RelationTable[[Display]:[RELID]],2,0),""))</f>
        <v/>
      </c>
      <c r="AN39" s="60" t="str">
        <f>IF(ListSearch[[#This Row],[List Name for Search]]="","nest_relation3",IFERROR(VLOOKUP(ListSearch[[#This Row],[Relation 3]],RelationTable[[Display]:[RELID]],2,0),""))</f>
        <v/>
      </c>
      <c r="AO39" s="65" t="s">
        <v>1061</v>
      </c>
      <c r="AP39" s="65"/>
      <c r="AQ39" s="65"/>
      <c r="AR39" s="65"/>
      <c r="AT39" s="15" t="str">
        <f>'Table Seed Map'!$A$27&amp;"-"&amp;COUNTA($AV$1:ListLayout[[#This Row],[No]])-2</f>
        <v>List Layout-37</v>
      </c>
      <c r="AU39" s="2" t="s">
        <v>1271</v>
      </c>
      <c r="AV39" s="15">
        <f>IF(ListLayout[[#This Row],[List Name for Layout]]="","id",COUNTA($AU$2:ListLayout[[#This Row],[List Name for Layout]])+IF(ISNUMBER(VLOOKUP('Table Seed Map'!$A$27,SeedMap[],9,0)),VLOOKUP('Table Seed Map'!$A$27,SeedMap[],9,0),0))</f>
        <v>802537</v>
      </c>
      <c r="AW39" s="15">
        <f>IFERROR(VLOOKUP(ListLayout[[#This Row],[List Name for Layout]],ResourceList[[ListDisplayName]:[No]],2,0),"resource_list")</f>
        <v>802215</v>
      </c>
      <c r="AX39" s="15" t="s">
        <v>1126</v>
      </c>
      <c r="AY39" s="13" t="s">
        <v>23</v>
      </c>
      <c r="AZ39" s="15">
        <f>IF(ListLayout[[#This Row],[List Name for Layout]]="","relation",IFERROR(VLOOKUP(ListLayout[[#This Row],[Relation]],RelationTable[[Display]:[RELID]],2,0),""))</f>
        <v>800814</v>
      </c>
      <c r="BA39" s="15" t="str">
        <f>IF(ListLayout[[#This Row],[List Name for Layout]]="","nest_relation1",IFERROR(VLOOKUP(ListLayout[[#This Row],[Relation 1]],RelationTable[[Display]:[RELID]],2,0),""))</f>
        <v/>
      </c>
      <c r="BB39" s="15" t="str">
        <f>IF(ListLayout[[#This Row],[List Name for Layout]]="","nest_relation2",IFERROR(VLOOKUP(ListLayout[[#This Row],[Relation 2]],RelationTable[[Display]:[RELID]],2,0),""))</f>
        <v/>
      </c>
      <c r="BC39" s="13" t="s">
        <v>1148</v>
      </c>
      <c r="BD39" s="13"/>
      <c r="BE39" s="13"/>
    </row>
    <row r="40" spans="32:57" x14ac:dyDescent="0.25">
      <c r="AT40" s="60" t="str">
        <f>'Table Seed Map'!$A$27&amp;"-"&amp;COUNTA($AV$1:ListLayout[[#This Row],[No]])-2</f>
        <v>List Layout-38</v>
      </c>
      <c r="AU40" s="2" t="s">
        <v>1271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802538</v>
      </c>
      <c r="AW40" s="60">
        <f>IFERROR(VLOOKUP(ListLayout[[#This Row],[List Name for Layout]],ResourceList[[ListDisplayName]:[No]],2,0),"resource_list")</f>
        <v>802215</v>
      </c>
      <c r="AX40" s="60" t="s">
        <v>845</v>
      </c>
      <c r="AY40" s="65" t="s">
        <v>23</v>
      </c>
      <c r="AZ40" s="60">
        <f>IF(ListLayout[[#This Row],[List Name for Layout]]="","relation",IFERROR(VLOOKUP(ListLayout[[#This Row],[Relation]],RelationTable[[Display]:[RELID]],2,0),""))</f>
        <v>800809</v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13" t="s">
        <v>987</v>
      </c>
      <c r="BD40" s="65"/>
      <c r="BE40" s="65"/>
    </row>
    <row r="41" spans="32:57" x14ac:dyDescent="0.25">
      <c r="AT41" s="60" t="str">
        <f>'Table Seed Map'!$A$27&amp;"-"&amp;COUNTA($AV$1:ListLayout[[#This Row],[No]])-2</f>
        <v>List Layout-39</v>
      </c>
      <c r="AU41" s="2" t="s">
        <v>1271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802539</v>
      </c>
      <c r="AW41" s="60">
        <f>IFERROR(VLOOKUP(ListLayout[[#This Row],[List Name for Layout]],ResourceList[[ListDisplayName]:[No]],2,0),"resource_list")</f>
        <v>802215</v>
      </c>
      <c r="AX41" s="60" t="s">
        <v>843</v>
      </c>
      <c r="AY41" s="65" t="s">
        <v>23</v>
      </c>
      <c r="AZ41" s="60">
        <f>IF(ListLayout[[#This Row],[List Name for Layout]]="","relation",IFERROR(VLOOKUP(ListLayout[[#This Row],[Relation]],RelationTable[[Display]:[RELID]],2,0),""))</f>
        <v>800810</v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13" t="s">
        <v>1061</v>
      </c>
      <c r="BD41" s="65"/>
      <c r="BE41" s="65"/>
    </row>
    <row r="42" spans="32:57" x14ac:dyDescent="0.25">
      <c r="AT42" s="60" t="str">
        <f>'Table Seed Map'!$A$27&amp;"-"&amp;COUNTA($AV$1:ListLayout[[#This Row],[No]])-2</f>
        <v>List Layout-40</v>
      </c>
      <c r="AU42" s="2" t="s">
        <v>1271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802540</v>
      </c>
      <c r="AW42" s="60">
        <f>IFERROR(VLOOKUP(ListLayout[[#This Row],[List Name for Layout]],ResourceList[[ListDisplayName]:[No]],2,0),"resource_list")</f>
        <v>802215</v>
      </c>
      <c r="AX42" s="60" t="s">
        <v>873</v>
      </c>
      <c r="AY42" s="65" t="s">
        <v>823</v>
      </c>
      <c r="AZ42" s="60" t="str">
        <f>IF(ListLayout[[#This Row],[List Name for Layout]]="","relation",IFERROR(VLOOKUP(ListLayout[[#This Row],[Relation]],RelationTable[[Display]:[RELID]],2,0),""))</f>
        <v/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5"/>
      <c r="BD42" s="65"/>
      <c r="BE42" s="65"/>
    </row>
    <row r="43" spans="32:57" x14ac:dyDescent="0.25">
      <c r="AT43" s="60" t="str">
        <f>'Table Seed Map'!$A$27&amp;"-"&amp;COUNTA($AV$1:ListLayout[[#This Row],[No]])-2</f>
        <v>List Layout-41</v>
      </c>
      <c r="AU43" s="2" t="s">
        <v>1271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802541</v>
      </c>
      <c r="AW43" s="60">
        <f>IFERROR(VLOOKUP(ListLayout[[#This Row],[List Name for Layout]],ResourceList[[ListDisplayName]:[No]],2,0),"resource_list")</f>
        <v>802215</v>
      </c>
      <c r="AX43" s="60" t="s">
        <v>1112</v>
      </c>
      <c r="AY43" s="65" t="s">
        <v>1111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5"/>
      <c r="BD43" s="65"/>
      <c r="BE43" s="65"/>
    </row>
    <row r="44" spans="32:57" x14ac:dyDescent="0.25">
      <c r="AT44" s="60" t="str">
        <f>'Table Seed Map'!$A$27&amp;"-"&amp;COUNTA($AV$1:ListLayout[[#This Row],[No]])-2</f>
        <v>List Layout-42</v>
      </c>
      <c r="AU44" s="2" t="s">
        <v>1271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802542</v>
      </c>
      <c r="AW44" s="60">
        <f>IFERROR(VLOOKUP(ListLayout[[#This Row],[List Name for Layout]],ResourceList[[ListDisplayName]:[No]],2,0),"resource_list")</f>
        <v>802215</v>
      </c>
      <c r="AX44" s="60" t="s">
        <v>1273</v>
      </c>
      <c r="AY44" s="65" t="s">
        <v>1065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5"/>
      <c r="BD44" s="65"/>
      <c r="BE44" s="65"/>
    </row>
    <row r="45" spans="32:57" x14ac:dyDescent="0.25">
      <c r="AT45" s="60" t="str">
        <f>'Table Seed Map'!$A$27&amp;"-"&amp;COUNTA($AV$1:ListLayout[[#This Row],[No]])-2</f>
        <v>List Layout-43</v>
      </c>
      <c r="AU45" s="61" t="s">
        <v>1270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802543</v>
      </c>
      <c r="AW45" s="60">
        <f>IFERROR(VLOOKUP(ListLayout[[#This Row],[List Name for Layout]],ResourceList[[ListDisplayName]:[No]],2,0),"resource_list")</f>
        <v>802216</v>
      </c>
      <c r="AX45" s="15" t="s">
        <v>1126</v>
      </c>
      <c r="AY45" s="13" t="s">
        <v>23</v>
      </c>
      <c r="AZ45" s="15">
        <f>IF(ListLayout[[#This Row],[List Name for Layout]]="","relation",IFERROR(VLOOKUP(ListLayout[[#This Row],[Relation]],RelationTable[[Display]:[RELID]],2,0),""))</f>
        <v>800814</v>
      </c>
      <c r="BA45" s="15" t="str">
        <f>IF(ListLayout[[#This Row],[List Name for Layout]]="","nest_relation1",IFERROR(VLOOKUP(ListLayout[[#This Row],[Relation 1]],RelationTable[[Display]:[RELID]],2,0),""))</f>
        <v/>
      </c>
      <c r="BB45" s="15" t="str">
        <f>IF(ListLayout[[#This Row],[List Name for Layout]]="","nest_relation2",IFERROR(VLOOKUP(ListLayout[[#This Row],[Relation 2]],RelationTable[[Display]:[RELID]],2,0),""))</f>
        <v/>
      </c>
      <c r="BC45" s="13" t="s">
        <v>1148</v>
      </c>
      <c r="BD45" s="65"/>
      <c r="BE45" s="65"/>
    </row>
    <row r="46" spans="32:57" x14ac:dyDescent="0.25">
      <c r="AT46" s="60" t="str">
        <f>'Table Seed Map'!$A$27&amp;"-"&amp;COUNTA($AV$1:ListLayout[[#This Row],[No]])-2</f>
        <v>List Layout-44</v>
      </c>
      <c r="AU46" s="61" t="s">
        <v>1270</v>
      </c>
      <c r="AV46" s="60">
        <f>IF(ListLayout[[#This Row],[List Name for Layout]]="","id",COUNTA($AU$2:ListLayout[[#This Row],[List Name for Layout]])+IF(ISNUMBER(VLOOKUP('Table Seed Map'!$A$27,SeedMap[],9,0)),VLOOKUP('Table Seed Map'!$A$27,SeedMap[],9,0),0))</f>
        <v>802544</v>
      </c>
      <c r="AW46" s="60">
        <f>IFERROR(VLOOKUP(ListLayout[[#This Row],[List Name for Layout]],ResourceList[[ListDisplayName]:[No]],2,0),"resource_list")</f>
        <v>802216</v>
      </c>
      <c r="AX46" s="60" t="s">
        <v>845</v>
      </c>
      <c r="AY46" s="65" t="s">
        <v>23</v>
      </c>
      <c r="AZ46" s="60">
        <f>IF(ListLayout[[#This Row],[List Name for Layout]]="","relation",IFERROR(VLOOKUP(ListLayout[[#This Row],[Relation]],RelationTable[[Display]:[RELID]],2,0),""))</f>
        <v>800809</v>
      </c>
      <c r="BA46" s="60" t="str">
        <f>IF(ListLayout[[#This Row],[List Name for Layout]]="","nest_relation1",IFERROR(VLOOKUP(ListLayout[[#This Row],[Relation 1]],RelationTable[[Display]:[RELID]],2,0),""))</f>
        <v/>
      </c>
      <c r="BB46" s="60" t="str">
        <f>IF(ListLayout[[#This Row],[List Name for Layout]]="","nest_relation2",IFERROR(VLOOKUP(ListLayout[[#This Row],[Relation 2]],RelationTable[[Display]:[RELID]],2,0),""))</f>
        <v/>
      </c>
      <c r="BC46" s="13" t="s">
        <v>987</v>
      </c>
      <c r="BD46" s="65"/>
      <c r="BE46" s="65"/>
    </row>
    <row r="47" spans="32:57" x14ac:dyDescent="0.25">
      <c r="AT47" s="60" t="str">
        <f>'Table Seed Map'!$A$27&amp;"-"&amp;COUNTA($AV$1:ListLayout[[#This Row],[No]])-2</f>
        <v>List Layout-45</v>
      </c>
      <c r="AU47" s="61" t="s">
        <v>1270</v>
      </c>
      <c r="AV47" s="60">
        <f>IF(ListLayout[[#This Row],[List Name for Layout]]="","id",COUNTA($AU$2:ListLayout[[#This Row],[List Name for Layout]])+IF(ISNUMBER(VLOOKUP('Table Seed Map'!$A$27,SeedMap[],9,0)),VLOOKUP('Table Seed Map'!$A$27,SeedMap[],9,0),0))</f>
        <v>802545</v>
      </c>
      <c r="AW47" s="60">
        <f>IFERROR(VLOOKUP(ListLayout[[#This Row],[List Name for Layout]],ResourceList[[ListDisplayName]:[No]],2,0),"resource_list")</f>
        <v>802216</v>
      </c>
      <c r="AX47" s="60" t="s">
        <v>843</v>
      </c>
      <c r="AY47" s="65" t="s">
        <v>23</v>
      </c>
      <c r="AZ47" s="60">
        <f>IF(ListLayout[[#This Row],[List Name for Layout]]="","relation",IFERROR(VLOOKUP(ListLayout[[#This Row],[Relation]],RelationTable[[Display]:[RELID]],2,0),""))</f>
        <v>800810</v>
      </c>
      <c r="BA47" s="60" t="str">
        <f>IF(ListLayout[[#This Row],[List Name for Layout]]="","nest_relation1",IFERROR(VLOOKUP(ListLayout[[#This Row],[Relation 1]],RelationTable[[Display]:[RELID]],2,0),""))</f>
        <v/>
      </c>
      <c r="BB47" s="60" t="str">
        <f>IF(ListLayout[[#This Row],[List Name for Layout]]="","nest_relation2",IFERROR(VLOOKUP(ListLayout[[#This Row],[Relation 2]],RelationTable[[Display]:[RELID]],2,0),""))</f>
        <v/>
      </c>
      <c r="BC47" s="13" t="s">
        <v>1061</v>
      </c>
      <c r="BD47" s="65"/>
      <c r="BE47" s="65"/>
    </row>
    <row r="48" spans="32:57" x14ac:dyDescent="0.25">
      <c r="AT48" s="60" t="str">
        <f>'Table Seed Map'!$A$27&amp;"-"&amp;COUNTA($AV$1:ListLayout[[#This Row],[No]])-2</f>
        <v>List Layout-46</v>
      </c>
      <c r="AU48" s="61" t="s">
        <v>1270</v>
      </c>
      <c r="AV48" s="60">
        <f>IF(ListLayout[[#This Row],[List Name for Layout]]="","id",COUNTA($AU$2:ListLayout[[#This Row],[List Name for Layout]])+IF(ISNUMBER(VLOOKUP('Table Seed Map'!$A$27,SeedMap[],9,0)),VLOOKUP('Table Seed Map'!$A$27,SeedMap[],9,0),0))</f>
        <v>802546</v>
      </c>
      <c r="AW48" s="60">
        <f>IFERROR(VLOOKUP(ListLayout[[#This Row],[List Name for Layout]],ResourceList[[ListDisplayName]:[No]],2,0),"resource_list")</f>
        <v>802216</v>
      </c>
      <c r="AX48" s="60" t="s">
        <v>873</v>
      </c>
      <c r="AY48" s="65" t="s">
        <v>823</v>
      </c>
      <c r="AZ48" s="60" t="str">
        <f>IF(ListLayout[[#This Row],[List Name for Layout]]="","relation",IFERROR(VLOOKUP(ListLayout[[#This Row],[Relation]],RelationTable[[Display]:[RELID]],2,0),""))</f>
        <v/>
      </c>
      <c r="BA48" s="60" t="str">
        <f>IF(ListLayout[[#This Row],[List Name for Layout]]="","nest_relation1",IFERROR(VLOOKUP(ListLayout[[#This Row],[Relation 1]],RelationTable[[Display]:[RELID]],2,0),""))</f>
        <v/>
      </c>
      <c r="BB48" s="60" t="str">
        <f>IF(ListLayout[[#This Row],[List Name for Layout]]="","nest_relation2",IFERROR(VLOOKUP(ListLayout[[#This Row],[Relation 2]],RelationTable[[Display]:[RELID]],2,0),""))</f>
        <v/>
      </c>
      <c r="BC48" s="65"/>
      <c r="BD48" s="65"/>
      <c r="BE48" s="65"/>
    </row>
    <row r="49" spans="46:57" x14ac:dyDescent="0.25">
      <c r="AT49" s="60" t="str">
        <f>'Table Seed Map'!$A$27&amp;"-"&amp;COUNTA($AV$1:ListLayout[[#This Row],[No]])-2</f>
        <v>List Layout-47</v>
      </c>
      <c r="AU49" s="61" t="s">
        <v>1270</v>
      </c>
      <c r="AV49" s="60">
        <f>IF(ListLayout[[#This Row],[List Name for Layout]]="","id",COUNTA($AU$2:ListLayout[[#This Row],[List Name for Layout]])+IF(ISNUMBER(VLOOKUP('Table Seed Map'!$A$27,SeedMap[],9,0)),VLOOKUP('Table Seed Map'!$A$27,SeedMap[],9,0),0))</f>
        <v>802547</v>
      </c>
      <c r="AW49" s="60">
        <f>IFERROR(VLOOKUP(ListLayout[[#This Row],[List Name for Layout]],ResourceList[[ListDisplayName]:[No]],2,0),"resource_list")</f>
        <v>802216</v>
      </c>
      <c r="AX49" s="60" t="s">
        <v>1112</v>
      </c>
      <c r="AY49" s="65" t="s">
        <v>1111</v>
      </c>
      <c r="AZ49" s="60" t="str">
        <f>IF(ListLayout[[#This Row],[List Name for Layout]]="","relation",IFERROR(VLOOKUP(ListLayout[[#This Row],[Relation]],RelationTable[[Display]:[RELID]],2,0),""))</f>
        <v/>
      </c>
      <c r="BA49" s="60" t="str">
        <f>IF(ListLayout[[#This Row],[List Name for Layout]]="","nest_relation1",IFERROR(VLOOKUP(ListLayout[[#This Row],[Relation 1]],RelationTable[[Display]:[RELID]],2,0),""))</f>
        <v/>
      </c>
      <c r="BB49" s="60" t="str">
        <f>IF(ListLayout[[#This Row],[List Name for Layout]]="","nest_relation2",IFERROR(VLOOKUP(ListLayout[[#This Row],[Relation 2]],RelationTable[[Display]:[RELID]],2,0),""))</f>
        <v/>
      </c>
      <c r="BC49" s="65"/>
      <c r="BD49" s="65"/>
      <c r="BE49" s="65"/>
    </row>
    <row r="50" spans="46:57" x14ac:dyDescent="0.25">
      <c r="AT50" s="60" t="str">
        <f>'Table Seed Map'!$A$27&amp;"-"&amp;COUNTA($AV$1:ListLayout[[#This Row],[No]])-2</f>
        <v>List Layout-48</v>
      </c>
      <c r="AU50" s="61" t="s">
        <v>1270</v>
      </c>
      <c r="AV50" s="60">
        <f>IF(ListLayout[[#This Row],[List Name for Layout]]="","id",COUNTA($AU$2:ListLayout[[#This Row],[List Name for Layout]])+IF(ISNUMBER(VLOOKUP('Table Seed Map'!$A$27,SeedMap[],9,0)),VLOOKUP('Table Seed Map'!$A$27,SeedMap[],9,0),0))</f>
        <v>802548</v>
      </c>
      <c r="AW50" s="60">
        <f>IFERROR(VLOOKUP(ListLayout[[#This Row],[List Name for Layout]],ResourceList[[ListDisplayName]:[No]],2,0),"resource_list")</f>
        <v>802216</v>
      </c>
      <c r="AX50" s="60" t="s">
        <v>1273</v>
      </c>
      <c r="AY50" s="65" t="s">
        <v>1065</v>
      </c>
      <c r="AZ50" s="60" t="str">
        <f>IF(ListLayout[[#This Row],[List Name for Layout]]="","relation",IFERROR(VLOOKUP(ListLayout[[#This Row],[Relation]],RelationTable[[Display]:[RELID]],2,0),""))</f>
        <v/>
      </c>
      <c r="BA50" s="60" t="str">
        <f>IF(ListLayout[[#This Row],[List Name for Layout]]="","nest_relation1",IFERROR(VLOOKUP(ListLayout[[#This Row],[Relation 1]],RelationTable[[Display]:[RELID]],2,0),""))</f>
        <v/>
      </c>
      <c r="BB50" s="60" t="str">
        <f>IF(ListLayout[[#This Row],[List Name for Layout]]="","nest_relation2",IFERROR(VLOOKUP(ListLayout[[#This Row],[Relation 2]],RelationTable[[Display]:[RELID]],2,0),""))</f>
        <v/>
      </c>
      <c r="BC50" s="65"/>
      <c r="BD50" s="65"/>
      <c r="BE50" s="65"/>
    </row>
  </sheetData>
  <dataValidations count="4">
    <dataValidation type="list" allowBlank="1" showInputMessage="1" showErrorMessage="1" sqref="BE20 BC20 P2:S22 BC21:BE22 BC2:BE19 AO2:AR39">
      <formula1>Relations</formula1>
    </dataValidation>
    <dataValidation type="list" allowBlank="1" showInputMessage="1" showErrorMessage="1" sqref="M2:M22 AG2:AG39 AU2:AU50">
      <formula1>ListNames</formula1>
    </dataValidation>
    <dataValidation type="list" allowBlank="1" showInputMessage="1" showErrorMessage="1" sqref="O2:O22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846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800507</v>
      </c>
      <c r="F3" s="13" t="s">
        <v>876</v>
      </c>
      <c r="G3" s="13" t="s">
        <v>1012</v>
      </c>
      <c r="H3" s="13" t="s">
        <v>1018</v>
      </c>
      <c r="I3" s="51"/>
      <c r="J3" s="53">
        <f>ResourceData[No]</f>
        <v>802701</v>
      </c>
      <c r="L3" s="2" t="s">
        <v>1023</v>
      </c>
      <c r="M3" s="6">
        <f>VLOOKUP(DataExtra[[#This Row],[Data Name]],ResourceData[[DataDisplayName]:[No]],2,0)</f>
        <v>802701</v>
      </c>
      <c r="N3" s="1"/>
      <c r="O3" s="2" t="s">
        <v>987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1023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1077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1070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987</v>
      </c>
    </row>
    <row r="4" spans="1:49" x14ac:dyDescent="0.25">
      <c r="A4" s="6" t="str">
        <f>'Table Seed Map'!$A$29&amp;"-"&amp;COUNTA($E$1:ResourceData[[#This Row],[Resource]])-2</f>
        <v>Resource Data-2</v>
      </c>
      <c r="B4" s="1" t="s">
        <v>96</v>
      </c>
      <c r="C4" s="6" t="str">
        <f>ResourceData[[#This Row],[Resource Name]]&amp;"/"&amp;ResourceData[[#This Row],[Name]]</f>
        <v>Group/GroupData</v>
      </c>
      <c r="D4" s="15">
        <f>IF(COUNTA($E$1:ResourceData[[#This Row],[Resource]])=2,"id",-2+COUNTA($E$1:ResourceData[[#This Row],[Resource]])+IF(ISNUMBER(VLOOKUP('Table Seed Map'!$A$29,SeedMap[],9,0)),VLOOKUP('Table Seed Map'!$A$29,SeedMap[],9,0),0))</f>
        <v>802702</v>
      </c>
      <c r="E4" s="15">
        <f>IFERROR(VLOOKUP(ResourceData[[#This Row],[Resource Name]],ResourceTable[[RName]:[No]],3,0),"resource")</f>
        <v>800502</v>
      </c>
      <c r="F4" s="13" t="s">
        <v>1201</v>
      </c>
      <c r="G4" s="13" t="s">
        <v>1202</v>
      </c>
      <c r="H4" s="13" t="s">
        <v>23</v>
      </c>
      <c r="I4" s="51"/>
      <c r="J4" s="53">
        <f>ResourceData[No]</f>
        <v>802702</v>
      </c>
      <c r="L4" s="61" t="s">
        <v>1023</v>
      </c>
      <c r="M4" s="62">
        <f>VLOOKUP(DataExtra[[#This Row],[Data Name]],ResourceData[[DataDisplayName]:[No]],2,0)</f>
        <v>802701</v>
      </c>
      <c r="N4" s="63"/>
      <c r="O4" s="2" t="s">
        <v>1061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1023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1110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1070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987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843</v>
      </c>
      <c r="C5" s="6" t="str">
        <f>ResourceData[[#This Row],[Resource Name]]&amp;"/"&amp;ResourceData[[#This Row],[Name]]</f>
        <v>Partner/PartnersData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802703</v>
      </c>
      <c r="E5" s="15">
        <f>IFERROR(VLOOKUP(ResourceData[[#This Row],[Resource Name]],ResourceTable[[RName]:[No]],3,0),"resource")</f>
        <v>800501</v>
      </c>
      <c r="F5" s="13" t="s">
        <v>1203</v>
      </c>
      <c r="G5" s="13" t="s">
        <v>1204</v>
      </c>
      <c r="H5" s="13" t="s">
        <v>23</v>
      </c>
      <c r="I5" s="51"/>
      <c r="J5" s="53">
        <f>ResourceData[No]</f>
        <v>802703</v>
      </c>
      <c r="AE5" s="60" t="str">
        <f>'Table Seed Map'!$A$32&amp;"-"&amp;COUNTA($AF$1:DataViewSection[[#This Row],[Data Name for Layout]])-1</f>
        <v>Data View Section-3</v>
      </c>
      <c r="AF5" s="61" t="s">
        <v>1023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1073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1071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901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6" s="6" t="str">
        <f>'Table Seed Map'!$A$29&amp;"-"&amp;COUNTA($E$1:ResourceData[[#This Row],[Resource]])-2</f>
        <v>Resource Data-4</v>
      </c>
      <c r="B6" s="1" t="s">
        <v>845</v>
      </c>
      <c r="C6" s="6" t="str">
        <f>ResourceData[[#This Row],[Resource Name]]&amp;"/"&amp;ResourceData[[#This Row],[Name]]</f>
        <v>Task/TasksData</v>
      </c>
      <c r="D6" s="15">
        <f>IF(COUNTA($E$1:ResourceData[[#This Row],[Resource]])=2,"id",-2+COUNTA($E$1:ResourceData[[#This Row],[Resource]])+IF(ISNUMBER(VLOOKUP('Table Seed Map'!$A$29,SeedMap[],9,0)),VLOOKUP('Table Seed Map'!$A$29,SeedMap[],9,0),0))</f>
        <v>802704</v>
      </c>
      <c r="E6" s="15">
        <f>IFERROR(VLOOKUP(ResourceData[[#This Row],[Resource Name]],ResourceTable[[RName]:[No]],3,0),"resource")</f>
        <v>800506</v>
      </c>
      <c r="F6" s="13" t="s">
        <v>1205</v>
      </c>
      <c r="G6" s="13" t="s">
        <v>1206</v>
      </c>
      <c r="H6" s="13" t="s">
        <v>23</v>
      </c>
      <c r="I6" s="51"/>
      <c r="J6" s="53">
        <f>ResourceData[No]</f>
        <v>802704</v>
      </c>
      <c r="AP6" s="60" t="str">
        <f>'Table Seed Map'!$A$33&amp;"-"&amp;-1+COUNTA($AQ$1:DataViewSectionItem[[#This Row],[Data Section for Items]])</f>
        <v>Data View Section Items-4</v>
      </c>
      <c r="AQ6" s="61" t="s">
        <v>1071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1064</v>
      </c>
      <c r="AU6" s="65" t="s">
        <v>1065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7" s="6" t="str">
        <f>'Table Seed Map'!$A$29&amp;"-"&amp;COUNTA($E$1:ResourceData[[#This Row],[Resource]])-2</f>
        <v>Resource Data-5</v>
      </c>
      <c r="B7" s="1" t="s">
        <v>1126</v>
      </c>
      <c r="C7" s="6" t="str">
        <f>ResourceData[[#This Row],[Resource Name]]&amp;"/"&amp;ResourceData[[#This Row],[Name]]</f>
        <v>Category/CategoriesData</v>
      </c>
      <c r="D7" s="15">
        <f>IF(COUNTA($E$1:ResourceData[[#This Row],[Resource]])=2,"id",-2+COUNTA($E$1:ResourceData[[#This Row],[Resource]])+IF(ISNUMBER(VLOOKUP('Table Seed Map'!$A$29,SeedMap[],9,0)),VLOOKUP('Table Seed Map'!$A$29,SeedMap[],9,0),0))</f>
        <v>802705</v>
      </c>
      <c r="E7" s="15">
        <f>IFERROR(VLOOKUP(ResourceData[[#This Row],[Resource Name]],ResourceTable[[RName]:[No]],3,0),"resource")</f>
        <v>800503</v>
      </c>
      <c r="F7" s="13" t="s">
        <v>1207</v>
      </c>
      <c r="G7" s="13" t="s">
        <v>1208</v>
      </c>
      <c r="H7" s="13" t="s">
        <v>23</v>
      </c>
      <c r="I7" s="51"/>
      <c r="J7" s="53">
        <f>ResourceData[No]</f>
        <v>802705</v>
      </c>
      <c r="AP7" s="60" t="str">
        <f>'Table Seed Map'!$A$33&amp;"-"&amp;-1+COUNTA($AQ$1:DataViewSectionItem[[#This Row],[Data Section for Items]])</f>
        <v>Data View Section Items-5</v>
      </c>
      <c r="AQ7" s="61" t="s">
        <v>1071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1112</v>
      </c>
      <c r="AU7" s="65" t="s">
        <v>1111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8" s="6" t="str">
        <f>'Table Seed Map'!$A$29&amp;"-"&amp;COUNTA($E$1:ResourceData[[#This Row],[Resource]])-2</f>
        <v>Resource Data-6</v>
      </c>
      <c r="B8" s="1" t="s">
        <v>1226</v>
      </c>
      <c r="C8" s="6" t="str">
        <f>ResourceData[[#This Row],[Resource Name]]&amp;"/"&amp;ResourceData[[#This Row],[Name]]</f>
        <v>Profile/ProfileData</v>
      </c>
      <c r="D8" s="15">
        <f>IF(COUNTA($E$1:ResourceData[[#This Row],[Resource]])=2,"id",-2+COUNTA($E$1:ResourceData[[#This Row],[Resource]])+IF(ISNUMBER(VLOOKUP('Table Seed Map'!$A$29,SeedMap[],9,0)),VLOOKUP('Table Seed Map'!$A$29,SeedMap[],9,0),0))</f>
        <v>802706</v>
      </c>
      <c r="E8" s="15">
        <f>IFERROR(VLOOKUP(ResourceData[[#This Row],[Resource Name]],ResourceTable[[RName]:[No]],3,0),"resource")</f>
        <v>800508</v>
      </c>
      <c r="F8" s="13" t="s">
        <v>1239</v>
      </c>
      <c r="G8" s="13" t="s">
        <v>1226</v>
      </c>
      <c r="H8" s="13" t="s">
        <v>23</v>
      </c>
      <c r="I8" s="51"/>
      <c r="J8" s="53">
        <f>ResourceData[No]</f>
        <v>802706</v>
      </c>
      <c r="AP8" s="60" t="str">
        <f>'Table Seed Map'!$A$33&amp;"-"&amp;-1+COUNTA($AQ$1:DataViewSectionItem[[#This Row],[Data Section for Items]])</f>
        <v>Data View Section Items-6</v>
      </c>
      <c r="AQ8" s="61" t="s">
        <v>1072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1074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1072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1075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1072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1076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33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Category/CreateCategory</v>
      </c>
      <c r="O8" s="6" t="str">
        <f ca="1">IF(IDNMaps[[#This Row],[Name]]="","","("&amp;IDNMaps[[#This Row],[Type]]&amp;") "&amp;IDNMaps[[#This Row],[Name]])</f>
        <v>(Forms) Category/CreateCategory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Profile/CreateProfile</v>
      </c>
      <c r="O9" s="6" t="str">
        <f ca="1">IF(IDNMaps[[#This Row],[Name]]="","","("&amp;IDNMaps[[#This Row],[Type]]&amp;") "&amp;IDNMaps[[#This Row],[Name]])</f>
        <v>(Forms) Profile/CreateProfile</v>
      </c>
      <c r="P9" s="6">
        <f ca="1">IFERROR(VLOOKUP(IDNMaps[[#This Row],[Primary]],INDIRECT(VLOOKUP(IDNMaps[[#This Row],[Type]],RecordCount[],2,0)),VLOOKUP(IDNMaps[[#This Row],[Type]],RecordCount[],8,0),0),"")</f>
        <v>800908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PartnerTask/TaskUpdateForm</v>
      </c>
      <c r="O10" s="6" t="str">
        <f ca="1">IF(IDNMaps[[#This Row],[Name]]="","","("&amp;IDNMaps[[#This Row],[Type]]&amp;") "&amp;IDNMaps[[#This Row],[Name]])</f>
        <v>(Forms) PartnerTask/TaskUpdateForm</v>
      </c>
      <c r="P10" s="6">
        <f ca="1">IFERROR(VLOOKUP(IDNMaps[[#This Row],[Primary]],INDIRECT(VLOOKUP(IDNMaps[[#This Row],[Type]],RecordCount[],2,0)),VLOOKUP(IDNMaps[[#This Row],[Type]],RecordCount[],8,0),0),"")</f>
        <v>800909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Group/GroupList</v>
      </c>
      <c r="O11" s="6" t="str">
        <f ca="1">IF(IDNMaps[[#This Row],[Name]]="","","("&amp;IDNMaps[[#This Row],[Type]]&amp;") "&amp;IDNMaps[[#This Row],[Name]])</f>
        <v>(Lists) Group/GroupList</v>
      </c>
      <c r="P11" s="6">
        <f ca="1">IFERROR(VLOOKUP(IDNMaps[[#This Row],[Primary]],INDIRECT(VLOOKUP(IDNMaps[[#This Row],[Type]],RecordCount[],2,0)),VLOOKUP(IDNMaps[[#This Row],[Type]],RecordCount[],8,0),0),"")</f>
        <v>802201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Partner/PartnerList</v>
      </c>
      <c r="O12" s="6" t="str">
        <f ca="1">IF(IDNMaps[[#This Row],[Name]]="","","("&amp;IDNMaps[[#This Row],[Type]]&amp;") "&amp;IDNMaps[[#This Row],[Name]])</f>
        <v>(Lists) Partner/PartnerList</v>
      </c>
      <c r="P12" s="6">
        <f ca="1">IFERROR(VLOOKUP(IDNMaps[[#This Row],[Primary]],INDIRECT(VLOOKUP(IDNMaps[[#This Row],[Type]],RecordCount[],2,0)),VLOOKUP(IDNMaps[[#This Row],[Type]],RecordCount[],8,0),0),"")</f>
        <v>802202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Task/Task List</v>
      </c>
      <c r="O13" s="6" t="str">
        <f ca="1">IF(IDNMaps[[#This Row],[Name]]="","","("&amp;IDNMaps[[#This Row],[Type]]&amp;") "&amp;IDNMaps[[#This Row],[Name]])</f>
        <v>(Lists) Task/Task List</v>
      </c>
      <c r="P13" s="6">
        <f ca="1">IFERROR(VLOOKUP(IDNMaps[[#This Row],[Primary]],INDIRECT(VLOOKUP(IDNMaps[[#This Row],[Type]],RecordCount[],2,0)),VLOOKUP(IDNMaps[[#This Row],[Type]],RecordCount[],8,0),0),"")</f>
        <v>802203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PartnerTask/NewCategoryList</v>
      </c>
      <c r="O14" s="6" t="str">
        <f ca="1">IF(IDNMaps[[#This Row],[Name]]="","","("&amp;IDNMaps[[#This Row],[Type]]&amp;") "&amp;IDNMaps[[#This Row],[Name]])</f>
        <v>(Lists) PartnerTask/NewCategoryList</v>
      </c>
      <c r="P14" s="6">
        <f ca="1">IFERROR(VLOOKUP(IDNMaps[[#This Row],[Primary]],INDIRECT(VLOOKUP(IDNMaps[[#This Row],[Type]],RecordCount[],2,0)),VLOOKUP(IDNMaps[[#This Row],[Type]],RecordCount[],8,0),0),"")</f>
        <v>802204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PartnerTask/NewTaskList</v>
      </c>
      <c r="O15" s="6" t="str">
        <f ca="1">IF(IDNMaps[[#This Row],[Name]]="","","("&amp;IDNMaps[[#This Row],[Type]]&amp;") "&amp;IDNMaps[[#This Row],[Name]])</f>
        <v>(Lists) PartnerTask/NewTaskList</v>
      </c>
      <c r="P15" s="6">
        <f ca="1">IFERROR(VLOOKUP(IDNMaps[[#This Row],[Primary]],INDIRECT(VLOOKUP(IDNMaps[[#This Row],[Type]],RecordCount[],2,0)),VLOOKUP(IDNMaps[[#This Row],[Type]],RecordCount[],8,0),0),"")</f>
        <v>802205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6" s="6" t="str">
        <f ca="1">IF(IDNMaps[[#This Row],[Name]]="","","("&amp;IDNMaps[[#This Row],[Type]]&amp;") "&amp;IDNMaps[[#This Row],[Name]])</f>
        <v>(Lists) PartnerTask/DismissedTasks</v>
      </c>
      <c r="P16" s="6">
        <f ca="1">IFERROR(VLOOKUP(IDNMaps[[#This Row],[Primary]],INDIRECT(VLOOKUP(IDNMaps[[#This Row],[Type]],RecordCount[],2,0)),VLOOKUP(IDNMaps[[#This Row],[Type]],RecordCount[],8,0),0),"")</f>
        <v>802206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PartnerTask/ReturnedTasks</v>
      </c>
      <c r="O17" s="6" t="str">
        <f ca="1">IF(IDNMaps[[#This Row],[Name]]="","","("&amp;IDNMaps[[#This Row],[Type]]&amp;") "&amp;IDNMaps[[#This Row],[Name]])</f>
        <v>(Lists) PartnerTask/ReturnedTasks</v>
      </c>
      <c r="P17" s="6">
        <f ca="1">IFERROR(VLOOKUP(IDNMaps[[#This Row],[Primary]],INDIRECT(VLOOKUP(IDNMaps[[#This Row],[Type]],RecordCount[],2,0)),VLOOKUP(IDNMaps[[#This Row],[Type]],RecordCount[],8,0),0),"")</f>
        <v>802207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8" s="6" t="str">
        <f ca="1">IF(IDNMaps[[#This Row],[Name]]="","","("&amp;IDNMaps[[#This Row],[Type]]&amp;") "&amp;IDNMaps[[#This Row],[Name]])</f>
        <v>(Lists) PartnerTask/CompletedTasks</v>
      </c>
      <c r="P18" s="6">
        <f ca="1">IFERROR(VLOOKUP(IDNMaps[[#This Row],[Primary]],INDIRECT(VLOOKUP(IDNMaps[[#This Row],[Type]],RecordCount[],2,0)),VLOOKUP(IDNMaps[[#This Row],[Type]],RecordCount[],8,0),0),"")</f>
        <v>802208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9" s="6" t="str">
        <f ca="1">IF(IDNMaps[[#This Row],[Name]]="","","("&amp;IDNMaps[[#This Row],[Type]]&amp;") "&amp;IDNMaps[[#This Row],[Name]])</f>
        <v>(Lists) PartnerTask/RecentlyCompletedTasks</v>
      </c>
      <c r="P19" s="6">
        <f ca="1">IFERROR(VLOOKUP(IDNMaps[[#This Row],[Primary]],INDIRECT(VLOOKUP(IDNMaps[[#This Row],[Type]],RecordCount[],2,0)),VLOOKUP(IDNMaps[[#This Row],[Type]],RecordCount[],8,0),0),"")</f>
        <v>802209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20" s="6" t="str">
        <f ca="1">IF(IDNMaps[[#This Row],[Name]]="","","("&amp;IDNMaps[[#This Row],[Type]]&amp;") "&amp;IDNMaps[[#This Row],[Name]])</f>
        <v>(Lists) PartnerTask/TaskPartnerProgress</v>
      </c>
      <c r="P20" s="6">
        <f ca="1">IFERROR(VLOOKUP(IDNMaps[[#This Row],[Primary]],INDIRECT(VLOOKUP(IDNMaps[[#This Row],[Type]],RecordCount[],2,0)),VLOOKUP(IDNMaps[[#This Row],[Type]],RecordCount[],8,0),0),"")</f>
        <v>802210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21" s="6" t="str">
        <f ca="1">IF(IDNMaps[[#This Row],[Name]]="","","("&amp;IDNMaps[[#This Row],[Type]]&amp;") "&amp;IDNMaps[[#This Row],[Name]])</f>
        <v>(Lists) PartnerTask/PartnerTaskProgress</v>
      </c>
      <c r="P21" s="6">
        <f ca="1">IFERROR(VLOOKUP(IDNMaps[[#This Row],[Primary]],INDIRECT(VLOOKUP(IDNMaps[[#This Row],[Type]],RecordCount[],2,0)),VLOOKUP(IDNMaps[[#This Row],[Type]],RecordCount[],8,0),0),"")</f>
        <v>802211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Category/CategoryList</v>
      </c>
      <c r="O22" s="6" t="str">
        <f ca="1">IF(IDNMaps[[#This Row],[Name]]="","","("&amp;IDNMaps[[#This Row],[Type]]&amp;") "&amp;IDNMaps[[#This Row],[Name]])</f>
        <v>(Lists) Category/CategoryList</v>
      </c>
      <c r="P22" s="6">
        <f ca="1">IFERROR(VLOOKUP(IDNMaps[[#This Row],[Primary]],INDIRECT(VLOOKUP(IDNMaps[[#This Row],[Type]],RecordCount[],2,0)),VLOOKUP(IDNMaps[[#This Row],[Type]],RecordCount[],8,0),0),"")</f>
        <v>802212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CategoryTask/CategoryTaskList</v>
      </c>
      <c r="O23" s="6" t="str">
        <f ca="1">IF(IDNMaps[[#This Row],[Name]]="","","("&amp;IDNMaps[[#This Row],[Type]]&amp;") "&amp;IDNMaps[[#This Row],[Name]])</f>
        <v>(Lists) CategoryTask/CategoryTaskList</v>
      </c>
      <c r="P23" s="6">
        <f ca="1">IFERROR(VLOOKUP(IDNMaps[[#This Row],[Primary]],INDIRECT(VLOOKUP(IDNMaps[[#This Row],[Type]],RecordCount[],2,0)),VLOOKUP(IDNMaps[[#This Row],[Type]],RecordCount[],8,0),0),"")</f>
        <v>802213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Profile/ProfileList</v>
      </c>
      <c r="O24" s="6" t="str">
        <f ca="1">IF(IDNMaps[[#This Row],[Name]]="","","("&amp;IDNMaps[[#This Row],[Type]]&amp;") "&amp;IDNMaps[[#This Row],[Name]])</f>
        <v>(Lists) Profile/ProfileList</v>
      </c>
      <c r="P24" s="6">
        <f ca="1">IFERROR(VLOOKUP(IDNMaps[[#This Row],[Primary]],INDIRECT(VLOOKUP(IDNMaps[[#This Row],[Type]],RecordCount[],2,0)),VLOOKUP(IDNMaps[[#This Row],[Type]],RecordCount[],8,0),0),"")</f>
        <v>802214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PartnerTask/RecentlyUpdatedTasks24</v>
      </c>
      <c r="O25" s="6" t="str">
        <f ca="1">IF(IDNMaps[[#This Row],[Name]]="","","("&amp;IDNMaps[[#This Row],[Type]]&amp;") "&amp;IDNMaps[[#This Row],[Name]])</f>
        <v>(Lists) PartnerTask/RecentlyUpdatedTasks24</v>
      </c>
      <c r="P25" s="6">
        <f ca="1">IFERROR(VLOOKUP(IDNMaps[[#This Row],[Primary]],INDIRECT(VLOOKUP(IDNMaps[[#This Row],[Type]],RecordCount[],2,0)),VLOOKUP(IDNMaps[[#This Row],[Type]],RecordCount[],8,0),0),"")</f>
        <v>802215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16</v>
      </c>
      <c r="M26" s="6" t="str">
        <f ca="1">IFERROR(VLOOKUP(IDNMaps[[#This Row],[Type]],RecordCount[],6,0)&amp;"-"&amp;IDNMaps[[#This Row],[Type Count]],"")</f>
        <v>Resource Lists-16</v>
      </c>
      <c r="N26" s="6" t="str">
        <f ca="1">IFERROR(VLOOKUP(IDNMaps[[#This Row],[Primary]],INDIRECT(VLOOKUP(IDNMaps[[#This Row],[Type]],RecordCount[],2,0)),VLOOKUP(IDNMaps[[#This Row],[Type]],RecordCount[],7,0),0),"")</f>
        <v>PartnerTask/RecentlyUpdatedTasks48</v>
      </c>
      <c r="O26" s="6" t="str">
        <f ca="1">IF(IDNMaps[[#This Row],[Name]]="","","("&amp;IDNMaps[[#This Row],[Type]]&amp;") "&amp;IDNMaps[[#This Row],[Name]])</f>
        <v>(Lists) PartnerTask/RecentlyUpdatedTasks48</v>
      </c>
      <c r="P26" s="6">
        <f ca="1">IFERROR(VLOOKUP(IDNMaps[[#This Row],[Primary]],INDIRECT(VLOOKUP(IDNMaps[[#This Row],[Type]],RecordCount[],2,0)),VLOOKUP(IDNMaps[[#This Row],[Type]],RecordCount[],8,0),0),"")</f>
        <v>802216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1</v>
      </c>
      <c r="M27" s="6" t="str">
        <f ca="1">IFERROR(VLOOKUP(IDNMaps[[#This Row],[Type]],RecordCount[],6,0)&amp;"-"&amp;IDNMaps[[#This Row],[Type Count]],"")</f>
        <v>Resource Data-1</v>
      </c>
      <c r="N27" s="6" t="str">
        <f ca="1">IFERROR(VLOOKUP(IDNMaps[[#This Row],[Primary]],INDIRECT(VLOOKUP(IDNMaps[[#This Row],[Type]],RecordCount[],2,0)),VLOOKUP(IDNMaps[[#This Row],[Type]],RecordCount[],7,0),0),"")</f>
        <v>PartnerTask/TaskProgress</v>
      </c>
      <c r="O27" s="6" t="str">
        <f ca="1">IF(IDNMaps[[#This Row],[Name]]="","","("&amp;IDNMaps[[#This Row],[Type]]&amp;") "&amp;IDNMaps[[#This Row],[Name]])</f>
        <v>(Data) PartnerTask/TaskProgress</v>
      </c>
      <c r="P27" s="6">
        <f ca="1">IFERROR(VLOOKUP(IDNMaps[[#This Row],[Primary]],INDIRECT(VLOOKUP(IDNMaps[[#This Row],[Type]],RecordCount[],2,0)),VLOOKUP(IDNMaps[[#This Row],[Type]],RecordCount[],8,0),0),"")</f>
        <v>802701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2</v>
      </c>
      <c r="M28" s="6" t="str">
        <f ca="1">IFERROR(VLOOKUP(IDNMaps[[#This Row],[Type]],RecordCount[],6,0)&amp;"-"&amp;IDNMaps[[#This Row],[Type Count]],"")</f>
        <v>Resource Data-2</v>
      </c>
      <c r="N28" s="6" t="str">
        <f ca="1">IFERROR(VLOOKUP(IDNMaps[[#This Row],[Primary]],INDIRECT(VLOOKUP(IDNMaps[[#This Row],[Type]],RecordCount[],2,0)),VLOOKUP(IDNMaps[[#This Row],[Type]],RecordCount[],7,0),0),"")</f>
        <v>Group/GroupData</v>
      </c>
      <c r="O28" s="6" t="str">
        <f ca="1">IF(IDNMaps[[#This Row],[Name]]="","","("&amp;IDNMaps[[#This Row],[Type]]&amp;") "&amp;IDNMaps[[#This Row],[Name]])</f>
        <v>(Data) Group/GroupData</v>
      </c>
      <c r="P28" s="6">
        <f ca="1">IFERROR(VLOOKUP(IDNMaps[[#This Row],[Primary]],INDIRECT(VLOOKUP(IDNMaps[[#This Row],[Type]],RecordCount[],2,0)),VLOOKUP(IDNMaps[[#This Row],[Type]],RecordCount[],8,0),0),"")</f>
        <v>802702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3</v>
      </c>
      <c r="M29" s="6" t="str">
        <f ca="1">IFERROR(VLOOKUP(IDNMaps[[#This Row],[Type]],RecordCount[],6,0)&amp;"-"&amp;IDNMaps[[#This Row],[Type Count]],"")</f>
        <v>Resource Data-3</v>
      </c>
      <c r="N29" s="6" t="str">
        <f ca="1">IFERROR(VLOOKUP(IDNMaps[[#This Row],[Primary]],INDIRECT(VLOOKUP(IDNMaps[[#This Row],[Type]],RecordCount[],2,0)),VLOOKUP(IDNMaps[[#This Row],[Type]],RecordCount[],7,0),0),"")</f>
        <v>Partner/PartnersData</v>
      </c>
      <c r="O29" s="6" t="str">
        <f ca="1">IF(IDNMaps[[#This Row],[Name]]="","","("&amp;IDNMaps[[#This Row],[Type]]&amp;") "&amp;IDNMaps[[#This Row],[Name]])</f>
        <v>(Data) Partner/PartnersData</v>
      </c>
      <c r="P29" s="6">
        <f ca="1">IFERROR(VLOOKUP(IDNMaps[[#This Row],[Primary]],INDIRECT(VLOOKUP(IDNMaps[[#This Row],[Type]],RecordCount[],2,0)),VLOOKUP(IDNMaps[[#This Row],[Type]],RecordCount[],8,0),0),"")</f>
        <v>802703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4</v>
      </c>
      <c r="M30" s="6" t="str">
        <f ca="1">IFERROR(VLOOKUP(IDNMaps[[#This Row],[Type]],RecordCount[],6,0)&amp;"-"&amp;IDNMaps[[#This Row],[Type Count]],"")</f>
        <v>Resource Data-4</v>
      </c>
      <c r="N30" s="6" t="str">
        <f ca="1">IFERROR(VLOOKUP(IDNMaps[[#This Row],[Primary]],INDIRECT(VLOOKUP(IDNMaps[[#This Row],[Type]],RecordCount[],2,0)),VLOOKUP(IDNMaps[[#This Row],[Type]],RecordCount[],7,0),0),"")</f>
        <v>Task/TasksData</v>
      </c>
      <c r="O30" s="6" t="str">
        <f ca="1">IF(IDNMaps[[#This Row],[Name]]="","","("&amp;IDNMaps[[#This Row],[Type]]&amp;") "&amp;IDNMaps[[#This Row],[Name]])</f>
        <v>(Data) Task/TasksData</v>
      </c>
      <c r="P30" s="6">
        <f ca="1">IFERROR(VLOOKUP(IDNMaps[[#This Row],[Primary]],INDIRECT(VLOOKUP(IDNMaps[[#This Row],[Type]],RecordCount[],2,0)),VLOOKUP(IDNMaps[[#This Row],[Type]],RecordCount[],8,0),0),"")</f>
        <v>802704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5</v>
      </c>
      <c r="M31" s="6" t="str">
        <f ca="1">IFERROR(VLOOKUP(IDNMaps[[#This Row],[Type]],RecordCount[],6,0)&amp;"-"&amp;IDNMaps[[#This Row],[Type Count]],"")</f>
        <v>Resource Data-5</v>
      </c>
      <c r="N31" s="6" t="str">
        <f ca="1">IFERROR(VLOOKUP(IDNMaps[[#This Row],[Primary]],INDIRECT(VLOOKUP(IDNMaps[[#This Row],[Type]],RecordCount[],2,0)),VLOOKUP(IDNMaps[[#This Row],[Type]],RecordCount[],7,0),0),"")</f>
        <v>Category/CategoriesData</v>
      </c>
      <c r="O31" s="6" t="str">
        <f ca="1">IF(IDNMaps[[#This Row],[Name]]="","","("&amp;IDNMaps[[#This Row],[Type]]&amp;") "&amp;IDNMaps[[#This Row],[Name]])</f>
        <v>(Data) Category/CategoriesData</v>
      </c>
      <c r="P31" s="6">
        <f ca="1">IFERROR(VLOOKUP(IDNMaps[[#This Row],[Primary]],INDIRECT(VLOOKUP(IDNMaps[[#This Row],[Type]],RecordCount[],2,0)),VLOOKUP(IDNMaps[[#This Row],[Type]],RecordCount[],8,0),0),"")</f>
        <v>802705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6</v>
      </c>
      <c r="M32" s="6" t="str">
        <f ca="1">IFERROR(VLOOKUP(IDNMaps[[#This Row],[Type]],RecordCount[],6,0)&amp;"-"&amp;IDNMaps[[#This Row],[Type Count]],"")</f>
        <v>Resource Data-6</v>
      </c>
      <c r="N32" s="6" t="str">
        <f ca="1">IFERROR(VLOOKUP(IDNMaps[[#This Row],[Primary]],INDIRECT(VLOOKUP(IDNMaps[[#This Row],[Type]],RecordCount[],2,0)),VLOOKUP(IDNMaps[[#This Row],[Type]],RecordCount[],7,0),0),"")</f>
        <v>Profile/ProfileData</v>
      </c>
      <c r="O32" s="6" t="str">
        <f ca="1">IF(IDNMaps[[#This Row],[Name]]="","","("&amp;IDNMaps[[#This Row],[Type]]&amp;") "&amp;IDNMaps[[#This Row],[Name]])</f>
        <v>(Data) Profile/ProfileData</v>
      </c>
      <c r="P32" s="6">
        <f ca="1">IFERROR(VLOOKUP(IDNMaps[[#This Row],[Primary]],INDIRECT(VLOOKUP(IDNMaps[[#This Row],[Type]],RecordCount[],2,0)),VLOOKUP(IDNMaps[[#This Row],[Type]],RecordCount[],8,0),0),"")</f>
        <v>802706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</v>
      </c>
      <c r="M33" s="6" t="str">
        <f ca="1">IFERROR(VLOOKUP(IDNMaps[[#This Row],[Type]],RecordCount[],6,0)&amp;"-"&amp;IDNMaps[[#This Row],[Type Count]],"")</f>
        <v>Resource Relations-1</v>
      </c>
      <c r="N33" s="6" t="str">
        <f ca="1">IFERROR(VLOOKUP(IDNMaps[[#This Row],[Primary]],INDIRECT(VLOOKUP(IDNMaps[[#This Row],[Type]],RecordCount[],2,0)),VLOOKUP(IDNMaps[[#This Row],[Type]],RecordCount[],7,0),0),"")</f>
        <v>Partner/Groups</v>
      </c>
      <c r="O33" s="6" t="str">
        <f ca="1">IF(IDNMaps[[#This Row],[Name]]="","","("&amp;IDNMaps[[#This Row],[Type]]&amp;") "&amp;IDNMaps[[#This Row],[Name]])</f>
        <v>(Relation) Partner/Groups</v>
      </c>
      <c r="P33" s="6">
        <f ca="1">IFERROR(VLOOKUP(IDNMaps[[#This Row],[Primary]],INDIRECT(VLOOKUP(IDNMaps[[#This Row],[Type]],RecordCount[],2,0)),VLOOKUP(IDNMaps[[#This Row],[Type]],RecordCount[],8,0),0),"")</f>
        <v>800801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2</v>
      </c>
      <c r="M34" s="6" t="str">
        <f ca="1">IFERROR(VLOOKUP(IDNMaps[[#This Row],[Type]],RecordCount[],6,0)&amp;"-"&amp;IDNMaps[[#This Row],[Type Count]],"")</f>
        <v>Resource Relations-2</v>
      </c>
      <c r="N34" s="6" t="str">
        <f ca="1">IFERROR(VLOOKUP(IDNMaps[[#This Row],[Primary]],INDIRECT(VLOOKUP(IDNMaps[[#This Row],[Type]],RecordCount[],2,0)),VLOOKUP(IDNMaps[[#This Row],[Type]],RecordCount[],7,0),0),"")</f>
        <v>Partner/Tasks</v>
      </c>
      <c r="O34" s="6" t="str">
        <f ca="1">IF(IDNMaps[[#This Row],[Name]]="","","("&amp;IDNMaps[[#This Row],[Type]]&amp;") "&amp;IDNMaps[[#This Row],[Name]])</f>
        <v>(Relation) Partner/Tasks</v>
      </c>
      <c r="P34" s="6">
        <f ca="1">IFERROR(VLOOKUP(IDNMaps[[#This Row],[Primary]],INDIRECT(VLOOKUP(IDNMaps[[#This Row],[Type]],RecordCount[],2,0)),VLOOKUP(IDNMaps[[#This Row],[Type]],RecordCount[],8,0),0),"")</f>
        <v>800802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3</v>
      </c>
      <c r="M35" s="6" t="str">
        <f ca="1">IFERROR(VLOOKUP(IDNMaps[[#This Row],[Type]],RecordCount[],6,0)&amp;"-"&amp;IDNMaps[[#This Row],[Type Count]],"")</f>
        <v>Resource Relations-3</v>
      </c>
      <c r="N35" s="6" t="str">
        <f ca="1">IFERROR(VLOOKUP(IDNMaps[[#This Row],[Primary]],INDIRECT(VLOOKUP(IDNMaps[[#This Row],[Type]],RecordCount[],2,0)),VLOOKUP(IDNMaps[[#This Row],[Type]],RecordCount[],7,0),0),"")</f>
        <v>Group/Partners</v>
      </c>
      <c r="O35" s="6" t="str">
        <f ca="1">IF(IDNMaps[[#This Row],[Name]]="","","("&amp;IDNMaps[[#This Row],[Type]]&amp;") "&amp;IDNMaps[[#This Row],[Name]])</f>
        <v>(Relation) Group/Partners</v>
      </c>
      <c r="P35" s="6">
        <f ca="1">IFERROR(VLOOKUP(IDNMaps[[#This Row],[Primary]],INDIRECT(VLOOKUP(IDNMaps[[#This Row],[Type]],RecordCount[],2,0)),VLOOKUP(IDNMaps[[#This Row],[Type]],RecordCount[],8,0),0),"")</f>
        <v>800803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4</v>
      </c>
      <c r="M36" s="6" t="str">
        <f ca="1">IFERROR(VLOOKUP(IDNMaps[[#This Row],[Type]],RecordCount[],6,0)&amp;"-"&amp;IDNMaps[[#This Row],[Type Count]],"")</f>
        <v>Resource Relations-4</v>
      </c>
      <c r="N36" s="6" t="str">
        <f ca="1">IFERROR(VLOOKUP(IDNMaps[[#This Row],[Primary]],INDIRECT(VLOOKUP(IDNMaps[[#This Row],[Type]],RecordCount[],2,0)),VLOOKUP(IDNMaps[[#This Row],[Type]],RecordCount[],7,0),0),"")</f>
        <v>Task/Main</v>
      </c>
      <c r="O36" s="6" t="str">
        <f ca="1">IF(IDNMaps[[#This Row],[Name]]="","","("&amp;IDNMaps[[#This Row],[Type]]&amp;") "&amp;IDNMaps[[#This Row],[Name]])</f>
        <v>(Relation) Task/Main</v>
      </c>
      <c r="P36" s="6">
        <f ca="1">IFERROR(VLOOKUP(IDNMaps[[#This Row],[Primary]],INDIRECT(VLOOKUP(IDNMaps[[#This Row],[Type]],RecordCount[],2,0)),VLOOKUP(IDNMaps[[#This Row],[Type]],RecordCount[],8,0),0),"")</f>
        <v>800804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5</v>
      </c>
      <c r="M37" s="6" t="str">
        <f ca="1">IFERROR(VLOOKUP(IDNMaps[[#This Row],[Type]],RecordCount[],6,0)&amp;"-"&amp;IDNMaps[[#This Row],[Type Count]],"")</f>
        <v>Resource Relations-5</v>
      </c>
      <c r="N37" s="6" t="str">
        <f ca="1">IFERROR(VLOOKUP(IDNMaps[[#This Row],[Primary]],INDIRECT(VLOOKUP(IDNMaps[[#This Row],[Type]],RecordCount[],2,0)),VLOOKUP(IDNMaps[[#This Row],[Type]],RecordCount[],7,0),0),"")</f>
        <v>Task/Tasks</v>
      </c>
      <c r="O37" s="6" t="str">
        <f ca="1">IF(IDNMaps[[#This Row],[Name]]="","","("&amp;IDNMaps[[#This Row],[Type]]&amp;") "&amp;IDNMaps[[#This Row],[Name]])</f>
        <v>(Relation) Task/Tasks</v>
      </c>
      <c r="P37" s="6">
        <f ca="1">IFERROR(VLOOKUP(IDNMaps[[#This Row],[Primary]],INDIRECT(VLOOKUP(IDNMaps[[#This Row],[Type]],RecordCount[],2,0)),VLOOKUP(IDNMaps[[#This Row],[Type]],RecordCount[],8,0),0),"")</f>
        <v>800805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6</v>
      </c>
      <c r="M38" s="6" t="str">
        <f ca="1">IFERROR(VLOOKUP(IDNMaps[[#This Row],[Type]],RecordCount[],6,0)&amp;"-"&amp;IDNMaps[[#This Row],[Type Count]],"")</f>
        <v>Resource Relations-6</v>
      </c>
      <c r="N38" s="6" t="str">
        <f ca="1">IFERROR(VLOOKUP(IDNMaps[[#This Row],[Primary]],INDIRECT(VLOOKUP(IDNMaps[[#This Row],[Type]],RecordCount[],2,0)),VLOOKUP(IDNMaps[[#This Row],[Type]],RecordCount[],7,0),0),"")</f>
        <v>Task/Partners</v>
      </c>
      <c r="O38" s="6" t="str">
        <f ca="1">IF(IDNMaps[[#This Row],[Name]]="","","("&amp;IDNMaps[[#This Row],[Type]]&amp;") "&amp;IDNMaps[[#This Row],[Name]])</f>
        <v>(Relation) Task/Partners</v>
      </c>
      <c r="P38" s="6">
        <f ca="1">IFERROR(VLOOKUP(IDNMaps[[#This Row],[Primary]],INDIRECT(VLOOKUP(IDNMaps[[#This Row],[Type]],RecordCount[],2,0)),VLOOKUP(IDNMaps[[#This Row],[Type]],RecordCount[],8,0),0),"")</f>
        <v>800806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7</v>
      </c>
      <c r="M39" s="6" t="str">
        <f ca="1">IFERROR(VLOOKUP(IDNMaps[[#This Row],[Type]],RecordCount[],6,0)&amp;"-"&amp;IDNMaps[[#This Row],[Type Count]],"")</f>
        <v>Resource Relations-7</v>
      </c>
      <c r="N39" s="6" t="str">
        <f ca="1">IFERROR(VLOOKUP(IDNMaps[[#This Row],[Primary]],INDIRECT(VLOOKUP(IDNMaps[[#This Row],[Type]],RecordCount[],2,0)),VLOOKUP(IDNMaps[[#This Row],[Type]],RecordCount[],7,0),0),"")</f>
        <v>Task/Progress</v>
      </c>
      <c r="O39" s="6" t="str">
        <f ca="1">IF(IDNMaps[[#This Row],[Name]]="","","("&amp;IDNMaps[[#This Row],[Type]]&amp;") "&amp;IDNMaps[[#This Row],[Name]])</f>
        <v>(Relation) Task/Progress</v>
      </c>
      <c r="P39" s="6">
        <f ca="1">IFERROR(VLOOKUP(IDNMaps[[#This Row],[Primary]],INDIRECT(VLOOKUP(IDNMaps[[#This Row],[Type]],RecordCount[],2,0)),VLOOKUP(IDNMaps[[#This Row],[Type]],RecordCount[],8,0),0),"")</f>
        <v>800807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8</v>
      </c>
      <c r="M40" s="6" t="str">
        <f ca="1">IFERROR(VLOOKUP(IDNMaps[[#This Row],[Type]],RecordCount[],6,0)&amp;"-"&amp;IDNMaps[[#This Row],[Type Count]],"")</f>
        <v>Resource Relations-8</v>
      </c>
      <c r="N40" s="6" t="str">
        <f ca="1">IFERROR(VLOOKUP(IDNMaps[[#This Row],[Primary]],INDIRECT(VLOOKUP(IDNMaps[[#This Row],[Type]],RecordCount[],2,0)),VLOOKUP(IDNMaps[[#This Row],[Type]],RecordCount[],7,0),0),"")</f>
        <v>Partner/Progress</v>
      </c>
      <c r="O40" s="6" t="str">
        <f ca="1">IF(IDNMaps[[#This Row],[Name]]="","","("&amp;IDNMaps[[#This Row],[Type]]&amp;") "&amp;IDNMaps[[#This Row],[Name]])</f>
        <v>(Relation) Partner/Progress</v>
      </c>
      <c r="P40" s="6">
        <f ca="1">IFERROR(VLOOKUP(IDNMaps[[#This Row],[Primary]],INDIRECT(VLOOKUP(IDNMaps[[#This Row],[Type]],RecordCount[],2,0)),VLOOKUP(IDNMaps[[#This Row],[Type]],RecordCount[],8,0),0),"")</f>
        <v>800808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9</v>
      </c>
      <c r="M41" s="6" t="str">
        <f ca="1">IFERROR(VLOOKUP(IDNMaps[[#This Row],[Type]],RecordCount[],6,0)&amp;"-"&amp;IDNMaps[[#This Row],[Type Count]],"")</f>
        <v>Resource Relations-9</v>
      </c>
      <c r="N41" s="6" t="str">
        <f ca="1">IFERROR(VLOOKUP(IDNMaps[[#This Row],[Primary]],INDIRECT(VLOOKUP(IDNMaps[[#This Row],[Type]],RecordCount[],2,0)),VLOOKUP(IDNMaps[[#This Row],[Type]],RecordCount[],7,0),0),"")</f>
        <v>PartnerTask/Task</v>
      </c>
      <c r="O41" s="6" t="str">
        <f ca="1">IF(IDNMaps[[#This Row],[Name]]="","","("&amp;IDNMaps[[#This Row],[Type]]&amp;") "&amp;IDNMaps[[#This Row],[Name]])</f>
        <v>(Relation) PartnerTask/Task</v>
      </c>
      <c r="P41" s="6">
        <f ca="1">IFERROR(VLOOKUP(IDNMaps[[#This Row],[Primary]],INDIRECT(VLOOKUP(IDNMaps[[#This Row],[Type]],RecordCount[],2,0)),VLOOKUP(IDNMaps[[#This Row],[Type]],RecordCount[],8,0),0),"")</f>
        <v>800809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10</v>
      </c>
      <c r="M42" s="6" t="str">
        <f ca="1">IFERROR(VLOOKUP(IDNMaps[[#This Row],[Type]],RecordCount[],6,0)&amp;"-"&amp;IDNMaps[[#This Row],[Type Count]],"")</f>
        <v>Resource Relations-10</v>
      </c>
      <c r="N42" s="6" t="str">
        <f ca="1">IFERROR(VLOOKUP(IDNMaps[[#This Row],[Primary]],INDIRECT(VLOOKUP(IDNMaps[[#This Row],[Type]],RecordCount[],2,0)),VLOOKUP(IDNMaps[[#This Row],[Type]],RecordCount[],7,0),0),"")</f>
        <v>PartnerTask/Partner</v>
      </c>
      <c r="O42" s="6" t="str">
        <f ca="1">IF(IDNMaps[[#This Row],[Name]]="","","("&amp;IDNMaps[[#This Row],[Type]]&amp;") "&amp;IDNMaps[[#This Row],[Name]])</f>
        <v>(Relation) PartnerTask/Partner</v>
      </c>
      <c r="P42" s="6">
        <f ca="1">IFERROR(VLOOKUP(IDNMaps[[#This Row],[Primary]],INDIRECT(VLOOKUP(IDNMaps[[#This Row],[Type]],RecordCount[],2,0)),VLOOKUP(IDNMaps[[#This Row],[Type]],RecordCount[],8,0),0),"")</f>
        <v>800810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11</v>
      </c>
      <c r="M43" s="6" t="str">
        <f ca="1">IFERROR(VLOOKUP(IDNMaps[[#This Row],[Type]],RecordCount[],6,0)&amp;"-"&amp;IDNMaps[[#This Row],[Type Count]],"")</f>
        <v>Resource Relations-11</v>
      </c>
      <c r="N43" s="6" t="str">
        <f ca="1">IFERROR(VLOOKUP(IDNMaps[[#This Row],[Primary]],INDIRECT(VLOOKUP(IDNMaps[[#This Row],[Type]],RecordCount[],2,0)),VLOOKUP(IDNMaps[[#This Row],[Type]],RecordCount[],7,0),0),"")</f>
        <v>Category/TaskCategory</v>
      </c>
      <c r="O43" s="6" t="str">
        <f ca="1">IF(IDNMaps[[#This Row],[Name]]="","","("&amp;IDNMaps[[#This Row],[Type]]&amp;") "&amp;IDNMaps[[#This Row],[Name]])</f>
        <v>(Relation) Category/TaskCategory</v>
      </c>
      <c r="P43" s="6">
        <f ca="1">IFERROR(VLOOKUP(IDNMaps[[#This Row],[Primary]],INDIRECT(VLOOKUP(IDNMaps[[#This Row],[Type]],RecordCount[],2,0)),VLOOKUP(IDNMaps[[#This Row],[Type]],RecordCount[],8,0),0),"")</f>
        <v>800811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12</v>
      </c>
      <c r="M44" s="6" t="str">
        <f ca="1">IFERROR(VLOOKUP(IDNMaps[[#This Row],[Type]],RecordCount[],6,0)&amp;"-"&amp;IDNMaps[[#This Row],[Type Count]],"")</f>
        <v>Resource Relations-12</v>
      </c>
      <c r="N44" s="6" t="str">
        <f ca="1">IFERROR(VLOOKUP(IDNMaps[[#This Row],[Primary]],INDIRECT(VLOOKUP(IDNMaps[[#This Row],[Type]],RecordCount[],2,0)),VLOOKUP(IDNMaps[[#This Row],[Type]],RecordCount[],7,0),0),"")</f>
        <v>Category/TaskCategoryPartner</v>
      </c>
      <c r="O44" s="6" t="str">
        <f ca="1">IF(IDNMaps[[#This Row],[Name]]="","","("&amp;IDNMaps[[#This Row],[Type]]&amp;") "&amp;IDNMaps[[#This Row],[Name]])</f>
        <v>(Relation) Category/TaskCategoryPartner</v>
      </c>
      <c r="P44" s="6">
        <f ca="1">IFERROR(VLOOKUP(IDNMaps[[#This Row],[Primary]],INDIRECT(VLOOKUP(IDNMaps[[#This Row],[Type]],RecordCount[],2,0)),VLOOKUP(IDNMaps[[#This Row],[Type]],RecordCount[],8,0),0),"")</f>
        <v>800812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13</v>
      </c>
      <c r="M45" s="6" t="str">
        <f ca="1">IFERROR(VLOOKUP(IDNMaps[[#This Row],[Type]],RecordCount[],6,0)&amp;"-"&amp;IDNMaps[[#This Row],[Type Count]],"")</f>
        <v>Resource Relations-13</v>
      </c>
      <c r="N45" s="6" t="str">
        <f ca="1">IFERROR(VLOOKUP(IDNMaps[[#This Row],[Primary]],INDIRECT(VLOOKUP(IDNMaps[[#This Row],[Type]],RecordCount[],2,0)),VLOOKUP(IDNMaps[[#This Row],[Type]],RecordCount[],7,0),0),"")</f>
        <v>Task/CategoryTask</v>
      </c>
      <c r="O45" s="6" t="str">
        <f ca="1">IF(IDNMaps[[#This Row],[Name]]="","","("&amp;IDNMaps[[#This Row],[Type]]&amp;") "&amp;IDNMaps[[#This Row],[Name]])</f>
        <v>(Relation) Task/CategoryTask</v>
      </c>
      <c r="P45" s="6">
        <f ca="1">IFERROR(VLOOKUP(IDNMaps[[#This Row],[Primary]],INDIRECT(VLOOKUP(IDNMaps[[#This Row],[Type]],RecordCount[],2,0)),VLOOKUP(IDNMaps[[#This Row],[Type]],RecordCount[],8,0),0),"")</f>
        <v>800813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14</v>
      </c>
      <c r="M46" s="6" t="str">
        <f ca="1">IFERROR(VLOOKUP(IDNMaps[[#This Row],[Type]],RecordCount[],6,0)&amp;"-"&amp;IDNMaps[[#This Row],[Type Count]],"")</f>
        <v>Resource Relations-14</v>
      </c>
      <c r="N46" s="6" t="str">
        <f ca="1">IFERROR(VLOOKUP(IDNMaps[[#This Row],[Primary]],INDIRECT(VLOOKUP(IDNMaps[[#This Row],[Type]],RecordCount[],2,0)),VLOOKUP(IDNMaps[[#This Row],[Type]],RecordCount[],7,0),0),"")</f>
        <v>PartnerTask/CategoryProgress</v>
      </c>
      <c r="O46" s="6" t="str">
        <f ca="1">IF(IDNMaps[[#This Row],[Name]]="","","("&amp;IDNMaps[[#This Row],[Type]]&amp;") "&amp;IDNMaps[[#This Row],[Name]])</f>
        <v>(Relation) PartnerTask/CategoryProgress</v>
      </c>
      <c r="P46" s="6">
        <f ca="1">IFERROR(VLOOKUP(IDNMaps[[#This Row],[Primary]],INDIRECT(VLOOKUP(IDNMaps[[#This Row],[Type]],RecordCount[],2,0)),VLOOKUP(IDNMaps[[#This Row],[Type]],RecordCount[],8,0),0),"")</f>
        <v>800814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15</v>
      </c>
      <c r="M47" s="6" t="str">
        <f ca="1">IFERROR(VLOOKUP(IDNMaps[[#This Row],[Type]],RecordCount[],6,0)&amp;"-"&amp;IDNMaps[[#This Row],[Type Count]],"")</f>
        <v>Resource Relations-15</v>
      </c>
      <c r="N47" s="6" t="str">
        <f ca="1">IFERROR(VLOOKUP(IDNMaps[[#This Row],[Primary]],INDIRECT(VLOOKUP(IDNMaps[[#This Row],[Type]],RecordCount[],2,0)),VLOOKUP(IDNMaps[[#This Row],[Type]],RecordCount[],7,0),0),"")</f>
        <v>CategoryTask/Tasks</v>
      </c>
      <c r="O47" s="6" t="str">
        <f ca="1">IF(IDNMaps[[#This Row],[Name]]="","","("&amp;IDNMaps[[#This Row],[Type]]&amp;") "&amp;IDNMaps[[#This Row],[Name]])</f>
        <v>(Relation) CategoryTask/Tasks</v>
      </c>
      <c r="P47" s="6">
        <f ca="1">IFERROR(VLOOKUP(IDNMaps[[#This Row],[Primary]],INDIRECT(VLOOKUP(IDNMaps[[#This Row],[Type]],RecordCount[],2,0)),VLOOKUP(IDNMaps[[#This Row],[Type]],RecordCount[],8,0),0),"")</f>
        <v>800815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1</v>
      </c>
      <c r="M48" s="6" t="str">
        <f ca="1">IFERROR(VLOOKUP(IDNMaps[[#This Row],[Type]],RecordCount[],6,0)&amp;"-"&amp;IDNMaps[[#This Row],[Type Count]],"")</f>
        <v>Form Fields-1</v>
      </c>
      <c r="N48" s="6" t="str">
        <f ca="1">IFERROR(VLOOKUP(IDNMaps[[#This Row],[Primary]],INDIRECT(VLOOKUP(IDNMaps[[#This Row],[Type]],RecordCount[],2,0)),VLOOKUP(IDNMaps[[#This Row],[Type]],RecordCount[],7,0),0),"")</f>
        <v>Group/CreateGroup/name</v>
      </c>
      <c r="O48" s="6" t="str">
        <f ca="1">IF(IDNMaps[[#This Row],[Name]]="","","("&amp;IDNMaps[[#This Row],[Type]]&amp;") "&amp;IDNMaps[[#This Row],[Name]])</f>
        <v>(Fields) Group/CreateGroup/name</v>
      </c>
      <c r="P48" s="6">
        <f ca="1">IFERROR(VLOOKUP(IDNMaps[[#This Row],[Primary]],INDIRECT(VLOOKUP(IDNMaps[[#This Row],[Type]],RecordCount[],2,0)),VLOOKUP(IDNMaps[[#This Row],[Type]],RecordCount[],8,0),0),"")</f>
        <v>801001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</v>
      </c>
      <c r="M49" s="6" t="str">
        <f ca="1">IFERROR(VLOOKUP(IDNMaps[[#This Row],[Type]],RecordCount[],6,0)&amp;"-"&amp;IDNMaps[[#This Row],[Type Count]],"")</f>
        <v>Form Fields-2</v>
      </c>
      <c r="N49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49" s="6" t="str">
        <f ca="1">IF(IDNMaps[[#This Row],[Name]]="","","("&amp;IDNMaps[[#This Row],[Type]]&amp;") "&amp;IDNMaps[[#This Row],[Name]])</f>
        <v>(Fields) Group/CreateGroup/description</v>
      </c>
      <c r="P49" s="6">
        <f ca="1">IFERROR(VLOOKUP(IDNMaps[[#This Row],[Primary]],INDIRECT(VLOOKUP(IDNMaps[[#This Row],[Type]],RecordCount[],2,0)),VLOOKUP(IDNMaps[[#This Row],[Type]],RecordCount[],8,0),0),"")</f>
        <v>801002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3</v>
      </c>
      <c r="M50" s="6" t="str">
        <f ca="1">IFERROR(VLOOKUP(IDNMaps[[#This Row],[Type]],RecordCount[],6,0)&amp;"-"&amp;IDNMaps[[#This Row],[Type Count]],"")</f>
        <v>Form Fields-3</v>
      </c>
      <c r="N50" s="6" t="str">
        <f ca="1">IFERROR(VLOOKUP(IDNMaps[[#This Row],[Primary]],INDIRECT(VLOOKUP(IDNMaps[[#This Row],[Type]],RecordCount[],2,0)),VLOOKUP(IDNMaps[[#This Row],[Type]],RecordCount[],7,0),0),"")</f>
        <v>Group/CreateGroup/status</v>
      </c>
      <c r="O50" s="6" t="str">
        <f ca="1">IF(IDNMaps[[#This Row],[Name]]="","","("&amp;IDNMaps[[#This Row],[Type]]&amp;") "&amp;IDNMaps[[#This Row],[Name]])</f>
        <v>(Fields) Group/CreateGroup/status</v>
      </c>
      <c r="P50" s="6">
        <f ca="1">IFERROR(VLOOKUP(IDNMaps[[#This Row],[Primary]],INDIRECT(VLOOKUP(IDNMaps[[#This Row],[Type]],RecordCount[],2,0)),VLOOKUP(IDNMaps[[#This Row],[Type]],RecordCount[],8,0),0),"")</f>
        <v>801003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4</v>
      </c>
      <c r="M51" s="6" t="str">
        <f ca="1">IFERROR(VLOOKUP(IDNMaps[[#This Row],[Type]],RecordCount[],6,0)&amp;"-"&amp;IDNMaps[[#This Row],[Type Count]],"")</f>
        <v>Form Fields-4</v>
      </c>
      <c r="N51" s="6" t="str">
        <f ca="1">IFERROR(VLOOKUP(IDNMaps[[#This Row],[Primary]],INDIRECT(VLOOKUP(IDNMaps[[#This Row],[Type]],RecordCount[],2,0)),VLOOKUP(IDNMaps[[#This Row],[Type]],RecordCount[],7,0),0),"")</f>
        <v>Partner/CreatePartner/name</v>
      </c>
      <c r="O51" s="6" t="str">
        <f ca="1">IF(IDNMaps[[#This Row],[Name]]="","","("&amp;IDNMaps[[#This Row],[Type]]&amp;") "&amp;IDNMaps[[#This Row],[Name]])</f>
        <v>(Fields) Partner/CreatePartner/name</v>
      </c>
      <c r="P51" s="6">
        <f ca="1">IFERROR(VLOOKUP(IDNMaps[[#This Row],[Primary]],INDIRECT(VLOOKUP(IDNMaps[[#This Row],[Type]],RecordCount[],2,0)),VLOOKUP(IDNMaps[[#This Row],[Type]],RecordCount[],8,0),0),"")</f>
        <v>801004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5</v>
      </c>
      <c r="M52" s="6" t="str">
        <f ca="1">IFERROR(VLOOKUP(IDNMaps[[#This Row],[Type]],RecordCount[],6,0)&amp;"-"&amp;IDNMaps[[#This Row],[Type Count]],"")</f>
        <v>Form Fields-5</v>
      </c>
      <c r="N52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52" s="6" t="str">
        <f ca="1">IF(IDNMaps[[#This Row],[Name]]="","","("&amp;IDNMaps[[#This Row],[Type]]&amp;") "&amp;IDNMaps[[#This Row],[Name]])</f>
        <v>(Fields) Partner/CreatePartner/email</v>
      </c>
      <c r="P52" s="6">
        <f ca="1">IFERROR(VLOOKUP(IDNMaps[[#This Row],[Primary]],INDIRECT(VLOOKUP(IDNMaps[[#This Row],[Type]],RecordCount[],2,0)),VLOOKUP(IDNMaps[[#This Row],[Type]],RecordCount[],8,0),0),"")</f>
        <v>801005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6</v>
      </c>
      <c r="M53" s="6" t="str">
        <f ca="1">IFERROR(VLOOKUP(IDNMaps[[#This Row],[Type]],RecordCount[],6,0)&amp;"-"&amp;IDNMaps[[#This Row],[Type Count]],"")</f>
        <v>Form Fields-6</v>
      </c>
      <c r="N53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53" s="6" t="str">
        <f ca="1">IF(IDNMaps[[#This Row],[Name]]="","","("&amp;IDNMaps[[#This Row],[Type]]&amp;") "&amp;IDNMaps[[#This Row],[Name]])</f>
        <v>(Fields) Partner/CreatePartner/password</v>
      </c>
      <c r="P53" s="6">
        <f ca="1">IFERROR(VLOOKUP(IDNMaps[[#This Row],[Primary]],INDIRECT(VLOOKUP(IDNMaps[[#This Row],[Type]],RecordCount[],2,0)),VLOOKUP(IDNMaps[[#This Row],[Type]],RecordCount[],8,0),0),"")</f>
        <v>801006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7</v>
      </c>
      <c r="M54" s="6" t="str">
        <f ca="1">IFERROR(VLOOKUP(IDNMaps[[#This Row],[Type]],RecordCount[],6,0)&amp;"-"&amp;IDNMaps[[#This Row],[Type Count]],"")</f>
        <v>Form Fields-7</v>
      </c>
      <c r="N54" s="6" t="str">
        <f ca="1">IFERROR(VLOOKUP(IDNMaps[[#This Row],[Primary]],INDIRECT(VLOOKUP(IDNMaps[[#This Row],[Type]],RecordCount[],2,0)),VLOOKUP(IDNMaps[[#This Row],[Type]],RecordCount[],7,0),0),"")</f>
        <v>Task/CreateTask/name</v>
      </c>
      <c r="O54" s="6" t="str">
        <f ca="1">IF(IDNMaps[[#This Row],[Name]]="","","("&amp;IDNMaps[[#This Row],[Type]]&amp;") "&amp;IDNMaps[[#This Row],[Name]])</f>
        <v>(Fields) Task/CreateTask/name</v>
      </c>
      <c r="P54" s="6">
        <f ca="1">IFERROR(VLOOKUP(IDNMaps[[#This Row],[Primary]],INDIRECT(VLOOKUP(IDNMaps[[#This Row],[Type]],RecordCount[],2,0)),VLOOKUP(IDNMaps[[#This Row],[Type]],RecordCount[],8,0),0),"")</f>
        <v>801007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8</v>
      </c>
      <c r="M55" s="6" t="str">
        <f ca="1">IFERROR(VLOOKUP(IDNMaps[[#This Row],[Type]],RecordCount[],6,0)&amp;"-"&amp;IDNMaps[[#This Row],[Type Count]],"")</f>
        <v>Form Fields-8</v>
      </c>
      <c r="N55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55" s="6" t="str">
        <f ca="1">IF(IDNMaps[[#This Row],[Name]]="","","("&amp;IDNMaps[[#This Row],[Type]]&amp;") "&amp;IDNMaps[[#This Row],[Name]])</f>
        <v>(Fields) Task/CreateTask/description</v>
      </c>
      <c r="P55" s="6">
        <f ca="1">IFERROR(VLOOKUP(IDNMaps[[#This Row],[Primary]],INDIRECT(VLOOKUP(IDNMaps[[#This Row],[Type]],RecordCount[],2,0)),VLOOKUP(IDNMaps[[#This Row],[Type]],RecordCount[],8,0),0),"")</f>
        <v>801008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9</v>
      </c>
      <c r="M56" s="6" t="str">
        <f ca="1">IFERROR(VLOOKUP(IDNMaps[[#This Row],[Type]],RecordCount[],6,0)&amp;"-"&amp;IDNMaps[[#This Row],[Type Count]],"")</f>
        <v>Form Fields-9</v>
      </c>
      <c r="N56" s="6" t="str">
        <f ca="1">IFERROR(VLOOKUP(IDNMaps[[#This Row],[Primary]],INDIRECT(VLOOKUP(IDNMaps[[#This Row],[Type]],RecordCount[],2,0)),VLOOKUP(IDNMaps[[#This Row],[Type]],RecordCount[],7,0),0),"")</f>
        <v>Task/CreateTask/category</v>
      </c>
      <c r="O56" s="6" t="str">
        <f ca="1">IF(IDNMaps[[#This Row],[Name]]="","","("&amp;IDNMaps[[#This Row],[Type]]&amp;") "&amp;IDNMaps[[#This Row],[Name]])</f>
        <v>(Fields) Task/CreateTask/category</v>
      </c>
      <c r="P56" s="6">
        <f ca="1">IFERROR(VLOOKUP(IDNMaps[[#This Row],[Primary]],INDIRECT(VLOOKUP(IDNMaps[[#This Row],[Type]],RecordCount[],2,0)),VLOOKUP(IDNMaps[[#This Row],[Type]],RecordCount[],8,0),0),"")</f>
        <v>801009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10</v>
      </c>
      <c r="M57" s="6" t="str">
        <f ca="1">IFERROR(VLOOKUP(IDNMaps[[#This Row],[Type]],RecordCount[],6,0)&amp;"-"&amp;IDNMaps[[#This Row],[Type Count]],"")</f>
        <v>Form Fields-10</v>
      </c>
      <c r="N57" s="6" t="str">
        <f ca="1">IFERROR(VLOOKUP(IDNMaps[[#This Row],[Primary]],INDIRECT(VLOOKUP(IDNMaps[[#This Row],[Type]],RecordCount[],2,0)),VLOOKUP(IDNMaps[[#This Row],[Type]],RecordCount[],7,0),0),"")</f>
        <v>Task/CreateTask/assign</v>
      </c>
      <c r="O57" s="6" t="str">
        <f ca="1">IF(IDNMaps[[#This Row],[Name]]="","","("&amp;IDNMaps[[#This Row],[Type]]&amp;") "&amp;IDNMaps[[#This Row],[Name]])</f>
        <v>(Fields) Task/CreateTask/assign</v>
      </c>
      <c r="P57" s="6">
        <f ca="1">IFERROR(VLOOKUP(IDNMaps[[#This Row],[Primary]],INDIRECT(VLOOKUP(IDNMaps[[#This Row],[Type]],RecordCount[],2,0)),VLOOKUP(IDNMaps[[#This Row],[Type]],RecordCount[],8,0),0),"")</f>
        <v>801010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11</v>
      </c>
      <c r="M58" s="6" t="str">
        <f ca="1">IFERROR(VLOOKUP(IDNMaps[[#This Row],[Type]],RecordCount[],6,0)&amp;"-"&amp;IDNMaps[[#This Row],[Type Count]],"")</f>
        <v>Form Fields-11</v>
      </c>
      <c r="N58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58" s="6" t="str">
        <f ca="1">IF(IDNMaps[[#This Row],[Name]]="","","("&amp;IDNMaps[[#This Row],[Type]]&amp;") "&amp;IDNMaps[[#This Row],[Name]])</f>
        <v>(Fields) PartnerTask/TaskCompleteDescription/task.name</v>
      </c>
      <c r="P58" s="6">
        <f ca="1">IFERROR(VLOOKUP(IDNMaps[[#This Row],[Primary]],INDIRECT(VLOOKUP(IDNMaps[[#This Row],[Type]],RecordCount[],2,0)),VLOOKUP(IDNMaps[[#This Row],[Type]],RecordCount[],8,0),0),"")</f>
        <v>801011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12</v>
      </c>
      <c r="M59" s="6" t="str">
        <f ca="1">IFERROR(VLOOKUP(IDNMaps[[#This Row],[Type]],RecordCount[],6,0)&amp;"-"&amp;IDNMaps[[#This Row],[Type Count]],"")</f>
        <v>Form Fields-12</v>
      </c>
      <c r="N59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59" s="6" t="str">
        <f ca="1">IF(IDNMaps[[#This Row],[Name]]="","","("&amp;IDNMaps[[#This Row],[Type]]&amp;") "&amp;IDNMaps[[#This Row],[Name]])</f>
        <v>(Fields) PartnerTask/TaskCompleteDescription/task.description</v>
      </c>
      <c r="P59" s="6">
        <f ca="1">IFERROR(VLOOKUP(IDNMaps[[#This Row],[Primary]],INDIRECT(VLOOKUP(IDNMaps[[#This Row],[Type]],RecordCount[],2,0)),VLOOKUP(IDNMaps[[#This Row],[Type]],RecordCount[],8,0),0),"")</f>
        <v>801012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13</v>
      </c>
      <c r="M60" s="6" t="str">
        <f ca="1">IFERROR(VLOOKUP(IDNMaps[[#This Row],[Type]],RecordCount[],6,0)&amp;"-"&amp;IDNMaps[[#This Row],[Type Count]],"")</f>
        <v>Form Fields-13</v>
      </c>
      <c r="N60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60" s="6" t="str">
        <f ca="1">IF(IDNMaps[[#This Row],[Name]]="","","("&amp;IDNMaps[[#This Row],[Type]]&amp;") "&amp;IDNMaps[[#This Row],[Name]])</f>
        <v>(Fields) PartnerTask/TaskCompleteDescription/progress</v>
      </c>
      <c r="P60" s="6">
        <f ca="1">IFERROR(VLOOKUP(IDNMaps[[#This Row],[Primary]],INDIRECT(VLOOKUP(IDNMaps[[#This Row],[Type]],RecordCount[],2,0)),VLOOKUP(IDNMaps[[#This Row],[Type]],RecordCount[],8,0),0),"")</f>
        <v>801013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14</v>
      </c>
      <c r="M61" s="6" t="str">
        <f ca="1">IFERROR(VLOOKUP(IDNMaps[[#This Row],[Type]],RecordCount[],6,0)&amp;"-"&amp;IDNMaps[[#This Row],[Type Count]],"")</f>
        <v>Form Fields-14</v>
      </c>
      <c r="N61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61" s="6" t="str">
        <f ca="1">IF(IDNMaps[[#This Row],[Name]]="","","("&amp;IDNMaps[[#This Row],[Type]]&amp;") "&amp;IDNMaps[[#This Row],[Name]])</f>
        <v>(Fields) PartnerTask/TaskCompleteDescription/remarks</v>
      </c>
      <c r="P61" s="6">
        <f ca="1">IFERROR(VLOOKUP(IDNMaps[[#This Row],[Primary]],INDIRECT(VLOOKUP(IDNMaps[[#This Row],[Type]],RecordCount[],2,0)),VLOOKUP(IDNMaps[[#This Row],[Type]],RecordCount[],8,0),0),"")</f>
        <v>801014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15</v>
      </c>
      <c r="M62" s="6" t="str">
        <f ca="1">IFERROR(VLOOKUP(IDNMaps[[#This Row],[Type]],RecordCount[],6,0)&amp;"-"&amp;IDNMaps[[#This Row],[Type Count]],"")</f>
        <v>Form Fields-15</v>
      </c>
      <c r="N62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62" s="6" t="str">
        <f ca="1">IF(IDNMaps[[#This Row],[Name]]="","","("&amp;IDNMaps[[#This Row],[Type]]&amp;") "&amp;IDNMaps[[#This Row],[Name]])</f>
        <v>(Fields) PartnerTask/TaskCompleteAttachment/task.name</v>
      </c>
      <c r="P62" s="6">
        <f ca="1">IFERROR(VLOOKUP(IDNMaps[[#This Row],[Primary]],INDIRECT(VLOOKUP(IDNMaps[[#This Row],[Type]],RecordCount[],2,0)),VLOOKUP(IDNMaps[[#This Row],[Type]],RecordCount[],8,0),0),"")</f>
        <v>801015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16</v>
      </c>
      <c r="M63" s="6" t="str">
        <f ca="1">IFERROR(VLOOKUP(IDNMaps[[#This Row],[Type]],RecordCount[],6,0)&amp;"-"&amp;IDNMaps[[#This Row],[Type Count]],"")</f>
        <v>Form Fields-16</v>
      </c>
      <c r="N63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63" s="6" t="str">
        <f ca="1">IF(IDNMaps[[#This Row],[Name]]="","","("&amp;IDNMaps[[#This Row],[Type]]&amp;") "&amp;IDNMaps[[#This Row],[Name]])</f>
        <v>(Fields) PartnerTask/TaskCompleteAttachment/task.description</v>
      </c>
      <c r="P63" s="6">
        <f ca="1">IFERROR(VLOOKUP(IDNMaps[[#This Row],[Primary]],INDIRECT(VLOOKUP(IDNMaps[[#This Row],[Type]],RecordCount[],2,0)),VLOOKUP(IDNMaps[[#This Row],[Type]],RecordCount[],8,0),0),"")</f>
        <v>801016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17</v>
      </c>
      <c r="M64" s="6" t="str">
        <f ca="1">IFERROR(VLOOKUP(IDNMaps[[#This Row],[Type]],RecordCount[],6,0)&amp;"-"&amp;IDNMaps[[#This Row],[Type Count]],"")</f>
        <v>Form Fields-17</v>
      </c>
      <c r="N64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64" s="6" t="str">
        <f ca="1">IF(IDNMaps[[#This Row],[Name]]="","","("&amp;IDNMaps[[#This Row],[Type]]&amp;") "&amp;IDNMaps[[#This Row],[Name]])</f>
        <v>(Fields) PartnerTask/TaskCompleteAttachment/progress</v>
      </c>
      <c r="P64" s="6">
        <f ca="1">IFERROR(VLOOKUP(IDNMaps[[#This Row],[Primary]],INDIRECT(VLOOKUP(IDNMaps[[#This Row],[Type]],RecordCount[],2,0)),VLOOKUP(IDNMaps[[#This Row],[Type]],RecordCount[],8,0),0),"")</f>
        <v>801017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18</v>
      </c>
      <c r="M65" s="6" t="str">
        <f ca="1">IFERROR(VLOOKUP(IDNMaps[[#This Row],[Type]],RecordCount[],6,0)&amp;"-"&amp;IDNMaps[[#This Row],[Type Count]],"")</f>
        <v>Form Fields-18</v>
      </c>
      <c r="N65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65" s="6" t="str">
        <f ca="1">IF(IDNMaps[[#This Row],[Name]]="","","("&amp;IDNMaps[[#This Row],[Type]]&amp;") "&amp;IDNMaps[[#This Row],[Name]])</f>
        <v>(Fields) PartnerTask/TaskCompleteAttachment/remarks</v>
      </c>
      <c r="P65" s="6">
        <f ca="1">IFERROR(VLOOKUP(IDNMaps[[#This Row],[Primary]],INDIRECT(VLOOKUP(IDNMaps[[#This Row],[Type]],RecordCount[],2,0)),VLOOKUP(IDNMaps[[#This Row],[Type]],RecordCount[],8,0),0),"")</f>
        <v>801018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19</v>
      </c>
      <c r="M66" s="6" t="str">
        <f ca="1">IFERROR(VLOOKUP(IDNMaps[[#This Row],[Type]],RecordCount[],6,0)&amp;"-"&amp;IDNMaps[[#This Row],[Type Count]],"")</f>
        <v>Form Fields-19</v>
      </c>
      <c r="N66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66" s="6" t="str">
        <f ca="1">IF(IDNMaps[[#This Row],[Name]]="","","("&amp;IDNMaps[[#This Row],[Type]]&amp;") "&amp;IDNMaps[[#This Row],[Name]])</f>
        <v>(Fields) PartnerTask/TaskCompleteAttachment/attachment1</v>
      </c>
      <c r="P66" s="6">
        <f ca="1">IFERROR(VLOOKUP(IDNMaps[[#This Row],[Primary]],INDIRECT(VLOOKUP(IDNMaps[[#This Row],[Type]],RecordCount[],2,0)),VLOOKUP(IDNMaps[[#This Row],[Type]],RecordCount[],8,0),0),"")</f>
        <v>801019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20</v>
      </c>
      <c r="M67" s="6" t="str">
        <f ca="1">IFERROR(VLOOKUP(IDNMaps[[#This Row],[Type]],RecordCount[],6,0)&amp;"-"&amp;IDNMaps[[#This Row],[Type Count]],"")</f>
        <v>Form Fields-20</v>
      </c>
      <c r="N67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67" s="6" t="str">
        <f ca="1">IF(IDNMaps[[#This Row],[Name]]="","","("&amp;IDNMaps[[#This Row],[Type]]&amp;") "&amp;IDNMaps[[#This Row],[Name]])</f>
        <v>(Fields) PartnerTask/TaskCompleteAttachment/attachment2</v>
      </c>
      <c r="P67" s="6">
        <f ca="1">IFERROR(VLOOKUP(IDNMaps[[#This Row],[Primary]],INDIRECT(VLOOKUP(IDNMaps[[#This Row],[Type]],RecordCount[],2,0)),VLOOKUP(IDNMaps[[#This Row],[Type]],RecordCount[],8,0),0),"")</f>
        <v>801020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21</v>
      </c>
      <c r="M68" s="6" t="str">
        <f ca="1">IFERROR(VLOOKUP(IDNMaps[[#This Row],[Type]],RecordCount[],6,0)&amp;"-"&amp;IDNMaps[[#This Row],[Type Count]],"")</f>
        <v>Form Fields-21</v>
      </c>
      <c r="N68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68" s="6" t="str">
        <f ca="1">IF(IDNMaps[[#This Row],[Name]]="","","("&amp;IDNMaps[[#This Row],[Type]]&amp;") "&amp;IDNMaps[[#This Row],[Name]])</f>
        <v>(Fields) PartnerTask/TaskCompleteAttachment/attachment3</v>
      </c>
      <c r="P68" s="6">
        <f ca="1">IFERROR(VLOOKUP(IDNMaps[[#This Row],[Primary]],INDIRECT(VLOOKUP(IDNMaps[[#This Row],[Type]],RecordCount[],2,0)),VLOOKUP(IDNMaps[[#This Row],[Type]],RecordCount[],8,0),0),"")</f>
        <v>801021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22</v>
      </c>
      <c r="M69" s="6" t="str">
        <f ca="1">IFERROR(VLOOKUP(IDNMaps[[#This Row],[Type]],RecordCount[],6,0)&amp;"-"&amp;IDNMaps[[#This Row],[Type Count]],"")</f>
        <v>Form Fields-22</v>
      </c>
      <c r="N69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69" s="6" t="str">
        <f ca="1">IF(IDNMaps[[#This Row],[Name]]="","","("&amp;IDNMaps[[#This Row],[Type]]&amp;") "&amp;IDNMaps[[#This Row],[Name]])</f>
        <v>(Fields) PartnerTask/TaskDismissForm/task.name</v>
      </c>
      <c r="P69" s="6">
        <f ca="1">IFERROR(VLOOKUP(IDNMaps[[#This Row],[Primary]],INDIRECT(VLOOKUP(IDNMaps[[#This Row],[Type]],RecordCount[],2,0)),VLOOKUP(IDNMaps[[#This Row],[Type]],RecordCount[],8,0),0),"")</f>
        <v>801022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23</v>
      </c>
      <c r="M70" s="6" t="str">
        <f ca="1">IFERROR(VLOOKUP(IDNMaps[[#This Row],[Type]],RecordCount[],6,0)&amp;"-"&amp;IDNMaps[[#This Row],[Type Count]],"")</f>
        <v>Form Fields-23</v>
      </c>
      <c r="N70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70" s="6" t="str">
        <f ca="1">IF(IDNMaps[[#This Row],[Name]]="","","("&amp;IDNMaps[[#This Row],[Type]]&amp;") "&amp;IDNMaps[[#This Row],[Name]])</f>
        <v>(Fields) PartnerTask/TaskDismissForm/task.description</v>
      </c>
      <c r="P70" s="6">
        <f ca="1">IFERROR(VLOOKUP(IDNMaps[[#This Row],[Primary]],INDIRECT(VLOOKUP(IDNMaps[[#This Row],[Type]],RecordCount[],2,0)),VLOOKUP(IDNMaps[[#This Row],[Type]],RecordCount[],8,0),0),"")</f>
        <v>801023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24</v>
      </c>
      <c r="M71" s="6" t="str">
        <f ca="1">IFERROR(VLOOKUP(IDNMaps[[#This Row],[Type]],RecordCount[],6,0)&amp;"-"&amp;IDNMaps[[#This Row],[Type Count]],"")</f>
        <v>Form Fields-24</v>
      </c>
      <c r="N71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71" s="6" t="str">
        <f ca="1">IF(IDNMaps[[#This Row],[Name]]="","","("&amp;IDNMaps[[#This Row],[Type]]&amp;") "&amp;IDNMaps[[#This Row],[Name]])</f>
        <v>(Fields) PartnerTask/TaskDismissForm/progress</v>
      </c>
      <c r="P71" s="6">
        <f ca="1">IFERROR(VLOOKUP(IDNMaps[[#This Row],[Primary]],INDIRECT(VLOOKUP(IDNMaps[[#This Row],[Type]],RecordCount[],2,0)),VLOOKUP(IDNMaps[[#This Row],[Type]],RecordCount[],8,0),0),"")</f>
        <v>801024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25</v>
      </c>
      <c r="M72" s="6" t="str">
        <f ca="1">IFERROR(VLOOKUP(IDNMaps[[#This Row],[Type]],RecordCount[],6,0)&amp;"-"&amp;IDNMaps[[#This Row],[Type Count]],"")</f>
        <v>Form Fields-25</v>
      </c>
      <c r="N72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72" s="6" t="str">
        <f ca="1">IF(IDNMaps[[#This Row],[Name]]="","","("&amp;IDNMaps[[#This Row],[Type]]&amp;") "&amp;IDNMaps[[#This Row],[Name]])</f>
        <v>(Fields) PartnerTask/TaskDismissForm/remarks</v>
      </c>
      <c r="P72" s="6">
        <f ca="1">IFERROR(VLOOKUP(IDNMaps[[#This Row],[Primary]],INDIRECT(VLOOKUP(IDNMaps[[#This Row],[Type]],RecordCount[],2,0)),VLOOKUP(IDNMaps[[#This Row],[Type]],RecordCount[],8,0),0),"")</f>
        <v>801025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26</v>
      </c>
      <c r="M73" s="6" t="str">
        <f ca="1">IFERROR(VLOOKUP(IDNMaps[[#This Row],[Type]],RecordCount[],6,0)&amp;"-"&amp;IDNMaps[[#This Row],[Type Count]],"")</f>
        <v>Form Fields-26</v>
      </c>
      <c r="N73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73" s="6" t="str">
        <f ca="1">IF(IDNMaps[[#This Row],[Name]]="","","("&amp;IDNMaps[[#This Row],[Type]]&amp;") "&amp;IDNMaps[[#This Row],[Name]])</f>
        <v>(Fields) Category/CreateCategory/name</v>
      </c>
      <c r="P73" s="6">
        <f ca="1">IFERROR(VLOOKUP(IDNMaps[[#This Row],[Primary]],INDIRECT(VLOOKUP(IDNMaps[[#This Row],[Type]],RecordCount[],2,0)),VLOOKUP(IDNMaps[[#This Row],[Type]],RecordCount[],8,0),0),"")</f>
        <v>801026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27</v>
      </c>
      <c r="M74" s="6" t="str">
        <f ca="1">IFERROR(VLOOKUP(IDNMaps[[#This Row],[Type]],RecordCount[],6,0)&amp;"-"&amp;IDNMaps[[#This Row],[Type Count]],"")</f>
        <v>Form Fields-27</v>
      </c>
      <c r="N74" s="6" t="str">
        <f ca="1">IFERROR(VLOOKUP(IDNMaps[[#This Row],[Primary]],INDIRECT(VLOOKUP(IDNMaps[[#This Row],[Type]],RecordCount[],2,0)),VLOOKUP(IDNMaps[[#This Row],[Type]],RecordCount[],7,0),0),"")</f>
        <v>Category/CreateCategory/status</v>
      </c>
      <c r="O74" s="6" t="str">
        <f ca="1">IF(IDNMaps[[#This Row],[Name]]="","","("&amp;IDNMaps[[#This Row],[Type]]&amp;") "&amp;IDNMaps[[#This Row],[Name]])</f>
        <v>(Fields) Category/CreateCategory/status</v>
      </c>
      <c r="P74" s="6">
        <f ca="1">IFERROR(VLOOKUP(IDNMaps[[#This Row],[Primary]],INDIRECT(VLOOKUP(IDNMaps[[#This Row],[Type]],RecordCount[],2,0)),VLOOKUP(IDNMaps[[#This Row],[Type]],RecordCount[],8,0),0),"")</f>
        <v>801027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28</v>
      </c>
      <c r="M75" s="6" t="str">
        <f ca="1">IFERROR(VLOOKUP(IDNMaps[[#This Row],[Type]],RecordCount[],6,0)&amp;"-"&amp;IDNMaps[[#This Row],[Type Count]],"")</f>
        <v>Form Fields-28</v>
      </c>
      <c r="N75" s="6" t="str">
        <f ca="1">IFERROR(VLOOKUP(IDNMaps[[#This Row],[Primary]],INDIRECT(VLOOKUP(IDNMaps[[#This Row],[Type]],RecordCount[],2,0)),VLOOKUP(IDNMaps[[#This Row],[Type]],RecordCount[],7,0),0),"")</f>
        <v>Profile/CreateProfile/name</v>
      </c>
      <c r="O75" s="6" t="str">
        <f ca="1">IF(IDNMaps[[#This Row],[Name]]="","","("&amp;IDNMaps[[#This Row],[Type]]&amp;") "&amp;IDNMaps[[#This Row],[Name]])</f>
        <v>(Fields) Profile/CreateProfile/name</v>
      </c>
      <c r="P75" s="6">
        <f ca="1">IFERROR(VLOOKUP(IDNMaps[[#This Row],[Primary]],INDIRECT(VLOOKUP(IDNMaps[[#This Row],[Type]],RecordCount[],2,0)),VLOOKUP(IDNMaps[[#This Row],[Type]],RecordCount[],8,0),0),"")</f>
        <v>801028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29</v>
      </c>
      <c r="M76" s="6" t="str">
        <f ca="1">IFERROR(VLOOKUP(IDNMaps[[#This Row],[Type]],RecordCount[],6,0)&amp;"-"&amp;IDNMaps[[#This Row],[Type Count]],"")</f>
        <v>Form Fields-29</v>
      </c>
      <c r="N76" s="6" t="str">
        <f ca="1">IFERROR(VLOOKUP(IDNMaps[[#This Row],[Primary]],INDIRECT(VLOOKUP(IDNMaps[[#This Row],[Type]],RecordCount[],2,0)),VLOOKUP(IDNMaps[[#This Row],[Type]],RecordCount[],7,0),0),"")</f>
        <v>Profile/CreateProfile/email</v>
      </c>
      <c r="O76" s="6" t="str">
        <f ca="1">IF(IDNMaps[[#This Row],[Name]]="","","("&amp;IDNMaps[[#This Row],[Type]]&amp;") "&amp;IDNMaps[[#This Row],[Name]])</f>
        <v>(Fields) Profile/CreateProfile/email</v>
      </c>
      <c r="P76" s="6">
        <f ca="1">IFERROR(VLOOKUP(IDNMaps[[#This Row],[Primary]],INDIRECT(VLOOKUP(IDNMaps[[#This Row],[Type]],RecordCount[],2,0)),VLOOKUP(IDNMaps[[#This Row],[Type]],RecordCount[],8,0),0),"")</f>
        <v>801029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30</v>
      </c>
      <c r="M77" s="6" t="str">
        <f ca="1">IFERROR(VLOOKUP(IDNMaps[[#This Row],[Type]],RecordCount[],6,0)&amp;"-"&amp;IDNMaps[[#This Row],[Type Count]],"")</f>
        <v>Form Fields-30</v>
      </c>
      <c r="N77" s="6" t="str">
        <f ca="1">IFERROR(VLOOKUP(IDNMaps[[#This Row],[Primary]],INDIRECT(VLOOKUP(IDNMaps[[#This Row],[Type]],RecordCount[],2,0)),VLOOKUP(IDNMaps[[#This Row],[Type]],RecordCount[],7,0),0),"")</f>
        <v>Profile/CreateProfile/password</v>
      </c>
      <c r="O77" s="6" t="str">
        <f ca="1">IF(IDNMaps[[#This Row],[Name]]="","","("&amp;IDNMaps[[#This Row],[Type]]&amp;") "&amp;IDNMaps[[#This Row],[Name]])</f>
        <v>(Fields) Profile/CreateProfile/password</v>
      </c>
      <c r="P77" s="6">
        <f ca="1">IFERROR(VLOOKUP(IDNMaps[[#This Row],[Primary]],INDIRECT(VLOOKUP(IDNMaps[[#This Row],[Type]],RecordCount[],2,0)),VLOOKUP(IDNMaps[[#This Row],[Type]],RecordCount[],8,0),0),"")</f>
        <v>801030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31</v>
      </c>
      <c r="M78" s="6" t="str">
        <f ca="1">IFERROR(VLOOKUP(IDNMaps[[#This Row],[Type]],RecordCount[],6,0)&amp;"-"&amp;IDNMaps[[#This Row],[Type Count]],"")</f>
        <v>Form Fields-31</v>
      </c>
      <c r="N78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78" s="6" t="str">
        <f ca="1">IF(IDNMaps[[#This Row],[Name]]="","","("&amp;IDNMaps[[#This Row],[Type]]&amp;") "&amp;IDNMaps[[#This Row],[Name]])</f>
        <v>(Fields) PartnerTask/TaskUpdateForm/task.name</v>
      </c>
      <c r="P78" s="6">
        <f ca="1">IFERROR(VLOOKUP(IDNMaps[[#This Row],[Primary]],INDIRECT(VLOOKUP(IDNMaps[[#This Row],[Type]],RecordCount[],2,0)),VLOOKUP(IDNMaps[[#This Row],[Type]],RecordCount[],8,0),0),"")</f>
        <v>801031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32</v>
      </c>
      <c r="M79" s="6" t="str">
        <f ca="1">IFERROR(VLOOKUP(IDNMaps[[#This Row],[Type]],RecordCount[],6,0)&amp;"-"&amp;IDNMaps[[#This Row],[Type Count]],"")</f>
        <v>Form Fields-32</v>
      </c>
      <c r="N79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79" s="6" t="str">
        <f ca="1">IF(IDNMaps[[#This Row],[Name]]="","","("&amp;IDNMaps[[#This Row],[Type]]&amp;") "&amp;IDNMaps[[#This Row],[Name]])</f>
        <v>(Fields) PartnerTask/TaskUpdateForm/progress</v>
      </c>
      <c r="P79" s="6">
        <f ca="1">IFERROR(VLOOKUP(IDNMaps[[#This Row],[Primary]],INDIRECT(VLOOKUP(IDNMaps[[#This Row],[Type]],RecordCount[],2,0)),VLOOKUP(IDNMaps[[#This Row],[Type]],RecordCount[],8,0),0),"")</f>
        <v>801032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33</v>
      </c>
      <c r="M80" s="6" t="str">
        <f ca="1">IFERROR(VLOOKUP(IDNMaps[[#This Row],[Type]],RecordCount[],6,0)&amp;"-"&amp;IDNMaps[[#This Row],[Type Count]],"")</f>
        <v>Form Fields-33</v>
      </c>
      <c r="N80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80" s="6" t="str">
        <f ca="1">IF(IDNMaps[[#This Row],[Name]]="","","("&amp;IDNMaps[[#This Row],[Type]]&amp;") "&amp;IDNMaps[[#This Row],[Name]])</f>
        <v>(Fields) PartnerTask/TaskUpdateForm/remarks</v>
      </c>
      <c r="P80" s="6">
        <f ca="1">IFERROR(VLOOKUP(IDNMaps[[#This Row],[Primary]],INDIRECT(VLOOKUP(IDNMaps[[#This Row],[Type]],RecordCount[],2,0)),VLOOKUP(IDNMaps[[#This Row],[Type]],RecordCount[],8,0),0),"")</f>
        <v>801033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24" sqref="B2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5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5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2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3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1198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1107</v>
      </c>
      <c r="B18" s="63" t="s">
        <v>810</v>
      </c>
      <c r="C18" s="63" t="s">
        <v>35</v>
      </c>
      <c r="D18" s="63" t="s">
        <v>1108</v>
      </c>
      <c r="E18" s="63" t="s">
        <v>808</v>
      </c>
      <c r="F18" s="63" t="s">
        <v>1109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1111</v>
      </c>
      <c r="B19" s="63" t="s">
        <v>806</v>
      </c>
      <c r="C19" s="63" t="s">
        <v>1111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1106</v>
      </c>
      <c r="E23" s="63" t="s">
        <v>808</v>
      </c>
      <c r="F23" s="63" t="s">
        <v>883</v>
      </c>
      <c r="G23" s="63"/>
      <c r="H23" s="63"/>
      <c r="I23" s="63"/>
      <c r="J23" s="64">
        <f>COUNTIF(TableFields[Field],Columns[[#This Row],[Column]])</f>
        <v>1</v>
      </c>
    </row>
    <row r="24" spans="1:10" x14ac:dyDescent="0.25">
      <c r="A24" s="63" t="s">
        <v>1124</v>
      </c>
      <c r="B24" s="1" t="s">
        <v>818</v>
      </c>
      <c r="C24" s="63" t="s">
        <v>1125</v>
      </c>
      <c r="D24" s="63" t="s">
        <v>1123</v>
      </c>
      <c r="E24" s="63"/>
      <c r="F24" s="63"/>
      <c r="G24" s="63"/>
      <c r="H24" s="63"/>
      <c r="I24" s="63"/>
      <c r="J24" s="64">
        <f>COUNTIF(TableFields[Field],Columns[[#This Row],[Column]])</f>
        <v>2</v>
      </c>
    </row>
  </sheetData>
  <conditionalFormatting sqref="C20:C22">
    <cfRule type="duplicateValues" dxfId="3" priority="3"/>
  </conditionalFormatting>
  <conditionalFormatting sqref="C11:C13">
    <cfRule type="duplicateValues" dxfId="2" priority="1"/>
  </conditionalFormatting>
  <conditionalFormatting sqref="C19">
    <cfRule type="duplicateValues" dxfId="1" priority="49"/>
  </conditionalFormatting>
  <conditionalFormatting sqref="A2:A24">
    <cfRule type="duplicateValues" dxfId="0" priority="50"/>
  </conditionalFormatting>
  <pageMargins left="0.7" right="0.7" top="0.75" bottom="0.75" header="0.3" footer="0.3"/>
  <pageSetup paperSize="9" orientation="portrait" horizontalDpi="4294967293" verticalDpi="30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22" workbookViewId="0">
      <selection activeCell="K24" sqref="K24:K3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802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802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802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802</v>
      </c>
      <c r="B14" s="63" t="s">
        <v>817</v>
      </c>
      <c r="C14" s="63" t="str">
        <f>VLOOKUP(TableFields[Field],Columns[],2,0)&amp;"("</f>
        <v>foreignNullable(</v>
      </c>
      <c r="D14" s="63" t="str">
        <f>IF(VLOOKUP(TableFields[Field],Columns[],3,0)&lt;&gt;"","'"&amp;VLOOKUP(TableFields[Field],Columns[],3,0)&amp;"'","")</f>
        <v>'parent'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5" spans="1:11" x14ac:dyDescent="0.25">
      <c r="A15" s="63" t="s">
        <v>802</v>
      </c>
      <c r="B15" s="63" t="s">
        <v>825</v>
      </c>
      <c r="C15" s="63" t="str">
        <f>VLOOKUP(TableFields[Field],Columns[],2,0)&amp;"("</f>
        <v>enum(</v>
      </c>
      <c r="D15" s="63" t="str">
        <f>IF(VLOOKUP(TableFields[Field],Columns[],3,0)&lt;&gt;"","'"&amp;VLOOKUP(TableFields[Field],Columns[],3,0)&amp;"'","")</f>
        <v>'returnable'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5" s="63" t="str">
        <f>IF(VLOOKUP(TableFields[Field],Columns[],5,0)=0,"","-&gt;"&amp;VLOOKUP(TableFields[Field],Columns[],5,0))</f>
        <v>-&gt;nullable()</v>
      </c>
      <c r="G15" s="63" t="str">
        <f>IF(VLOOKUP(TableFields[Field],Columns[],6,0)=0,"","-&gt;"&amp;VLOOKUP(TableFields[Field],Columns[],6,0))</f>
        <v>-&gt;default('No')</v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16" spans="1:11" x14ac:dyDescent="0.25">
      <c r="A16" s="63" t="s">
        <v>802</v>
      </c>
      <c r="B16" s="63" t="s">
        <v>826</v>
      </c>
      <c r="C16" s="63" t="str">
        <f>VLOOKUP(TableFields[Field],Columns[],2,0)&amp;"("</f>
        <v>enum(</v>
      </c>
      <c r="D16" s="63" t="str">
        <f>IF(VLOOKUP(TableFields[Field],Columns[],3,0)&lt;&gt;"","'"&amp;VLOOKUP(TableFields[Field],Columns[],3,0)&amp;"'","")</f>
        <v>'dismissable'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6" s="63" t="str">
        <f>IF(VLOOKUP(TableFields[Field],Columns[],5,0)=0,"","-&gt;"&amp;VLOOKUP(TableFields[Field],Columns[],5,0))</f>
        <v>-&gt;nullable()</v>
      </c>
      <c r="G16" s="63" t="str">
        <f>IF(VLOOKUP(TableFields[Field],Columns[],6,0)=0,"","-&gt;"&amp;VLOOKUP(TableFields[Field],Columns[],6,0))</f>
        <v>-&gt;default('No')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17" spans="1:11" x14ac:dyDescent="0.25">
      <c r="A17" s="63" t="s">
        <v>802</v>
      </c>
      <c r="B17" s="63" t="s">
        <v>827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'editable'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-&gt;default('No')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18" spans="1:11" x14ac:dyDescent="0.25">
      <c r="A18" s="63" t="s">
        <v>802</v>
      </c>
      <c r="B18" s="63" t="s">
        <v>829</v>
      </c>
      <c r="C18" s="63" t="str">
        <f>VLOOKUP(TableFields[Field],Columns[],2,0)&amp;"("</f>
        <v>tinyInteger(</v>
      </c>
      <c r="D18" s="63" t="str">
        <f>IF(VLOOKUP(TableFields[Field],Columns[],3,0)&lt;&gt;"","'"&amp;VLOOKUP(TableFields[Field],Columns[],3,0)&amp;"'","")</f>
        <v>'weightage'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3" t="str">
        <f>IF(VLOOKUP(TableFields[Field],Columns[],5,0)=0,"","-&gt;"&amp;VLOOKUP(TableFields[Field],Columns[],5,0))</f>
        <v>-&gt;default('100')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9" spans="1:11" x14ac:dyDescent="0.25">
      <c r="A19" s="63" t="s">
        <v>802</v>
      </c>
      <c r="B19" s="63" t="s">
        <v>832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'completion'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9" s="63" t="str">
        <f>IF(VLOOKUP(TableFields[Field],Columns[],5,0)=0,"","-&gt;"&amp;VLOOKUP(TableFields[Field],Columns[],5,0))</f>
        <v>-&gt;default('Attachment')</v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Task'])-&gt;default('Attachment');</v>
      </c>
    </row>
    <row r="20" spans="1:11" x14ac:dyDescent="0.25">
      <c r="A20" s="63" t="s">
        <v>802</v>
      </c>
      <c r="B20" s="63" t="s">
        <v>841</v>
      </c>
      <c r="C20" s="63" t="str">
        <f>VLOOKUP(TableFields[Field],Columns[],2,0)&amp;"("</f>
        <v>foreignNullable(</v>
      </c>
      <c r="D20" s="63" t="str">
        <f>IF(VLOOKUP(TableFields[Field],Columns[],3,0)&lt;&gt;"","'"&amp;VLOOKUP(TableFields[Field],Columns[],3,0)&amp;"'","")</f>
        <v>'assign'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0" s="63" t="str">
        <f>IF(VLOOKUP(TableFields[Field],Columns[],5,0)=0,"","-&gt;"&amp;VLOOKUP(TableFields[Field],Columns[],5,0))</f>
        <v/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1" spans="1:11" x14ac:dyDescent="0.25">
      <c r="A21" s="63" t="s">
        <v>802</v>
      </c>
      <c r="B21" s="63" t="s">
        <v>809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'status'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-&gt;default('Active')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" spans="1:11" s="20" customFormat="1" x14ac:dyDescent="0.25">
      <c r="A22" s="63" t="s">
        <v>802</v>
      </c>
      <c r="B22" s="63" t="s">
        <v>1124</v>
      </c>
      <c r="C22" s="63" t="str">
        <f>VLOOKUP(TableFields[Field],Columns[],2,0)&amp;"("</f>
        <v>foreignNullable(</v>
      </c>
      <c r="D22" s="63" t="str">
        <f>IF(VLOOKUP(TableFields[Field],Columns[],3,0)&lt;&gt;"","'"&amp;VLOOKUP(TableFields[Field],Columns[],3,0)&amp;"'","")</f>
        <v>'category'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23" spans="1:11" x14ac:dyDescent="0.25">
      <c r="A23" s="63" t="s">
        <v>802</v>
      </c>
      <c r="B23" s="63" t="s">
        <v>288</v>
      </c>
      <c r="C23" s="63" t="str">
        <f>VLOOKUP(TableFields[Field],Columns[],2,0)&amp;"("</f>
        <v>audit(</v>
      </c>
      <c r="D23" s="63" t="str">
        <f>IF(VLOOKUP(TableFields[Field],Columns[],3,0)&lt;&gt;"","'"&amp;VLOOKUP(TableFields[Field],Columns[],3,0)&amp;"'","")</f>
        <v/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63" t="str">
        <f>IF(VLOOKUP(TableFields[Field],Columns[],5,0)=0,"","-&gt;"&amp;VLOOKUP(TableFields[Field],Columns[],5,0))</f>
        <v/>
      </c>
      <c r="G23" s="63" t="str">
        <f>IF(VLOOKUP(TableFields[Field],Columns[],6,0)=0,"","-&gt;"&amp;VLOOKUP(TableFields[Field],Columns[],6,0))</f>
        <v/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" spans="1:11" x14ac:dyDescent="0.25">
      <c r="A24" s="63" t="s">
        <v>805</v>
      </c>
      <c r="B24" s="63" t="s">
        <v>21</v>
      </c>
      <c r="C24" s="63" t="str">
        <f>VLOOKUP(TableFields[Field],Columns[],2,0)&amp;"("</f>
        <v>bigIncrements(</v>
      </c>
      <c r="D24" s="63" t="str">
        <f>IF(VLOOKUP(TableFields[Field],Columns[],3,0)&lt;&gt;"","'"&amp;VLOOKUP(TableFields[Field],Columns[],3,0)&amp;"'","")</f>
        <v>'id'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" spans="1:11" x14ac:dyDescent="0.25">
      <c r="A25" s="63" t="s">
        <v>805</v>
      </c>
      <c r="B25" s="63" t="s">
        <v>815</v>
      </c>
      <c r="C25" s="63" t="str">
        <f>VLOOKUP(TableFields[Field],Columns[],2,0)&amp;"("</f>
        <v>foreignCascade(</v>
      </c>
      <c r="D25" s="63" t="str">
        <f>IF(VLOOKUP(TableFields[Field],Columns[],3,0)&lt;&gt;"","'"&amp;VLOOKUP(TableFields[Field],Columns[],3,0)&amp;"'","")</f>
        <v>'partner'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6" spans="1:11" x14ac:dyDescent="0.25">
      <c r="A26" s="63" t="s">
        <v>805</v>
      </c>
      <c r="B26" s="63" t="s">
        <v>835</v>
      </c>
      <c r="C26" s="63" t="str">
        <f>VLOOKUP(TableFields[Field],Columns[],2,0)&amp;"("</f>
        <v>foreignCascade(</v>
      </c>
      <c r="D26" s="63" t="str">
        <f>IF(VLOOKUP(TableFields[Field],Columns[],3,0)&lt;&gt;"","'"&amp;VLOOKUP(TableFields[Field],Columns[],3,0)&amp;"'","")</f>
        <v>'task'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27" spans="1:11" x14ac:dyDescent="0.25">
      <c r="A27" s="63" t="s">
        <v>805</v>
      </c>
      <c r="B27" s="63" t="s">
        <v>1107</v>
      </c>
      <c r="C27" s="63" t="str">
        <f>VLOOKUP(TableFields[Field],Columns[],2,0)&amp;"("</f>
        <v>enum(</v>
      </c>
      <c r="D27" s="63" t="str">
        <f>IF(VLOOKUP(TableFields[Field],Columns[],3,0)&lt;&gt;"","'"&amp;VLOOKUP(TableFields[Field],Columns[],3,0)&amp;"'","")</f>
        <v>'type'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>-&gt;default('Main')</v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28" spans="1:11" x14ac:dyDescent="0.25">
      <c r="A28" s="63" t="s">
        <v>805</v>
      </c>
      <c r="B28" s="63" t="s">
        <v>1111</v>
      </c>
      <c r="C28" s="63" t="str">
        <f>VLOOKUP(TableFields[Field],Columns[],2,0)&amp;"("</f>
        <v>string(</v>
      </c>
      <c r="D28" s="63" t="str">
        <f>IF(VLOOKUP(TableFields[Field],Columns[],3,0)&lt;&gt;"","'"&amp;VLOOKUP(TableFields[Field],Columns[],3,0)&amp;"'","")</f>
        <v>'remarks'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8" s="63" t="str">
        <f>IF(VLOOKUP(TableFields[Field],Columns[],5,0)=0,"","-&gt;"&amp;VLOOKUP(TableFields[Field],Columns[],5,0))</f>
        <v>-&gt;nullable()</v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29" spans="1:11" x14ac:dyDescent="0.25">
      <c r="A29" s="63" t="s">
        <v>805</v>
      </c>
      <c r="B29" s="63" t="s">
        <v>837</v>
      </c>
      <c r="C29" s="63" t="str">
        <f>VLOOKUP(TableFields[Field],Columns[],2,0)&amp;"("</f>
        <v>bigInteger(</v>
      </c>
      <c r="D29" s="63" t="str">
        <f>IF(VLOOKUP(TableFields[Field],Columns[],3,0)&lt;&gt;"","'"&amp;VLOOKUP(TableFields[Field],Columns[],3,0)&amp;"'","")</f>
        <v>'attachment1'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>-&gt;nullable()</v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0" spans="1:11" x14ac:dyDescent="0.25">
      <c r="A30" s="63" t="s">
        <v>805</v>
      </c>
      <c r="B30" s="63" t="s">
        <v>839</v>
      </c>
      <c r="C30" s="63" t="str">
        <f>VLOOKUP(TableFields[Field],Columns[],2,0)&amp;"("</f>
        <v>bigInteger(</v>
      </c>
      <c r="D30" s="63" t="str">
        <f>IF(VLOOKUP(TableFields[Field],Columns[],3,0)&lt;&gt;"","'"&amp;VLOOKUP(TableFields[Field],Columns[],3,0)&amp;"'","")</f>
        <v>'attachment2'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/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1" spans="1:11" x14ac:dyDescent="0.25">
      <c r="A31" s="63" t="s">
        <v>805</v>
      </c>
      <c r="B31" s="63" t="s">
        <v>840</v>
      </c>
      <c r="C31" s="63" t="str">
        <f>VLOOKUP(TableFields[Field],Columns[],2,0)&amp;"("</f>
        <v>bigInteger(</v>
      </c>
      <c r="D31" s="63" t="str">
        <f>IF(VLOOKUP(TableFields[Field],Columns[],3,0)&lt;&gt;"","'"&amp;VLOOKUP(TableFields[Field],Columns[],3,0)&amp;"'","")</f>
        <v>'attachment3'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2" spans="1:11" s="20" customFormat="1" x14ac:dyDescent="0.25">
      <c r="A32" s="63" t="s">
        <v>805</v>
      </c>
      <c r="B32" s="63" t="s">
        <v>1124</v>
      </c>
      <c r="C32" s="63" t="str">
        <f>VLOOKUP(TableFields[Field],Columns[],2,0)&amp;"("</f>
        <v>foreignNullable(</v>
      </c>
      <c r="D32" s="63" t="str">
        <f>IF(VLOOKUP(TableFields[Field],Columns[],3,0)&lt;&gt;"","'"&amp;VLOOKUP(TableFields[Field],Columns[],3,0)&amp;"'","")</f>
        <v>'category'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32" s="63" t="str">
        <f>IF(VLOOKUP(TableFields[Field],Columns[],5,0)=0,"","-&gt;"&amp;VLOOKUP(TableFields[Field],Columns[],5,0))</f>
        <v/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33" spans="1:11" x14ac:dyDescent="0.25">
      <c r="A33" s="63" t="s">
        <v>805</v>
      </c>
      <c r="B33" s="63" t="s">
        <v>823</v>
      </c>
      <c r="C33" s="63" t="str">
        <f>VLOOKUP(TableFields[Field],Columns[],2,0)&amp;"("</f>
        <v>enum(</v>
      </c>
      <c r="D33" s="63" t="str">
        <f>IF(VLOOKUP(TableFields[Field],Columns[],3,0)&lt;&gt;"","'"&amp;VLOOKUP(TableFields[Field],Columns[],3,0)&amp;"'","")</f>
        <v>'progress'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>-&gt;default('New')</v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4" spans="1:11" x14ac:dyDescent="0.25">
      <c r="A34" s="63" t="s">
        <v>805</v>
      </c>
      <c r="B34" s="63" t="s">
        <v>288</v>
      </c>
      <c r="C34" s="63" t="str">
        <f>VLOOKUP(TableFields[Field],Columns[],2,0)&amp;"("</f>
        <v>audit(</v>
      </c>
      <c r="D34" s="63" t="str">
        <f>IF(VLOOKUP(TableFields[Field],Columns[],3,0)&lt;&gt;"","'"&amp;VLOOKUP(TableFields[Field],Columns[],3,0)&amp;"'","")</f>
        <v/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" spans="1:11" s="20" customFormat="1" x14ac:dyDescent="0.25">
      <c r="A35" s="63" t="s">
        <v>1123</v>
      </c>
      <c r="B35" s="63" t="s">
        <v>21</v>
      </c>
      <c r="C35" s="63" t="str">
        <f>VLOOKUP(TableFields[Field],Columns[],2,0)&amp;"("</f>
        <v>bigIncrements(</v>
      </c>
      <c r="D35" s="63" t="str">
        <f>IF(VLOOKUP(TableFields[Field],Columns[],3,0)&lt;&gt;"","'"&amp;VLOOKUP(TableFields[Field],Columns[],3,0)&amp;"'","")</f>
        <v>'id'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" spans="1:11" x14ac:dyDescent="0.25">
      <c r="A36" s="63" t="s">
        <v>1123</v>
      </c>
      <c r="B36" s="63" t="s">
        <v>23</v>
      </c>
      <c r="C36" s="63" t="str">
        <f>VLOOKUP(TableFields[Field],Columns[],2,0)&amp;"("</f>
        <v>string(</v>
      </c>
      <c r="D36" s="63" t="str">
        <f>IF(VLOOKUP(TableFields[Field],Columns[],3,0)&lt;&gt;"","'"&amp;VLOOKUP(TableFields[Field],Columns[],3,0)&amp;"'","")</f>
        <v>'name'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" s="63" t="str">
        <f>IF(VLOOKUP(TableFields[Field],Columns[],5,0)=0,"","-&gt;"&amp;VLOOKUP(TableFields[Field],Columns[],5,0))</f>
        <v>-&gt;index()</v>
      </c>
      <c r="G36" s="63" t="str">
        <f>IF(VLOOKUP(TableFields[Field],Columns[],6,0)=0,"","-&gt;"&amp;VLOOKUP(TableFields[Field],Columns[],6,0))</f>
        <v>-&gt;nullable()</v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37" spans="1:11" x14ac:dyDescent="0.25">
      <c r="A37" s="63" t="s">
        <v>1123</v>
      </c>
      <c r="B37" s="63" t="s">
        <v>809</v>
      </c>
      <c r="C37" s="63" t="str">
        <f>VLOOKUP(TableFields[Field],Columns[],2,0)&amp;"("</f>
        <v>enum(</v>
      </c>
      <c r="D37" s="63" t="str">
        <f>IF(VLOOKUP(TableFields[Field],Columns[],3,0)&lt;&gt;"","'"&amp;VLOOKUP(TableFields[Field],Columns[],3,0)&amp;"'","")</f>
        <v>'status'</v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" s="63" t="str">
        <f>IF(VLOOKUP(TableFields[Field],Columns[],5,0)=0,"","-&gt;"&amp;VLOOKUP(TableFields[Field],Columns[],5,0))</f>
        <v>-&gt;nullable()</v>
      </c>
      <c r="G37" s="63" t="str">
        <f>IF(VLOOKUP(TableFields[Field],Columns[],6,0)=0,"","-&gt;"&amp;VLOOKUP(TableFields[Field],Columns[],6,0))</f>
        <v>-&gt;default('Active')</v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8" spans="1:11" x14ac:dyDescent="0.25">
      <c r="A38" s="63" t="s">
        <v>1123</v>
      </c>
      <c r="B38" s="63" t="s">
        <v>288</v>
      </c>
      <c r="C38" s="63" t="str">
        <f>VLOOKUP(TableFields[Field],Columns[],2,0)&amp;"("</f>
        <v>audit(</v>
      </c>
      <c r="D38" s="63" t="str">
        <f>IF(VLOOKUP(TableFields[Field],Columns[],3,0)&lt;&gt;"","'"&amp;VLOOKUP(TableFields[Field],Columns[],3,0)&amp;"'","")</f>
        <v/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4" spans="1:11" s="20" customFormat="1" x14ac:dyDescent="0.25">
      <c r="A64"/>
      <c r="B64"/>
      <c r="C64"/>
      <c r="D64"/>
      <c r="E64"/>
      <c r="F64"/>
      <c r="G64"/>
      <c r="H64"/>
      <c r="I64"/>
      <c r="J64"/>
      <c r="K64"/>
    </row>
    <row r="309" spans="1:11" s="20" customFormat="1" x14ac:dyDescent="0.25">
      <c r="A309"/>
      <c r="B309"/>
      <c r="C309"/>
      <c r="D309"/>
      <c r="E309"/>
      <c r="F309"/>
      <c r="G309"/>
      <c r="H309"/>
      <c r="I309"/>
      <c r="J309"/>
      <c r="K309"/>
    </row>
    <row r="335" spans="1:11" s="20" customForma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s="20" customFormat="1" x14ac:dyDescent="0.25">
      <c r="A336"/>
      <c r="B336"/>
      <c r="C336"/>
      <c r="D336"/>
      <c r="E336"/>
      <c r="F336"/>
      <c r="G336"/>
      <c r="H336"/>
      <c r="I336"/>
      <c r="J336"/>
      <c r="K336"/>
    </row>
    <row r="342" spans="1:11" s="20" customFormat="1" x14ac:dyDescent="0.25">
      <c r="A342"/>
      <c r="B342"/>
      <c r="C342"/>
      <c r="D342"/>
      <c r="E342"/>
      <c r="F342"/>
      <c r="G342"/>
      <c r="H342"/>
      <c r="I342"/>
      <c r="J342"/>
      <c r="K342"/>
    </row>
    <row r="350" spans="1:11" s="20" customFormat="1" x14ac:dyDescent="0.25">
      <c r="A350"/>
      <c r="B350"/>
      <c r="C350"/>
      <c r="D350"/>
      <c r="E350"/>
      <c r="F350"/>
      <c r="G350"/>
      <c r="H350"/>
      <c r="I350"/>
      <c r="J350"/>
      <c r="K350"/>
    </row>
    <row r="363" spans="1:11" s="20" customFormat="1" x14ac:dyDescent="0.25">
      <c r="A363"/>
      <c r="B363"/>
      <c r="C363"/>
      <c r="D363"/>
      <c r="E363"/>
      <c r="F363"/>
      <c r="G363"/>
      <c r="H363"/>
      <c r="I363"/>
      <c r="J363"/>
      <c r="K363"/>
    </row>
  </sheetData>
  <dataConsolidate/>
  <dataValidations count="2">
    <dataValidation type="list" allowBlank="1" showInputMessage="1" showErrorMessage="1" sqref="B2:B38">
      <formula1>AvailableFields</formula1>
    </dataValidation>
    <dataValidation type="list" allowBlank="1" showInputMessage="1" showErrorMessage="1" sqref="A2:A3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1" workbookViewId="0">
      <selection activeCell="F21" sqref="F21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customWidth="1"/>
    <col min="4" max="6" width="32.5703125" customWidth="1"/>
    <col min="7" max="7" width="38.28515625" customWidth="1"/>
    <col min="8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hidden="1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idden="1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idden="1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idden="1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854</v>
      </c>
      <c r="F5" s="65" t="s">
        <v>855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idden="1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856</v>
      </c>
      <c r="G7" s="65" t="s">
        <v>857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hidden="1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865</v>
      </c>
      <c r="E8" s="65" t="s">
        <v>861</v>
      </c>
      <c r="F8" s="65" t="s">
        <v>866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idden="1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862</v>
      </c>
      <c r="F9" s="65" t="s">
        <v>852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idden="1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860</v>
      </c>
      <c r="E10" s="65" t="s">
        <v>861</v>
      </c>
      <c r="F10" s="65" t="s">
        <v>859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hidden="1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862</v>
      </c>
      <c r="F11" s="65" t="s">
        <v>843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idden="1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idden="1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863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863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863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800302</v>
      </c>
      <c r="F17" s="65" t="s">
        <v>863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863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800506</v>
      </c>
      <c r="E19" s="65">
        <v>800301</v>
      </c>
      <c r="F19" s="65" t="s">
        <v>863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5">
      <c r="A20" s="60" t="str">
        <f>TableData[Table Name]&amp;"-"&amp;(COUNTIF($B$1:TableData[[#This Row],[Table Name]],TableData[[#This Row],[Table Name]])-1)</f>
        <v>Resource Roles-7</v>
      </c>
      <c r="B20" s="65" t="s">
        <v>94</v>
      </c>
      <c r="C2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800607</v>
      </c>
      <c r="D20" s="65">
        <v>800507</v>
      </c>
      <c r="E20" s="65">
        <v>800302</v>
      </c>
      <c r="F20" s="65" t="s">
        <v>1199</v>
      </c>
      <c r="G20" s="91" t="s">
        <v>1200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5">
      <c r="A21" s="60" t="str">
        <f>TableData[Table Name]&amp;"-"&amp;(COUNTIF($B$1:TableData[[#This Row],[Table Name]],TableData[[#This Row],[Table Name]])-1)</f>
        <v>Resource Roles-8</v>
      </c>
      <c r="B21" s="65" t="s">
        <v>94</v>
      </c>
      <c r="C2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800608</v>
      </c>
      <c r="D21" s="65">
        <v>800507</v>
      </c>
      <c r="E21" s="65">
        <v>800301</v>
      </c>
      <c r="F21" s="65" t="s">
        <v>1189</v>
      </c>
      <c r="G21" s="92" t="s">
        <v>1282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5">
      <c r="A22" s="15" t="str">
        <f>TableData[Table Name]&amp;"-"&amp;(COUNTIF($B$1:TableData[[#This Row],[Table Name]],TableData[[#This Row],[Table Name]])-1)</f>
        <v>Resource Roles-9</v>
      </c>
      <c r="B22" s="13" t="s">
        <v>94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800609</v>
      </c>
      <c r="D22" s="13">
        <v>800508</v>
      </c>
      <c r="E22" s="13">
        <v>800302</v>
      </c>
      <c r="F22" s="13" t="s">
        <v>863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60" t="str">
        <f>TableData[Table Name]&amp;"-"&amp;(COUNTIF($B$1:TableData[[#This Row],[Table Name]],TableData[[#This Row],[Table Name]])-1)</f>
        <v>Resource Roles-10</v>
      </c>
      <c r="B23" s="65" t="s">
        <v>94</v>
      </c>
      <c r="C2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800610</v>
      </c>
      <c r="D23" s="13">
        <v>800508</v>
      </c>
      <c r="E23" s="65">
        <v>800301</v>
      </c>
      <c r="F23" s="13" t="s">
        <v>863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8" workbookViewId="0">
      <selection activeCell="I34" sqref="I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864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1049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843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858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858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844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858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845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858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846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858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40" workbookViewId="0">
      <selection activeCell="B6" sqref="B6:R58"/>
    </sheetView>
  </sheetViews>
  <sheetFormatPr defaultColWidth="8.5703125" defaultRowHeight="15" x14ac:dyDescent="0.25"/>
  <cols>
    <col min="1" max="16384" width="8.5703125" style="20"/>
  </cols>
  <sheetData>
    <row r="1" spans="1:20" s="28" customFormat="1" ht="15" customHeight="1" x14ac:dyDescent="0.25">
      <c r="A1" s="88" t="s">
        <v>203</v>
      </c>
      <c r="B1" s="88"/>
      <c r="C1" s="88"/>
      <c r="D1" s="88"/>
      <c r="E1" s="89" t="str">
        <f>"\"&amp;VLOOKUP($A$1,SeedMap[],3,0)&amp;"\"&amp;VLOOKUP($A$1,SeedMap[],4,0)&amp;"::"&amp;VLOOKUP($A$1,SeedMap[],8,0)&amp;"()"</f>
        <v>\Milestone\Appframe\Model\ResourceListLayout::query()</v>
      </c>
      <c r="F1" s="89"/>
      <c r="G1" s="89"/>
      <c r="H1" s="89"/>
      <c r="I1" s="90" t="s">
        <v>73</v>
      </c>
      <c r="J1" s="90"/>
      <c r="K1" s="90"/>
      <c r="L1" s="90"/>
      <c r="M1" s="90"/>
      <c r="N1" s="90"/>
      <c r="O1" s="90"/>
      <c r="P1" s="90"/>
      <c r="Q1" s="90"/>
      <c r="R1" s="90"/>
      <c r="S1" s="23" t="str">
        <f>""</f>
        <v/>
      </c>
      <c r="T1" s="10"/>
    </row>
    <row r="2" spans="1:20" s="28" customFormat="1" ht="15" customHeight="1" x14ac:dyDescent="0.25">
      <c r="A2" s="88"/>
      <c r="B2" s="88"/>
      <c r="C2" s="88"/>
      <c r="D2" s="88"/>
      <c r="E2" s="89" t="str">
        <f>VLOOKUP($A$1,SeedMap[],5,0)</f>
        <v>ListLayout</v>
      </c>
      <c r="F2" s="89"/>
      <c r="G2" s="89"/>
      <c r="H2" s="89"/>
      <c r="I2" s="90" t="s">
        <v>72</v>
      </c>
      <c r="J2" s="90"/>
      <c r="K2" s="90"/>
      <c r="L2" s="90"/>
      <c r="M2" s="90"/>
      <c r="N2" s="90"/>
      <c r="O2" s="90"/>
      <c r="P2" s="90"/>
      <c r="Q2" s="90"/>
      <c r="R2" s="90"/>
      <c r="S2" s="23" t="str">
        <f>";"</f>
        <v>;</v>
      </c>
      <c r="T2" s="10"/>
    </row>
    <row r="3" spans="1:20" s="28" customFormat="1" ht="15" customHeight="1" x14ac:dyDescent="0.25">
      <c r="A3" s="88"/>
      <c r="B3" s="88"/>
      <c r="C3" s="88"/>
      <c r="D3" s="88"/>
      <c r="E3" s="89" t="str">
        <f>VLOOKUP($A$1,SeedMap[],6,0)</f>
        <v>[[Primary]:[R2]]</v>
      </c>
      <c r="F3" s="89"/>
      <c r="G3" s="89"/>
      <c r="H3" s="89"/>
      <c r="I3" s="90" t="s">
        <v>158</v>
      </c>
      <c r="J3" s="90"/>
      <c r="K3" s="90"/>
      <c r="L3" s="90"/>
      <c r="M3" s="90"/>
      <c r="N3" s="90"/>
      <c r="O3" s="90"/>
      <c r="P3" s="90"/>
      <c r="Q3" s="90"/>
      <c r="R3" s="90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5" t="str">
        <f>$I$1</f>
        <v>$_ = \DB::statement('SELECT @@GLOBAL.foreign_key_checks');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10"/>
      <c r="T6" s="10"/>
    </row>
    <row r="7" spans="1:20" x14ac:dyDescent="0.25">
      <c r="A7" s="24"/>
      <c r="B7" s="86" t="str">
        <f>$I$2</f>
        <v>\DB::statement('set foreign_key_checks = 0');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</row>
    <row r="8" spans="1:20" x14ac:dyDescent="0.25">
      <c r="A8" s="24"/>
      <c r="B8" s="87" t="str">
        <f>$E$1</f>
        <v>\Milestone\Appframe\Model\ResourceListLayout::query()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'802501',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'802201', </v>
      </c>
      <c r="E9" s="50" t="str">
        <f t="shared" ca="1" si="2"/>
        <v xml:space="preserve">'label' =&gt; 'Name', </v>
      </c>
      <c r="F9" s="50" t="str">
        <f t="shared" ca="1" si="2"/>
        <v xml:space="preserve">'field' =&gt; 'name',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'802502', </v>
      </c>
      <c r="D10" s="50" t="str">
        <f t="shared" ca="1" si="2"/>
        <v xml:space="preserve">'resource_list' =&gt; '802201', </v>
      </c>
      <c r="E10" s="50" t="str">
        <f t="shared" ca="1" si="2"/>
        <v xml:space="preserve">'label' =&gt; 'Status', </v>
      </c>
      <c r="F10" s="50" t="str">
        <f t="shared" ca="1" si="2"/>
        <v xml:space="preserve">'field' =&gt; 'status',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'802503', </v>
      </c>
      <c r="D11" s="50" t="str">
        <f t="shared" ca="1" si="2"/>
        <v xml:space="preserve">'resource_list' =&gt; '802202', </v>
      </c>
      <c r="E11" s="50" t="str">
        <f t="shared" ca="1" si="2"/>
        <v xml:space="preserve">'label' =&gt; 'Name', </v>
      </c>
      <c r="F11" s="50" t="str">
        <f t="shared" ca="1" si="2"/>
        <v xml:space="preserve">'field' =&gt; 'name',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'802504', </v>
      </c>
      <c r="D12" s="50" t="str">
        <f t="shared" ca="1" si="2"/>
        <v xml:space="preserve">'resource_list' =&gt; '802202', </v>
      </c>
      <c r="E12" s="50" t="str">
        <f t="shared" ca="1" si="2"/>
        <v xml:space="preserve">'label' =&gt; 'Email', </v>
      </c>
      <c r="F12" s="50" t="str">
        <f t="shared" ca="1" si="2"/>
        <v xml:space="preserve">'field' =&gt; 'email',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'802505', </v>
      </c>
      <c r="D13" s="50" t="str">
        <f t="shared" ca="1" si="2"/>
        <v xml:space="preserve">'resource_list' =&gt; '802203', </v>
      </c>
      <c r="E13" s="50" t="str">
        <f t="shared" ca="1" si="2"/>
        <v xml:space="preserve">'label' =&gt; 'Category', </v>
      </c>
      <c r="F13" s="50" t="str">
        <f t="shared" ca="1" si="2"/>
        <v xml:space="preserve">'field' =&gt; 'name', </v>
      </c>
      <c r="G13" s="50" t="str">
        <f t="shared" ca="1" si="2"/>
        <v xml:space="preserve">'relation' =&gt; '800813',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'802506', </v>
      </c>
      <c r="D14" s="50" t="str">
        <f t="shared" ca="1" si="2"/>
        <v xml:space="preserve">'resource_list' =&gt; '802203', </v>
      </c>
      <c r="E14" s="50" t="str">
        <f t="shared" ca="1" si="2"/>
        <v xml:space="preserve">'label' =&gt; 'Name', </v>
      </c>
      <c r="F14" s="50" t="str">
        <f t="shared" ca="1" si="2"/>
        <v xml:space="preserve">'field' =&gt; 'name',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'802507', </v>
      </c>
      <c r="D15" s="50" t="str">
        <f t="shared" ca="1" si="2"/>
        <v xml:space="preserve">'resource_list' =&gt; '802203', </v>
      </c>
      <c r="E15" s="50" t="str">
        <f t="shared" ca="1" si="2"/>
        <v xml:space="preserve">'label' =&gt; 'Status', </v>
      </c>
      <c r="F15" s="50" t="str">
        <f t="shared" ca="1" si="2"/>
        <v xml:space="preserve">'field' =&gt; 'status', </v>
      </c>
      <c r="G15" s="50" t="str">
        <f ca="1">IF(AND($B15=$S$4,G$5&lt;&gt;""),IF(VLOOKUP($A$1&amp;"-"&amp;$A15,INDIRECT($E$2&amp;$E$3),G$4+$B$4,0)="","","'"&amp;G$5&amp;"' =&gt; '"&amp;VLOOKUP($A$1&amp;"-"&amp;$A15,INDIRECT($E$2&amp;$E$3),G$4+$B$4,0)&amp;"', "),"")</f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'802508', </v>
      </c>
      <c r="D16" s="50" t="str">
        <f t="shared" ca="1" si="2"/>
        <v xml:space="preserve">'resource_list' =&gt; '802204', </v>
      </c>
      <c r="E16" s="50" t="str">
        <f t="shared" ca="1" si="2"/>
        <v xml:space="preserve">'label' =&gt; 'Name', </v>
      </c>
      <c r="F16" s="50" t="str">
        <f t="shared" ca="1" si="2"/>
        <v xml:space="preserve">'field' =&gt; 'name', </v>
      </c>
      <c r="G16" s="50" t="str">
        <f t="shared" ca="1" si="2"/>
        <v xml:space="preserve">'relation' =&gt; '800814',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'802509', </v>
      </c>
      <c r="D17" s="50" t="str">
        <f t="shared" ca="1" si="2"/>
        <v xml:space="preserve">'resource_list' =&gt; '802205', </v>
      </c>
      <c r="E17" s="50" t="str">
        <f t="shared" ca="1" si="2"/>
        <v xml:space="preserve">'label' =&gt; 'Category', </v>
      </c>
      <c r="F17" s="50" t="str">
        <f t="shared" ca="1" si="2"/>
        <v xml:space="preserve">'field' =&gt; 'name', </v>
      </c>
      <c r="G17" s="50" t="str">
        <f t="shared" ca="1" si="2"/>
        <v xml:space="preserve">'relation' =&gt; '800814',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'802510', </v>
      </c>
      <c r="D18" s="50" t="str">
        <f t="shared" ca="1" si="2"/>
        <v xml:space="preserve">'resource_list' =&gt; '802205', </v>
      </c>
      <c r="E18" s="50" t="str">
        <f t="shared" ca="1" si="2"/>
        <v xml:space="preserve">'label' =&gt; 'Name', </v>
      </c>
      <c r="F18" s="50" t="str">
        <f t="shared" ca="1" si="2"/>
        <v xml:space="preserve">'field' =&gt; 'name', </v>
      </c>
      <c r="G18" s="50" t="str">
        <f t="shared" ca="1" si="2"/>
        <v xml:space="preserve">'relation' =&gt; '800809',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'802511', </v>
      </c>
      <c r="D19" s="50" t="str">
        <f t="shared" ca="1" si="2"/>
        <v xml:space="preserve">'resource_list' =&gt; '802206', </v>
      </c>
      <c r="E19" s="50" t="str">
        <f t="shared" ca="1" si="2"/>
        <v xml:space="preserve">'label' =&gt; 'Name', </v>
      </c>
      <c r="F19" s="50" t="str">
        <f t="shared" ca="1" si="2"/>
        <v xml:space="preserve">'field' =&gt; 'name', </v>
      </c>
      <c r="G19" s="50" t="str">
        <f t="shared" ca="1" si="2"/>
        <v xml:space="preserve">'relation' =&gt; '800809', </v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'802512', </v>
      </c>
      <c r="D20" s="50" t="str">
        <f t="shared" ca="1" si="2"/>
        <v xml:space="preserve">'resource_list' =&gt; '802206', </v>
      </c>
      <c r="E20" s="50" t="str">
        <f t="shared" ca="1" si="2"/>
        <v xml:space="preserve">'label' =&gt; 'Remarks', </v>
      </c>
      <c r="F20" s="50" t="str">
        <f t="shared" ca="1" si="2"/>
        <v xml:space="preserve">'field' =&gt; 'remarks',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'802513', </v>
      </c>
      <c r="D21" s="50" t="str">
        <f t="shared" ca="1" si="2"/>
        <v xml:space="preserve">'resource_list' =&gt; '802207', </v>
      </c>
      <c r="E21" s="50" t="str">
        <f t="shared" ca="1" si="2"/>
        <v xml:space="preserve">'label' =&gt; 'Name', </v>
      </c>
      <c r="F21" s="50" t="str">
        <f t="shared" ca="1" si="2"/>
        <v xml:space="preserve">'field' =&gt; 'name', </v>
      </c>
      <c r="G21" s="50" t="str">
        <f t="shared" ca="1" si="2"/>
        <v xml:space="preserve">'relation' =&gt; '800809',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'802514', </v>
      </c>
      <c r="D22" s="50" t="str">
        <f t="shared" ca="1" si="2"/>
        <v xml:space="preserve">'resource_list' =&gt; '802207', </v>
      </c>
      <c r="E22" s="50" t="str">
        <f t="shared" ca="1" si="2"/>
        <v xml:space="preserve">'label' =&gt; 'Remarks', </v>
      </c>
      <c r="F22" s="50" t="str">
        <f t="shared" ca="1" si="2"/>
        <v xml:space="preserve">'field' =&gt; 'remarks',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'802515', </v>
      </c>
      <c r="D23" s="50" t="str">
        <f t="shared" ca="1" si="2"/>
        <v xml:space="preserve">'resource_list' =&gt; '802208', </v>
      </c>
      <c r="E23" s="50" t="str">
        <f t="shared" ca="1" si="2"/>
        <v xml:space="preserve">'label' =&gt; 'Category', </v>
      </c>
      <c r="F23" s="50" t="str">
        <f t="shared" ca="1" si="2"/>
        <v xml:space="preserve">'field' =&gt; 'name', </v>
      </c>
      <c r="G23" s="50" t="str">
        <f t="shared" ca="1" si="2"/>
        <v xml:space="preserve">'relation' =&gt; '800814', </v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'802516', </v>
      </c>
      <c r="D24" s="50" t="str">
        <f t="shared" ca="1" si="2"/>
        <v xml:space="preserve">'resource_list' =&gt; '802208', </v>
      </c>
      <c r="E24" s="50" t="str">
        <f t="shared" ca="1" si="2"/>
        <v xml:space="preserve">'label' =&gt; 'Name', </v>
      </c>
      <c r="F24" s="50" t="str">
        <f t="shared" ca="1" si="2"/>
        <v xml:space="preserve">'field' =&gt; 'name', </v>
      </c>
      <c r="G24" s="50" t="str">
        <f t="shared" ca="1" si="2"/>
        <v xml:space="preserve">'relation' =&gt; '800809', </v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'802517', </v>
      </c>
      <c r="D25" s="50" t="str">
        <f t="shared" ca="1" si="4"/>
        <v xml:space="preserve">'resource_list' =&gt; '802208', </v>
      </c>
      <c r="E25" s="50" t="str">
        <f t="shared" ca="1" si="4"/>
        <v xml:space="preserve">'label' =&gt; 'Remarks', </v>
      </c>
      <c r="F25" s="50" t="str">
        <f t="shared" ca="1" si="4"/>
        <v xml:space="preserve">'field' =&gt; 'remarks',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'802518', </v>
      </c>
      <c r="D26" s="50" t="str">
        <f t="shared" ca="1" si="4"/>
        <v xml:space="preserve">'resource_list' =&gt; '802209', </v>
      </c>
      <c r="E26" s="50" t="str">
        <f t="shared" ca="1" si="4"/>
        <v xml:space="preserve">'label' =&gt; 'Partner', </v>
      </c>
      <c r="F26" s="50" t="str">
        <f t="shared" ca="1" si="4"/>
        <v xml:space="preserve">'field' =&gt; 'name', </v>
      </c>
      <c r="G26" s="50" t="str">
        <f t="shared" ca="1" si="4"/>
        <v xml:space="preserve">'relation' =&gt; '800810', </v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'802519', </v>
      </c>
      <c r="D27" s="50" t="str">
        <f t="shared" ca="1" si="4"/>
        <v xml:space="preserve">'resource_list' =&gt; '802209', </v>
      </c>
      <c r="E27" s="50" t="str">
        <f t="shared" ca="1" si="4"/>
        <v xml:space="preserve">'label' =&gt; 'Date', </v>
      </c>
      <c r="F27" s="50" t="str">
        <f t="shared" ca="1" si="4"/>
        <v xml:space="preserve">'field' =&gt; 'updated_at',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'802520', </v>
      </c>
      <c r="D28" s="50" t="str">
        <f t="shared" ca="1" si="4"/>
        <v xml:space="preserve">'resource_list' =&gt; '802210', </v>
      </c>
      <c r="E28" s="50" t="str">
        <f t="shared" ca="1" si="4"/>
        <v xml:space="preserve">'label' =&gt; 'Category', </v>
      </c>
      <c r="F28" s="50" t="str">
        <f t="shared" ca="1" si="4"/>
        <v xml:space="preserve">'field' =&gt; 'name', </v>
      </c>
      <c r="G28" s="50" t="str">
        <f t="shared" ca="1" si="4"/>
        <v xml:space="preserve">'relation' =&gt; '800814', </v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'802521', </v>
      </c>
      <c r="D29" s="50" t="str">
        <f t="shared" ca="1" si="4"/>
        <v xml:space="preserve">'resource_list' =&gt; '802210', </v>
      </c>
      <c r="E29" s="50" t="str">
        <f t="shared" ca="1" si="4"/>
        <v xml:space="preserve">'label' =&gt; 'Partner', </v>
      </c>
      <c r="F29" s="50" t="str">
        <f t="shared" ca="1" si="4"/>
        <v xml:space="preserve">'field' =&gt; 'name', </v>
      </c>
      <c r="G29" s="50" t="str">
        <f t="shared" ca="1" si="4"/>
        <v xml:space="preserve">'relation' =&gt; '800810', </v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'802522', </v>
      </c>
      <c r="D30" s="50" t="str">
        <f t="shared" ca="1" si="4"/>
        <v xml:space="preserve">'resource_list' =&gt; '802210', </v>
      </c>
      <c r="E30" s="50" t="str">
        <f t="shared" ca="1" si="4"/>
        <v xml:space="preserve">'label' =&gt; 'Status', </v>
      </c>
      <c r="F30" s="50" t="str">
        <f t="shared" ca="1" si="4"/>
        <v xml:space="preserve">'field' =&gt; 'progress',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'802523', </v>
      </c>
      <c r="D31" s="50" t="str">
        <f t="shared" ca="1" si="4"/>
        <v xml:space="preserve">'resource_list' =&gt; '802210', </v>
      </c>
      <c r="E31" s="50" t="str">
        <f t="shared" ca="1" si="4"/>
        <v xml:space="preserve">'label' =&gt; 'Date', </v>
      </c>
      <c r="F31" s="50" t="str">
        <f t="shared" ca="1" si="4"/>
        <v xml:space="preserve">'field' =&gt; 'updated_at',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'802524', </v>
      </c>
      <c r="D32" s="50" t="str">
        <f t="shared" ca="1" si="4"/>
        <v xml:space="preserve">'resource_list' =&gt; '802210', </v>
      </c>
      <c r="E32" s="50" t="str">
        <f t="shared" ca="1" si="4"/>
        <v xml:space="preserve">'label' =&gt; 'Remarks', </v>
      </c>
      <c r="F32" s="50" t="str">
        <f t="shared" ca="1" si="4"/>
        <v xml:space="preserve">'field' =&gt; 'remarks',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'802525', </v>
      </c>
      <c r="D33" s="50" t="str">
        <f t="shared" ca="1" si="4"/>
        <v xml:space="preserve">'resource_list' =&gt; '802211', </v>
      </c>
      <c r="E33" s="50" t="str">
        <f t="shared" ca="1" si="4"/>
        <v xml:space="preserve">'label' =&gt; 'Category', </v>
      </c>
      <c r="F33" s="50" t="str">
        <f t="shared" ca="1" si="4"/>
        <v xml:space="preserve">'field' =&gt; 'name', </v>
      </c>
      <c r="G33" s="50" t="str">
        <f t="shared" ca="1" si="4"/>
        <v xml:space="preserve">'relation' =&gt; '800814', </v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'802526', </v>
      </c>
      <c r="D34" s="50" t="str">
        <f t="shared" ca="1" si="4"/>
        <v xml:space="preserve">'resource_list' =&gt; '802211', </v>
      </c>
      <c r="E34" s="50" t="str">
        <f t="shared" ca="1" si="4"/>
        <v xml:space="preserve">'label' =&gt; 'Task', </v>
      </c>
      <c r="F34" s="50" t="str">
        <f t="shared" ca="1" si="4"/>
        <v xml:space="preserve">'field' =&gt; 'name', </v>
      </c>
      <c r="G34" s="50" t="str">
        <f t="shared" ca="1" si="4"/>
        <v xml:space="preserve">'relation' =&gt; '800809',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'802527', </v>
      </c>
      <c r="D35" s="50" t="str">
        <f t="shared" ca="1" si="4"/>
        <v xml:space="preserve">'resource_list' =&gt; '802211', </v>
      </c>
      <c r="E35" s="50" t="str">
        <f t="shared" ca="1" si="4"/>
        <v xml:space="preserve">'label' =&gt; 'Status', </v>
      </c>
      <c r="F35" s="50" t="str">
        <f t="shared" ca="1" si="4"/>
        <v xml:space="preserve">'field' =&gt; 'progress',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'802528', </v>
      </c>
      <c r="D36" s="50" t="str">
        <f t="shared" ca="1" si="4"/>
        <v xml:space="preserve">'resource_list' =&gt; '802211', </v>
      </c>
      <c r="E36" s="50" t="str">
        <f t="shared" ca="1" si="4"/>
        <v xml:space="preserve">'label' =&gt; 'Date', </v>
      </c>
      <c r="F36" s="50" t="str">
        <f t="shared" ca="1" si="4"/>
        <v xml:space="preserve">'field' =&gt; 'updated_at',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'802529', </v>
      </c>
      <c r="D37" s="50" t="str">
        <f t="shared" ca="1" si="4"/>
        <v xml:space="preserve">'resource_list' =&gt; '802211', </v>
      </c>
      <c r="E37" s="50" t="str">
        <f t="shared" ca="1" si="4"/>
        <v xml:space="preserve">'label' =&gt; 'Remarks', </v>
      </c>
      <c r="F37" s="50" t="str">
        <f t="shared" ca="1" si="4"/>
        <v xml:space="preserve">'field' =&gt; 'remarks',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'802530', </v>
      </c>
      <c r="D38" s="50" t="str">
        <f t="shared" ca="1" si="4"/>
        <v xml:space="preserve">'resource_list' =&gt; '802212', </v>
      </c>
      <c r="E38" s="50" t="str">
        <f t="shared" ca="1" si="4"/>
        <v xml:space="preserve">'label' =&gt; 'Name', </v>
      </c>
      <c r="F38" s="50" t="str">
        <f t="shared" ca="1" si="4"/>
        <v xml:space="preserve">'field' =&gt; 'name',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'802531', </v>
      </c>
      <c r="D39" s="50" t="str">
        <f t="shared" ca="1" si="4"/>
        <v xml:space="preserve">'resource_list' =&gt; '802212', </v>
      </c>
      <c r="E39" s="50" t="str">
        <f t="shared" ca="1" si="4"/>
        <v xml:space="preserve">'label' =&gt; 'Status', </v>
      </c>
      <c r="F39" s="50" t="str">
        <f t="shared" ca="1" si="4"/>
        <v xml:space="preserve">'field' =&gt; 'status',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'802532', </v>
      </c>
      <c r="D40" s="50" t="str">
        <f t="shared" ca="1" si="4"/>
        <v xml:space="preserve">'resource_list' =&gt; '802213', </v>
      </c>
      <c r="E40" s="50" t="str">
        <f t="shared" ca="1" si="4"/>
        <v xml:space="preserve">'label' =&gt; 'Name', </v>
      </c>
      <c r="F40" s="50" t="str">
        <f t="shared" ca="1" si="4"/>
        <v xml:space="preserve">'field' =&gt; 'name',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'802533', </v>
      </c>
      <c r="D41" s="50" t="str">
        <f t="shared" ca="1" si="6"/>
        <v xml:space="preserve">'resource_list' =&gt; '802213', </v>
      </c>
      <c r="E41" s="50" t="str">
        <f t="shared" ca="1" si="6"/>
        <v xml:space="preserve">'label' =&gt; 'Pending Tasks', </v>
      </c>
      <c r="F41" s="50" t="str">
        <f t="shared" ca="1" si="6"/>
        <v xml:space="preserve">'field' =&gt; 'new_count',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'802534', </v>
      </c>
      <c r="D42" s="50" t="str">
        <f t="shared" ca="1" si="6"/>
        <v xml:space="preserve">'resource_list' =&gt; '802213', </v>
      </c>
      <c r="E42" s="50" t="str">
        <f t="shared" ca="1" si="6"/>
        <v xml:space="preserve">'label' =&gt; 'Completed Tasks', </v>
      </c>
      <c r="F42" s="50" t="str">
        <f t="shared" ca="1" si="6"/>
        <v xml:space="preserve">'field' =&gt; 'completed_count',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'802535', </v>
      </c>
      <c r="D43" s="50" t="str">
        <f t="shared" ca="1" si="6"/>
        <v xml:space="preserve">'resource_list' =&gt; '802214', </v>
      </c>
      <c r="E43" s="50" t="str">
        <f t="shared" ca="1" si="6"/>
        <v xml:space="preserve">'label' =&gt; 'Name', </v>
      </c>
      <c r="F43" s="50" t="str">
        <f t="shared" ca="1" si="6"/>
        <v xml:space="preserve">'field' =&gt; 'name',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'802536', </v>
      </c>
      <c r="D44" s="50" t="str">
        <f t="shared" ca="1" si="6"/>
        <v xml:space="preserve">'resource_list' =&gt; '802214', </v>
      </c>
      <c r="E44" s="50" t="str">
        <f t="shared" ca="1" si="6"/>
        <v xml:space="preserve">'label' =&gt; 'Email', </v>
      </c>
      <c r="F44" s="50" t="str">
        <f t="shared" ca="1" si="6"/>
        <v xml:space="preserve">'field' =&gt; 'email',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'802537', </v>
      </c>
      <c r="D45" s="50" t="str">
        <f t="shared" ca="1" si="6"/>
        <v xml:space="preserve">'resource_list' =&gt; '802215', </v>
      </c>
      <c r="E45" s="50" t="str">
        <f t="shared" ca="1" si="6"/>
        <v xml:space="preserve">'label' =&gt; 'Category', </v>
      </c>
      <c r="F45" s="50" t="str">
        <f t="shared" ca="1" si="6"/>
        <v xml:space="preserve">'field' =&gt; 'name', </v>
      </c>
      <c r="G45" s="50" t="str">
        <f t="shared" ca="1" si="6"/>
        <v xml:space="preserve">'relation' =&gt; '800814',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'802538', </v>
      </c>
      <c r="D46" s="50" t="str">
        <f t="shared" ca="1" si="6"/>
        <v xml:space="preserve">'resource_list' =&gt; '802215', </v>
      </c>
      <c r="E46" s="50" t="str">
        <f t="shared" ca="1" si="6"/>
        <v xml:space="preserve">'label' =&gt; 'Task', </v>
      </c>
      <c r="F46" s="50" t="str">
        <f t="shared" ca="1" si="6"/>
        <v xml:space="preserve">'field' =&gt; 'name', </v>
      </c>
      <c r="G46" s="50" t="str">
        <f t="shared" ca="1" si="6"/>
        <v xml:space="preserve">'relation' =&gt; '800809',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'802539', </v>
      </c>
      <c r="D47" s="50" t="str">
        <f t="shared" ca="1" si="6"/>
        <v xml:space="preserve">'resource_list' =&gt; '802215', </v>
      </c>
      <c r="E47" s="50" t="str">
        <f t="shared" ca="1" si="6"/>
        <v xml:space="preserve">'label' =&gt; 'Partner', </v>
      </c>
      <c r="F47" s="50" t="str">
        <f t="shared" ca="1" si="6"/>
        <v xml:space="preserve">'field' =&gt; 'name', </v>
      </c>
      <c r="G47" s="50" t="str">
        <f t="shared" ca="1" si="6"/>
        <v xml:space="preserve">'relation' =&gt; '800810',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'802540', </v>
      </c>
      <c r="D48" s="50" t="str">
        <f t="shared" ca="1" si="6"/>
        <v xml:space="preserve">'resource_list' =&gt; '802215', </v>
      </c>
      <c r="E48" s="50" t="str">
        <f t="shared" ca="1" si="6"/>
        <v xml:space="preserve">'label' =&gt; 'Progress', </v>
      </c>
      <c r="F48" s="50" t="str">
        <f t="shared" ca="1" si="6"/>
        <v xml:space="preserve">'field' =&gt; 'progress', </v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'802541', </v>
      </c>
      <c r="D49" s="50" t="str">
        <f t="shared" ca="1" si="6"/>
        <v xml:space="preserve">'resource_list' =&gt; '802215', </v>
      </c>
      <c r="E49" s="50" t="str">
        <f t="shared" ca="1" si="6"/>
        <v xml:space="preserve">'label' =&gt; 'Remarks', </v>
      </c>
      <c r="F49" s="50" t="str">
        <f t="shared" ca="1" si="6"/>
        <v xml:space="preserve">'field' =&gt; 'remarks',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'802542', </v>
      </c>
      <c r="D50" s="50" t="str">
        <f t="shared" ca="1" si="6"/>
        <v xml:space="preserve">'resource_list' =&gt; '802215', </v>
      </c>
      <c r="E50" s="50" t="str">
        <f t="shared" ca="1" si="6"/>
        <v xml:space="preserve">'label' =&gt; 'Updated', </v>
      </c>
      <c r="F50" s="50" t="str">
        <f t="shared" ca="1" si="6"/>
        <v xml:space="preserve">'field' =&gt; 'updated_at',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'802543', </v>
      </c>
      <c r="D51" s="50" t="str">
        <f t="shared" ca="1" si="6"/>
        <v xml:space="preserve">'resource_list' =&gt; '802216', </v>
      </c>
      <c r="E51" s="50" t="str">
        <f t="shared" ca="1" si="6"/>
        <v xml:space="preserve">'label' =&gt; 'Category', </v>
      </c>
      <c r="F51" s="50" t="str">
        <f t="shared" ca="1" si="6"/>
        <v xml:space="preserve">'field' =&gt; 'name', </v>
      </c>
      <c r="G51" s="50" t="str">
        <f t="shared" ca="1" si="6"/>
        <v xml:space="preserve">'relation' =&gt; '800814',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'802544', </v>
      </c>
      <c r="D52" s="50" t="str">
        <f t="shared" ca="1" si="6"/>
        <v xml:space="preserve">'resource_list' =&gt; '802216', </v>
      </c>
      <c r="E52" s="50" t="str">
        <f t="shared" ca="1" si="6"/>
        <v xml:space="preserve">'label' =&gt; 'Task', </v>
      </c>
      <c r="F52" s="50" t="str">
        <f t="shared" ca="1" si="6"/>
        <v xml:space="preserve">'field' =&gt; 'name', </v>
      </c>
      <c r="G52" s="50" t="str">
        <f t="shared" ca="1" si="6"/>
        <v xml:space="preserve">'relation' =&gt; '800809',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'802545', </v>
      </c>
      <c r="D53" s="50" t="str">
        <f t="shared" ca="1" si="6"/>
        <v xml:space="preserve">'resource_list' =&gt; '802216', </v>
      </c>
      <c r="E53" s="50" t="str">
        <f t="shared" ca="1" si="6"/>
        <v xml:space="preserve">'label' =&gt; 'Partner', </v>
      </c>
      <c r="F53" s="50" t="str">
        <f t="shared" ca="1" si="6"/>
        <v xml:space="preserve">'field' =&gt; 'name', </v>
      </c>
      <c r="G53" s="50" t="str">
        <f t="shared" ca="1" si="6"/>
        <v xml:space="preserve">'relation' =&gt; '800810', </v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'802546', </v>
      </c>
      <c r="D54" s="50" t="str">
        <f t="shared" ca="1" si="6"/>
        <v xml:space="preserve">'resource_list' =&gt; '802216', </v>
      </c>
      <c r="E54" s="50" t="str">
        <f t="shared" ca="1" si="6"/>
        <v xml:space="preserve">'label' =&gt; 'Progress', </v>
      </c>
      <c r="F54" s="50" t="str">
        <f t="shared" ca="1" si="6"/>
        <v xml:space="preserve">'field' =&gt; 'progress',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'802547', </v>
      </c>
      <c r="D55" s="50" t="str">
        <f t="shared" ca="1" si="6"/>
        <v xml:space="preserve">'resource_list' =&gt; '802216', </v>
      </c>
      <c r="E55" s="50" t="str">
        <f t="shared" ca="1" si="6"/>
        <v xml:space="preserve">'label' =&gt; 'Remarks', </v>
      </c>
      <c r="F55" s="50" t="str">
        <f t="shared" ca="1" si="6"/>
        <v xml:space="preserve">'field' =&gt; 'remarks', </v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'802548', </v>
      </c>
      <c r="D56" s="50" t="str">
        <f t="shared" ca="1" si="6"/>
        <v xml:space="preserve">'resource_list' =&gt; '802216', </v>
      </c>
      <c r="E56" s="50" t="str">
        <f t="shared" ca="1" si="6"/>
        <v xml:space="preserve">'label' =&gt; 'Updated', </v>
      </c>
      <c r="F56" s="50" t="str">
        <f t="shared" ca="1" si="6"/>
        <v xml:space="preserve">'field' =&gt; 'updated_at', </v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;</v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>\DB::statement('set foreign_key_checks = ' . $_);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E1" workbookViewId="0">
      <selection activeCell="M9" sqref="M9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843</v>
      </c>
      <c r="F3" s="63" t="s">
        <v>847</v>
      </c>
      <c r="G3" s="63" t="s">
        <v>852</v>
      </c>
      <c r="H3" s="62" t="str">
        <f t="shared" ref="H3:H10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848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Category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1126</v>
      </c>
      <c r="F5" s="63" t="s">
        <v>1127</v>
      </c>
      <c r="G5" s="63" t="s">
        <v>1128</v>
      </c>
      <c r="H5" s="62" t="str">
        <f>"Milestone\Task\Model"</f>
        <v>Milestone\Task\Model</v>
      </c>
      <c r="I5" s="63" t="s">
        <v>1123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CategoryTask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1137</v>
      </c>
      <c r="F6" s="63" t="s">
        <v>1160</v>
      </c>
      <c r="G6" s="63" t="s">
        <v>850</v>
      </c>
      <c r="H6" s="62" t="str">
        <f>"Milestone\Task\Model"</f>
        <v>Milestone\Task\Model</v>
      </c>
      <c r="I6" s="63" t="s">
        <v>1123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GroupPartner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844</v>
      </c>
      <c r="F7" s="63" t="s">
        <v>849</v>
      </c>
      <c r="G7" s="63" t="s">
        <v>853</v>
      </c>
      <c r="H7" s="62" t="str">
        <f t="shared" si="0"/>
        <v>Milestone\Task\Model</v>
      </c>
      <c r="I7" s="63" t="s">
        <v>804</v>
      </c>
      <c r="J7" s="63"/>
      <c r="K7" s="63"/>
      <c r="L7" s="63"/>
      <c r="M7" s="64">
        <f>ResourceTable[No]</f>
        <v>800505</v>
      </c>
    </row>
    <row r="8" spans="1:26" x14ac:dyDescent="0.25">
      <c r="A8" s="62" t="str">
        <f>Page&amp;"-"&amp;(COUNTA($E$1:ResourceTable[[#This Row],[Name]])-2)</f>
        <v>Resources-6</v>
      </c>
      <c r="B8" s="60" t="str">
        <f>ResourceTable[[#This Row],[Name]]</f>
        <v>Task</v>
      </c>
      <c r="C8" s="64">
        <f>COUNTA($A$1:ResourceTable[[#This Row],[Primary]])-2</f>
        <v>6</v>
      </c>
      <c r="D8" s="64">
        <f>IF(ResourceTable[[#This Row],[RID]]=0,"id",ResourceTable[[#This Row],[RID]]+IF(ISNUMBER(VLOOKUP(Page,SeedMap[],9,0)),VLOOKUP(Page,SeedMap[],9,0),0))</f>
        <v>800506</v>
      </c>
      <c r="E8" s="63" t="s">
        <v>845</v>
      </c>
      <c r="F8" s="63" t="s">
        <v>850</v>
      </c>
      <c r="G8" s="63" t="s">
        <v>850</v>
      </c>
      <c r="H8" s="62" t="str">
        <f t="shared" si="0"/>
        <v>Milestone\Task\Model</v>
      </c>
      <c r="I8" s="63" t="s">
        <v>802</v>
      </c>
      <c r="J8" s="63"/>
      <c r="K8" s="63"/>
      <c r="L8" s="63"/>
      <c r="M8" s="64">
        <f>ResourceTable[No]</f>
        <v>800506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PartnerTask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800507</v>
      </c>
      <c r="E9" s="63" t="s">
        <v>846</v>
      </c>
      <c r="F9" s="63" t="s">
        <v>851</v>
      </c>
      <c r="G9" s="63" t="s">
        <v>850</v>
      </c>
      <c r="H9" s="62" t="str">
        <f t="shared" si="0"/>
        <v>Milestone\Task\Model</v>
      </c>
      <c r="I9" s="63" t="s">
        <v>805</v>
      </c>
      <c r="J9" s="63"/>
      <c r="K9" s="63"/>
      <c r="L9" s="63"/>
      <c r="M9" s="64">
        <f>ResourceTable[No]</f>
        <v>800507</v>
      </c>
    </row>
    <row r="10" spans="1:26" x14ac:dyDescent="0.25">
      <c r="A10" s="6" t="str">
        <f>Page&amp;"-"&amp;(COUNTA($E$1:ResourceTable[[#This Row],[Name]])-2)</f>
        <v>Resources-8</v>
      </c>
      <c r="B10" s="15" t="str">
        <f>ResourceTable[[#This Row],[Name]]</f>
        <v>Profile</v>
      </c>
      <c r="C10" s="3">
        <f>COUNTA($A$1:ResourceTable[[#This Row],[Primary]])-2</f>
        <v>8</v>
      </c>
      <c r="D10" s="3">
        <f>IF(ResourceTable[[#This Row],[RID]]=0,"id",ResourceTable[[#This Row],[RID]]+IF(ISNUMBER(VLOOKUP(Page,SeedMap[],9,0)),VLOOKUP(Page,SeedMap[],9,0),0))</f>
        <v>800508</v>
      </c>
      <c r="E10" s="1" t="s">
        <v>1226</v>
      </c>
      <c r="F10" s="1" t="s">
        <v>1227</v>
      </c>
      <c r="G10" s="1" t="s">
        <v>1226</v>
      </c>
      <c r="H10" s="62" t="str">
        <f t="shared" si="0"/>
        <v>Milestone\Task\Model</v>
      </c>
      <c r="I10" s="63" t="s">
        <v>75</v>
      </c>
      <c r="J10" s="1"/>
      <c r="K10" s="1"/>
      <c r="L10" s="1"/>
      <c r="M10" s="3">
        <f>ResourceTable[No]</f>
        <v>800508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E1" workbookViewId="0">
      <selection activeCell="U10" sqref="U10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843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867</v>
      </c>
      <c r="J3" s="60" t="s">
        <v>868</v>
      </c>
      <c r="K3" s="60" t="s">
        <v>76</v>
      </c>
      <c r="L3" s="60" t="s">
        <v>869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846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800507</v>
      </c>
      <c r="U3" s="63" t="s">
        <v>884</v>
      </c>
      <c r="V3" s="63" t="s">
        <v>885</v>
      </c>
      <c r="W3" s="63" t="s">
        <v>886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843</v>
      </c>
      <c r="F4" s="62" t="s">
        <v>845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870</v>
      </c>
      <c r="J4" s="60" t="s">
        <v>871</v>
      </c>
      <c r="K4" s="60" t="s">
        <v>850</v>
      </c>
      <c r="L4" s="60" t="s">
        <v>869</v>
      </c>
      <c r="M4" s="68">
        <f>VLOOKUP(RelationTable[Relate Resource],CHOOSE({1,2},ResourceTable[Name],ResourceTable[No]),2,0)</f>
        <v>800506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846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800507</v>
      </c>
      <c r="U4" s="63" t="s">
        <v>889</v>
      </c>
      <c r="V4" s="63" t="s">
        <v>887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843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874</v>
      </c>
      <c r="J5" s="60" t="s">
        <v>875</v>
      </c>
      <c r="K5" s="60" t="s">
        <v>852</v>
      </c>
      <c r="L5" s="60" t="s">
        <v>869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846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800507</v>
      </c>
      <c r="U5" s="63" t="s">
        <v>890</v>
      </c>
      <c r="V5" s="63" t="s">
        <v>888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845</v>
      </c>
      <c r="F6" s="62" t="s">
        <v>845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800506</v>
      </c>
      <c r="I6" s="60" t="s">
        <v>877</v>
      </c>
      <c r="J6" s="60" t="s">
        <v>878</v>
      </c>
      <c r="K6" s="60" t="s">
        <v>879</v>
      </c>
      <c r="L6" s="60" t="s">
        <v>880</v>
      </c>
      <c r="M6" s="68">
        <f>VLOOKUP(RelationTable[Relate Resource],CHOOSE({1,2},ResourceTable[Name],ResourceTable[No]),2,0)</f>
        <v>800506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846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800507</v>
      </c>
      <c r="U6" s="63" t="s">
        <v>891</v>
      </c>
      <c r="V6" s="63" t="s">
        <v>892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845</v>
      </c>
      <c r="F7" s="62" t="s">
        <v>845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800506</v>
      </c>
      <c r="I7" s="60" t="s">
        <v>881</v>
      </c>
      <c r="J7" s="60" t="s">
        <v>882</v>
      </c>
      <c r="K7" s="60" t="s">
        <v>850</v>
      </c>
      <c r="L7" s="60" t="s">
        <v>872</v>
      </c>
      <c r="M7" s="68">
        <f>VLOOKUP(RelationTable[Relate Resource],CHOOSE({1,2},ResourceTable[Name],ResourceTable[No]),2,0)</f>
        <v>800506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846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800507</v>
      </c>
      <c r="U7" s="63" t="s">
        <v>1052</v>
      </c>
      <c r="V7" s="63" t="s">
        <v>1053</v>
      </c>
      <c r="W7" s="63" t="s">
        <v>1054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845</v>
      </c>
      <c r="F8" s="62" t="s">
        <v>843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800506</v>
      </c>
      <c r="I8" s="60" t="s">
        <v>971</v>
      </c>
      <c r="J8" s="60" t="s">
        <v>972</v>
      </c>
      <c r="K8" s="60" t="s">
        <v>852</v>
      </c>
      <c r="L8" s="60" t="s">
        <v>869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845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800506</v>
      </c>
      <c r="U8" s="63" t="s">
        <v>1057</v>
      </c>
      <c r="V8" s="63" t="s">
        <v>1058</v>
      </c>
      <c r="W8" s="63" t="s">
        <v>1056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845</v>
      </c>
      <c r="F9" s="62" t="s">
        <v>846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800506</v>
      </c>
      <c r="I9" s="60" t="s">
        <v>876</v>
      </c>
      <c r="J9" s="60" t="s">
        <v>973</v>
      </c>
      <c r="K9" s="60" t="s">
        <v>873</v>
      </c>
      <c r="L9" s="60" t="s">
        <v>872</v>
      </c>
      <c r="M9" s="68">
        <f>VLOOKUP(RelationTable[Relate Resource],CHOOSE({1,2},ResourceTable[Name],ResourceTable[No]),2,0)</f>
        <v>800507</v>
      </c>
      <c r="N9" s="69">
        <f>RelationTable[RELID]</f>
        <v>800807</v>
      </c>
      <c r="P9" s="62" t="str">
        <f>'Table Seed Map'!$A$9&amp;"-"&amp;COUNTA($Q$1:ResourceScopes[[#This Row],[Resource for Scope]])-1</f>
        <v>Resource Scopes-7</v>
      </c>
      <c r="Q9" s="63" t="s">
        <v>1137</v>
      </c>
      <c r="R9" s="62" t="str">
        <f>ResourceScopes[[#This Row],[Resource for Scope]]&amp;"/"&amp;ResourceScopes[[#This Row],[Name]]</f>
        <v>CategoryTask/ProgressCount</v>
      </c>
      <c r="S9" s="60">
        <f>IF(ResourceScopes[[#This Row],[Resource for Scope]]="","id",-1+COUNTA($Q$1:ResourceScopes[[#This Row],[Resource for Scope]])+VLOOKUP('Table Seed Map'!$A$9,SeedMap[],9,0))</f>
        <v>800707</v>
      </c>
      <c r="T9" s="60">
        <f>IFERROR(VLOOKUP(ResourceScopes[[#This Row],[Resource for Scope]],CHOOSE({1,2},ResourceTable[Name],ResourceTable[No]),2,0),"resource")</f>
        <v>800504</v>
      </c>
      <c r="U9" s="63" t="s">
        <v>1182</v>
      </c>
      <c r="V9" s="63" t="s">
        <v>1183</v>
      </c>
      <c r="W9" s="63" t="s">
        <v>1184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843</v>
      </c>
      <c r="F10" s="62" t="s">
        <v>846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974</v>
      </c>
      <c r="J10" s="60" t="s">
        <v>975</v>
      </c>
      <c r="K10" s="60" t="s">
        <v>873</v>
      </c>
      <c r="L10" s="60" t="s">
        <v>872</v>
      </c>
      <c r="M10" s="68">
        <f>VLOOKUP(RelationTable[Relate Resource],CHOOSE({1,2},ResourceTable[Name],ResourceTable[No]),2,0)</f>
        <v>800507</v>
      </c>
      <c r="N10" s="69">
        <f>RelationTable[RELID]</f>
        <v>800808</v>
      </c>
      <c r="P10" s="62" t="str">
        <f>'Table Seed Map'!$A$9&amp;"-"&amp;COUNTA($Q$1:ResourceScopes[[#This Row],[Resource for Scope]])-1</f>
        <v>Resource Scopes-8</v>
      </c>
      <c r="Q10" s="63" t="s">
        <v>846</v>
      </c>
      <c r="R10" s="62" t="str">
        <f>ResourceScopes[[#This Row],[Resource for Scope]]&amp;"/"&amp;ResourceScopes[[#This Row],[Name]]</f>
        <v>PartnerTask/Recent24</v>
      </c>
      <c r="S10" s="60">
        <f>IF(ResourceScopes[[#This Row],[Resource for Scope]]="","id",-1+COUNTA($Q$1:ResourceScopes[[#This Row],[Resource for Scope]])+VLOOKUP('Table Seed Map'!$A$9,SeedMap[],9,0))</f>
        <v>800708</v>
      </c>
      <c r="T10" s="60">
        <f>IFERROR(VLOOKUP(ResourceScopes[[#This Row],[Resource for Scope]],CHOOSE({1,2},ResourceTable[Name],ResourceTable[No]),2,0),"resource")</f>
        <v>800507</v>
      </c>
      <c r="U10" s="63" t="s">
        <v>1259</v>
      </c>
      <c r="V10" s="63" t="s">
        <v>1260</v>
      </c>
      <c r="W10" s="63" t="s">
        <v>1261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846</v>
      </c>
      <c r="F11" s="6" t="s">
        <v>845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800507</v>
      </c>
      <c r="I11" s="15" t="s">
        <v>985</v>
      </c>
      <c r="J11" s="15" t="s">
        <v>986</v>
      </c>
      <c r="K11" s="15" t="s">
        <v>845</v>
      </c>
      <c r="L11" s="15" t="s">
        <v>880</v>
      </c>
      <c r="M11" s="36">
        <f>VLOOKUP(RelationTable[Relate Resource],CHOOSE({1,2},ResourceTable[Name],ResourceTable[No]),2,0)</f>
        <v>800506</v>
      </c>
      <c r="N11" s="53">
        <f>RelationTable[RELID]</f>
        <v>800809</v>
      </c>
      <c r="P11" s="62" t="str">
        <f>'Table Seed Map'!$A$9&amp;"-"&amp;COUNTA($Q$1:ResourceScopes[[#This Row],[Resource for Scope]])-1</f>
        <v>Resource Scopes-9</v>
      </c>
      <c r="Q11" s="63" t="s">
        <v>846</v>
      </c>
      <c r="R11" s="62" t="str">
        <f>ResourceScopes[[#This Row],[Resource for Scope]]&amp;"/"&amp;ResourceScopes[[#This Row],[Name]]</f>
        <v>PartnerTask/Recent48</v>
      </c>
      <c r="S11" s="60">
        <f>IF(ResourceScopes[[#This Row],[Resource for Scope]]="","id",-1+COUNTA($Q$1:ResourceScopes[[#This Row],[Resource for Scope]])+VLOOKUP('Table Seed Map'!$A$9,SeedMap[],9,0))</f>
        <v>800709</v>
      </c>
      <c r="T11" s="60">
        <f>IFERROR(VLOOKUP(ResourceScopes[[#This Row],[Resource for Scope]],CHOOSE({1,2},ResourceTable[Name],ResourceTable[No]),2,0),"resource")</f>
        <v>800507</v>
      </c>
      <c r="U11" s="63" t="s">
        <v>1262</v>
      </c>
      <c r="V11" s="63" t="s">
        <v>1263</v>
      </c>
      <c r="W11" s="63" t="s">
        <v>1264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846</v>
      </c>
      <c r="F12" s="62" t="s">
        <v>843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800507</v>
      </c>
      <c r="I12" s="60" t="s">
        <v>1059</v>
      </c>
      <c r="J12" s="60" t="s">
        <v>1060</v>
      </c>
      <c r="K12" s="15" t="s">
        <v>843</v>
      </c>
      <c r="L12" s="15" t="s">
        <v>880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  <row r="13" spans="1:23" x14ac:dyDescent="0.25">
      <c r="A13" s="67" t="str">
        <f>Page&amp;"-"&amp;(COUNTA($E$1:RelationTable[[#This Row],[Resource]])-1)</f>
        <v>Resource Relations-11</v>
      </c>
      <c r="B13" s="64">
        <f>IF(RelationTable[[#This Row],[Resource]]="","id",COUNTA($E$2:RelationTable[[#This Row],[Resource]])+IF(ISNUMBER(VLOOKUP('Table Seed Map'!$A$10,SeedMap[],9,0)),VLOOKUP('Table Seed Map'!$A$10,SeedMap[],9,0),0))</f>
        <v>800811</v>
      </c>
      <c r="C13" s="60" t="str">
        <f>RelationTable[[#This Row],[Resource]]&amp;"/"&amp;RelationTable[[#This Row],[Method]]</f>
        <v>Category/TaskCategory</v>
      </c>
      <c r="D13" s="60">
        <f>RelationTable[[#This Row],[No]]</f>
        <v>800811</v>
      </c>
      <c r="E13" s="60" t="s">
        <v>1126</v>
      </c>
      <c r="F13" s="62" t="s">
        <v>845</v>
      </c>
      <c r="G13" s="60">
        <f>RelationTable[[#This Row],[No]]</f>
        <v>800811</v>
      </c>
      <c r="H13" s="60">
        <f>IF(RelationTable[[#This Row],[No]]="id","resource",VLOOKUP(RelationTable[Resource],CHOOSE({1,2},ResourceTable[Name],ResourceTable[No]),2,0))</f>
        <v>800503</v>
      </c>
      <c r="I13" s="60" t="s">
        <v>1135</v>
      </c>
      <c r="J13" s="60" t="s">
        <v>1134</v>
      </c>
      <c r="K13" s="60" t="s">
        <v>1135</v>
      </c>
      <c r="L13" s="60" t="s">
        <v>872</v>
      </c>
      <c r="M13" s="68">
        <f>VLOOKUP(RelationTable[Relate Resource],CHOOSE({1,2},ResourceTable[Name],ResourceTable[No]),2,0)</f>
        <v>800506</v>
      </c>
      <c r="N13" s="69">
        <f>RelationTable[RELID]</f>
        <v>800811</v>
      </c>
    </row>
    <row r="14" spans="1:23" x14ac:dyDescent="0.25">
      <c r="A14" s="67" t="str">
        <f>Page&amp;"-"&amp;(COUNTA($E$1:RelationTable[[#This Row],[Resource]])-1)</f>
        <v>Resource Relations-12</v>
      </c>
      <c r="B14" s="64">
        <f>IF(RelationTable[[#This Row],[Resource]]="","id",COUNTA($E$2:RelationTable[[#This Row],[Resource]])+IF(ISNUMBER(VLOOKUP('Table Seed Map'!$A$10,SeedMap[],9,0)),VLOOKUP('Table Seed Map'!$A$10,SeedMap[],9,0),0))</f>
        <v>800812</v>
      </c>
      <c r="C14" s="60" t="str">
        <f>RelationTable[[#This Row],[Resource]]&amp;"/"&amp;RelationTable[[#This Row],[Method]]</f>
        <v>Category/TaskCategoryPartner</v>
      </c>
      <c r="D14" s="60">
        <f>RelationTable[[#This Row],[No]]</f>
        <v>800812</v>
      </c>
      <c r="E14" s="60" t="s">
        <v>1126</v>
      </c>
      <c r="F14" s="62" t="s">
        <v>846</v>
      </c>
      <c r="G14" s="60">
        <f>RelationTable[[#This Row],[No]]</f>
        <v>800812</v>
      </c>
      <c r="H14" s="60">
        <f>IF(RelationTable[[#This Row],[No]]="id","resource",VLOOKUP(RelationTable[Resource],CHOOSE({1,2},ResourceTable[Name],ResourceTable[No]),2,0))</f>
        <v>800503</v>
      </c>
      <c r="I14" s="60" t="s">
        <v>1133</v>
      </c>
      <c r="J14" s="60" t="s">
        <v>1136</v>
      </c>
      <c r="K14" s="60" t="s">
        <v>1133</v>
      </c>
      <c r="L14" s="60" t="s">
        <v>872</v>
      </c>
      <c r="M14" s="68">
        <f>VLOOKUP(RelationTable[Relate Resource],CHOOSE({1,2},ResourceTable[Name],ResourceTable[No]),2,0)</f>
        <v>800507</v>
      </c>
      <c r="N14" s="69">
        <f>RelationTable[RELID]</f>
        <v>800812</v>
      </c>
    </row>
    <row r="15" spans="1:23" x14ac:dyDescent="0.25">
      <c r="A15" s="67" t="str">
        <f>Page&amp;"-"&amp;(COUNTA($E$1:RelationTable[[#This Row],[Resource]])-1)</f>
        <v>Resource Relations-13</v>
      </c>
      <c r="B15" s="64">
        <f>IF(RelationTable[[#This Row],[Resource]]="","id",COUNTA($E$2:RelationTable[[#This Row],[Resource]])+IF(ISNUMBER(VLOOKUP('Table Seed Map'!$A$10,SeedMap[],9,0)),VLOOKUP('Table Seed Map'!$A$10,SeedMap[],9,0),0))</f>
        <v>800813</v>
      </c>
      <c r="C15" s="60" t="str">
        <f>RelationTable[[#This Row],[Resource]]&amp;"/"&amp;RelationTable[[#This Row],[Method]]</f>
        <v>Task/CategoryTask</v>
      </c>
      <c r="D15" s="60">
        <f>RelationTable[[#This Row],[No]]</f>
        <v>800813</v>
      </c>
      <c r="E15" s="60" t="s">
        <v>845</v>
      </c>
      <c r="F15" s="62" t="s">
        <v>1126</v>
      </c>
      <c r="G15" s="60">
        <f>RelationTable[[#This Row],[No]]</f>
        <v>800813</v>
      </c>
      <c r="H15" s="60">
        <f>IF(RelationTable[[#This Row],[No]]="id","resource",VLOOKUP(RelationTable[Resource],CHOOSE({1,2},ResourceTable[Name],ResourceTable[No]),2,0))</f>
        <v>800506</v>
      </c>
      <c r="I15" s="60" t="s">
        <v>1137</v>
      </c>
      <c r="J15" s="60" t="s">
        <v>1140</v>
      </c>
      <c r="K15" s="60" t="s">
        <v>1137</v>
      </c>
      <c r="L15" s="15" t="s">
        <v>880</v>
      </c>
      <c r="M15" s="68">
        <f>VLOOKUP(RelationTable[Relate Resource],CHOOSE({1,2},ResourceTable[Name],ResourceTable[No]),2,0)</f>
        <v>800503</v>
      </c>
      <c r="N15" s="69">
        <f>RelationTable[RELID]</f>
        <v>800813</v>
      </c>
    </row>
    <row r="16" spans="1:23" x14ac:dyDescent="0.25">
      <c r="A16" s="67" t="str">
        <f>Page&amp;"-"&amp;(COUNTA($E$1:RelationTable[[#This Row],[Resource]])-1)</f>
        <v>Resource Relations-14</v>
      </c>
      <c r="B16" s="64">
        <f>IF(RelationTable[[#This Row],[Resource]]="","id",COUNTA($E$2:RelationTable[[#This Row],[Resource]])+IF(ISNUMBER(VLOOKUP('Table Seed Map'!$A$10,SeedMap[],9,0)),VLOOKUP('Table Seed Map'!$A$10,SeedMap[],9,0),0))</f>
        <v>800814</v>
      </c>
      <c r="C16" s="60" t="str">
        <f>RelationTable[[#This Row],[Resource]]&amp;"/"&amp;RelationTable[[#This Row],[Method]]</f>
        <v>PartnerTask/CategoryProgress</v>
      </c>
      <c r="D16" s="60">
        <f>RelationTable[[#This Row],[No]]</f>
        <v>800814</v>
      </c>
      <c r="E16" s="60" t="s">
        <v>846</v>
      </c>
      <c r="F16" s="62" t="s">
        <v>1126</v>
      </c>
      <c r="G16" s="60">
        <f>RelationTable[[#This Row],[No]]</f>
        <v>800814</v>
      </c>
      <c r="H16" s="60">
        <f>IF(RelationTable[[#This Row],[No]]="id","resource",VLOOKUP(RelationTable[Resource],CHOOSE({1,2},ResourceTable[Name],ResourceTable[No]),2,0))</f>
        <v>800507</v>
      </c>
      <c r="I16" s="60" t="s">
        <v>1138</v>
      </c>
      <c r="J16" s="60" t="s">
        <v>1139</v>
      </c>
      <c r="K16" s="60" t="s">
        <v>1138</v>
      </c>
      <c r="L16" s="15" t="s">
        <v>880</v>
      </c>
      <c r="M16" s="68">
        <f>VLOOKUP(RelationTable[Relate Resource],CHOOSE({1,2},ResourceTable[Name],ResourceTable[No]),2,0)</f>
        <v>800503</v>
      </c>
      <c r="N16" s="69">
        <f>RelationTable[RELID]</f>
        <v>800814</v>
      </c>
    </row>
    <row r="17" spans="1:14" x14ac:dyDescent="0.25">
      <c r="A17" s="67" t="str">
        <f>Page&amp;"-"&amp;(COUNTA($E$1:RelationTable[[#This Row],[Resource]])-1)</f>
        <v>Resource Relations-15</v>
      </c>
      <c r="B17" s="64">
        <f>IF(RelationTable[[#This Row],[Resource]]="","id",COUNTA($E$2:RelationTable[[#This Row],[Resource]])+IF(ISNUMBER(VLOOKUP('Table Seed Map'!$A$10,SeedMap[],9,0)),VLOOKUP('Table Seed Map'!$A$10,SeedMap[],9,0),0))</f>
        <v>800815</v>
      </c>
      <c r="C17" s="60" t="str">
        <f>RelationTable[[#This Row],[Resource]]&amp;"/"&amp;RelationTable[[#This Row],[Method]]</f>
        <v>CategoryTask/Tasks</v>
      </c>
      <c r="D17" s="60">
        <f>RelationTable[[#This Row],[No]]</f>
        <v>800815</v>
      </c>
      <c r="E17" s="60" t="s">
        <v>1137</v>
      </c>
      <c r="F17" s="62" t="s">
        <v>846</v>
      </c>
      <c r="G17" s="60">
        <f>RelationTable[[#This Row],[No]]</f>
        <v>800815</v>
      </c>
      <c r="H17" s="60">
        <f>IF(RelationTable[[#This Row],[No]]="id","resource",VLOOKUP(RelationTable[Resource],CHOOSE({1,2},ResourceTable[Name],ResourceTable[No]),2,0))</f>
        <v>800504</v>
      </c>
      <c r="I17" s="60" t="s">
        <v>1168</v>
      </c>
      <c r="J17" s="60" t="s">
        <v>1169</v>
      </c>
      <c r="K17" s="60" t="s">
        <v>850</v>
      </c>
      <c r="L17" s="60" t="s">
        <v>872</v>
      </c>
      <c r="M17" s="68">
        <f>VLOOKUP(RelationTable[Relate Resource],CHOOSE({1,2},ResourceTable[Name],ResourceTable[No]),2,0)</f>
        <v>800507</v>
      </c>
      <c r="N17" s="69">
        <f>RelationTable[RELID]</f>
        <v>800815</v>
      </c>
    </row>
  </sheetData>
  <dataValidations count="1">
    <dataValidation type="list" allowBlank="1" showInputMessage="1" showErrorMessage="1" sqref="Q2:Q11 E2:F1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G25" zoomScaleNormal="100" workbookViewId="0">
      <selection activeCell="Y38" sqref="Y3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customWidth="1"/>
    <col min="9" max="9" width="0.28515625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4.42578125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customWidth="1"/>
    <col min="24" max="25" width="29.42578125" style="20" customWidth="1"/>
    <col min="26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1046</v>
      </c>
      <c r="L1" s="1" t="s">
        <v>1047</v>
      </c>
      <c r="M1" s="1" t="s">
        <v>1048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1046</v>
      </c>
      <c r="L2" s="37" t="s">
        <v>1047</v>
      </c>
      <c r="M2" s="37" t="s">
        <v>1048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907</v>
      </c>
      <c r="G3" s="71" t="s">
        <v>908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49" t="str">
        <f>IF(ResourceAction[[#This Row],[Resource Name]]="","idn2",IF(ResourceAction[[#This Row],[IDN2]]="","",VLOOKUP(ResourceAction[[#This Row],[IDN2]],IDNMaps[[Display]:[ID]],2,0)))</f>
        <v/>
      </c>
      <c r="T3" s="49" t="str">
        <f>IF(ResourceAction[[#This Row],[Resource Name]]="","idn3",IF(ResourceAction[[#This Row],[IDN3]]="","",VLOOKUP(ResourceAction[[#This Row],[IDN3]],IDNMaps[[Display]:[ID]],2,0)))</f>
        <v/>
      </c>
      <c r="U3" s="49" t="str">
        <f>IF(ResourceAction[[#This Row],[Resource Name]]="","idn4",IF(ResourceAction[[#This Row],[IDN4]]="","",VLOOKUP(ResourceAction[[#This Row],[IDN4]],IDNMaps[[Display]:[ID]],2,0)))</f>
        <v/>
      </c>
      <c r="V3" s="49" t="str">
        <f>IF(ResourceAction[[#This Row],[Resource Name]]="","idn5",IF(ResourceAction[[#This Row],[IDN5]]="","",VLOOKUP(ResourceAction[[#This Row],[IDN5]],IDNMaps[[Display]:[ID]],2,0)))</f>
        <v/>
      </c>
      <c r="W3" s="83" t="s">
        <v>909</v>
      </c>
      <c r="X3" s="83"/>
      <c r="Y3" s="83"/>
      <c r="Z3" s="83"/>
      <c r="AA3" s="83"/>
      <c r="AB3" s="78">
        <f>ResourceAction[No]</f>
        <v>803201</v>
      </c>
      <c r="AC3"/>
      <c r="AD3" s="63" t="s">
        <v>947</v>
      </c>
      <c r="AE3" s="60">
        <f>VLOOKUP(ActionListNData[[#This Row],[Action Name]],ResourceAction[[Display]:[No]],3,0)</f>
        <v>803205</v>
      </c>
      <c r="AF3" s="15" t="s">
        <v>933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913</v>
      </c>
      <c r="G4" s="71" t="s">
        <v>929</v>
      </c>
      <c r="H4" s="71"/>
      <c r="I4" s="71"/>
      <c r="J4" s="71" t="s">
        <v>914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49" t="str">
        <f>IF(ResourceAction[[#This Row],[Resource Name]]="","idn2",IF(ResourceAction[[#This Row],[IDN2]]="","",VLOOKUP(ResourceAction[[#This Row],[IDN2]],IDNMaps[[Display]:[ID]],2,0)))</f>
        <v/>
      </c>
      <c r="T4" s="49" t="str">
        <f>IF(ResourceAction[[#This Row],[Resource Name]]="","idn3",IF(ResourceAction[[#This Row],[IDN3]]="","",VLOOKUP(ResourceAction[[#This Row],[IDN3]],IDNMaps[[Display]:[ID]],2,0)))</f>
        <v/>
      </c>
      <c r="U4" s="49" t="str">
        <f>IF(ResourceAction[[#This Row],[Resource Name]]="","idn4",IF(ResourceAction[[#This Row],[IDN4]]="","",VLOOKUP(ResourceAction[[#This Row],[IDN4]],IDNMaps[[Display]:[ID]],2,0)))</f>
        <v/>
      </c>
      <c r="V4" s="49" t="str">
        <f>IF(ResourceAction[[#This Row],[Resource Name]]="","idn5",IF(ResourceAction[[#This Row],[IDN5]]="","",VLOOKUP(ResourceAction[[#This Row],[IDN5]],IDNMaps[[Display]:[ID]],2,0)))</f>
        <v/>
      </c>
      <c r="W4" s="83" t="s">
        <v>915</v>
      </c>
      <c r="X4" s="83"/>
      <c r="Y4" s="83"/>
      <c r="Z4" s="83"/>
      <c r="AA4" s="83"/>
      <c r="AB4" s="78">
        <f>ResourceAction[No]</f>
        <v>803202</v>
      </c>
      <c r="AC4"/>
      <c r="AD4" s="63" t="s">
        <v>952</v>
      </c>
      <c r="AE4" s="60">
        <f>VLOOKUP(ActionListNData[[#This Row],[Action Name]],ResourceAction[[Display]:[No]],3,0)</f>
        <v>803206</v>
      </c>
      <c r="AF4" s="15" t="s">
        <v>912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843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924</v>
      </c>
      <c r="G5" s="71" t="s">
        <v>925</v>
      </c>
      <c r="H5" s="71"/>
      <c r="I5" s="71"/>
      <c r="J5" s="71" t="s">
        <v>926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49" t="str">
        <f>IF(ResourceAction[[#This Row],[Resource Name]]="","idn2",IF(ResourceAction[[#This Row],[IDN2]]="","",VLOOKUP(ResourceAction[[#This Row],[IDN2]],IDNMaps[[Display]:[ID]],2,0)))</f>
        <v/>
      </c>
      <c r="T5" s="49" t="str">
        <f>IF(ResourceAction[[#This Row],[Resource Name]]="","idn3",IF(ResourceAction[[#This Row],[IDN3]]="","",VLOOKUP(ResourceAction[[#This Row],[IDN3]],IDNMaps[[Display]:[ID]],2,0)))</f>
        <v/>
      </c>
      <c r="U5" s="49" t="str">
        <f>IF(ResourceAction[[#This Row],[Resource Name]]="","idn4",IF(ResourceAction[[#This Row],[IDN4]]="","",VLOOKUP(ResourceAction[[#This Row],[IDN4]],IDNMaps[[Display]:[ID]],2,0)))</f>
        <v/>
      </c>
      <c r="V5" s="49" t="str">
        <f>IF(ResourceAction[[#This Row],[Resource Name]]="","idn5",IF(ResourceAction[[#This Row],[IDN5]]="","",VLOOKUP(ResourceAction[[#This Row],[IDN5]],IDNMaps[[Display]:[ID]],2,0)))</f>
        <v/>
      </c>
      <c r="W5" s="83" t="s">
        <v>927</v>
      </c>
      <c r="X5" s="83"/>
      <c r="Y5" s="83"/>
      <c r="Z5" s="83"/>
      <c r="AA5" s="83"/>
      <c r="AB5" s="78">
        <f>ResourceAction[No]</f>
        <v>803203</v>
      </c>
      <c r="AC5"/>
      <c r="AD5" s="63" t="s">
        <v>979</v>
      </c>
      <c r="AE5" s="60">
        <f>VLOOKUP(ActionListNData[[#This Row],[Action Name]],ResourceAction[[Display]:[No]],3,0)</f>
        <v>803209</v>
      </c>
      <c r="AF5" s="15" t="s">
        <v>961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843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928</v>
      </c>
      <c r="G6" s="71" t="s">
        <v>930</v>
      </c>
      <c r="H6" s="71"/>
      <c r="I6" s="71"/>
      <c r="J6" s="71" t="s">
        <v>914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49" t="str">
        <f>IF(ResourceAction[[#This Row],[Resource Name]]="","idn2",IF(ResourceAction[[#This Row],[IDN2]]="","",VLOOKUP(ResourceAction[[#This Row],[IDN2]],IDNMaps[[Display]:[ID]],2,0)))</f>
        <v/>
      </c>
      <c r="T6" s="49" t="str">
        <f>IF(ResourceAction[[#This Row],[Resource Name]]="","idn3",IF(ResourceAction[[#This Row],[IDN3]]="","",VLOOKUP(ResourceAction[[#This Row],[IDN3]],IDNMaps[[Display]:[ID]],2,0)))</f>
        <v/>
      </c>
      <c r="U6" s="49" t="str">
        <f>IF(ResourceAction[[#This Row],[Resource Name]]="","idn4",IF(ResourceAction[[#This Row],[IDN4]]="","",VLOOKUP(ResourceAction[[#This Row],[IDN4]],IDNMaps[[Display]:[ID]],2,0)))</f>
        <v/>
      </c>
      <c r="V6" s="49" t="str">
        <f>IF(ResourceAction[[#This Row],[Resource Name]]="","idn5",IF(ResourceAction[[#This Row],[IDN5]]="","",VLOOKUP(ResourceAction[[#This Row],[IDN5]],IDNMaps[[Display]:[ID]],2,0)))</f>
        <v/>
      </c>
      <c r="W6" s="83" t="s">
        <v>934</v>
      </c>
      <c r="X6" s="83"/>
      <c r="Y6" s="83"/>
      <c r="Z6" s="83"/>
      <c r="AA6" s="83"/>
      <c r="AB6" s="78">
        <f>ResourceAction[No]</f>
        <v>803204</v>
      </c>
      <c r="AC6"/>
      <c r="AD6" s="1" t="s">
        <v>1029</v>
      </c>
      <c r="AE6" s="15">
        <f>VLOOKUP(ActionListNData[[#This Row],[Action Name]],ResourceAction[[Display]:[No]],3,0)</f>
        <v>803216</v>
      </c>
      <c r="AF6" s="15" t="s">
        <v>983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803216</v>
      </c>
      <c r="AK6" s="15">
        <f>IF(ActionListNData[[#This Row],[Action Name]]="","resource_list",IFERROR(VLOOKUP(ActionListNData[[#This Row],[Resource List]],ResourceList[[ListDisplayName]:[No]],2,0),""))</f>
        <v>802205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803216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843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942</v>
      </c>
      <c r="G7" s="71" t="s">
        <v>943</v>
      </c>
      <c r="H7" s="71" t="s">
        <v>944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945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49">
        <f ca="1">IF(ResourceAction[[#This Row],[Resource Name]]="","idn2",IF(ResourceAction[[#This Row],[IDN2]]="","",VLOOKUP(ResourceAction[[#This Row],[IDN2]],IDNMaps[[Display]:[ID]],2,0)))</f>
        <v>802201</v>
      </c>
      <c r="T7" s="49" t="str">
        <f>IF(ResourceAction[[#This Row],[Resource Name]]="","idn3",IF(ResourceAction[[#This Row],[IDN3]]="","",VLOOKUP(ResourceAction[[#This Row],[IDN3]],IDNMaps[[Display]:[ID]],2,0)))</f>
        <v/>
      </c>
      <c r="U7" s="49" t="str">
        <f>IF(ResourceAction[[#This Row],[Resource Name]]="","idn4",IF(ResourceAction[[#This Row],[IDN4]]="","",VLOOKUP(ResourceAction[[#This Row],[IDN4]],IDNMaps[[Display]:[ID]],2,0)))</f>
        <v/>
      </c>
      <c r="V7" s="49" t="str">
        <f>IF(ResourceAction[[#This Row],[Resource Name]]="","idn5",IF(ResourceAction[[#This Row],[IDN5]]="","",VLOOKUP(ResourceAction[[#This Row],[IDN5]],IDNMaps[[Display]:[ID]],2,0)))</f>
        <v/>
      </c>
      <c r="W7" s="83" t="s">
        <v>946</v>
      </c>
      <c r="X7" s="83" t="s">
        <v>915</v>
      </c>
      <c r="Y7" s="83"/>
      <c r="Z7" s="83"/>
      <c r="AA7" s="83"/>
      <c r="AB7" s="78">
        <f>ResourceAction[No]</f>
        <v>803205</v>
      </c>
      <c r="AC7"/>
      <c r="AD7" s="63" t="s">
        <v>1045</v>
      </c>
      <c r="AE7" s="60">
        <f>VLOOKUP(ActionListNData[[#This Row],[Action Name]],ResourceAction[[Display]:[No]],3,0)</f>
        <v>803217</v>
      </c>
      <c r="AF7" s="15" t="s">
        <v>983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803217</v>
      </c>
      <c r="AK7" s="60">
        <f>IF(ActionListNData[[#This Row],[Action Name]]="","resource_list",IFERROR(VLOOKUP(ActionListNData[[#This Row],[Resource List]],ResourceList[[ListDisplayName]:[No]],2,0),""))</f>
        <v>802205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803217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948</v>
      </c>
      <c r="G8" s="71" t="s">
        <v>949</v>
      </c>
      <c r="H8" s="71" t="s">
        <v>950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945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49">
        <f ca="1">IF(ResourceAction[[#This Row],[Resource Name]]="","idn2",IF(ResourceAction[[#This Row],[IDN2]]="","",VLOOKUP(ResourceAction[[#This Row],[IDN2]],IDNMaps[[Display]:[ID]],2,0)))</f>
        <v>802202</v>
      </c>
      <c r="T8" s="49" t="str">
        <f>IF(ResourceAction[[#This Row],[Resource Name]]="","idn3",IF(ResourceAction[[#This Row],[IDN3]]="","",VLOOKUP(ResourceAction[[#This Row],[IDN3]],IDNMaps[[Display]:[ID]],2,0)))</f>
        <v/>
      </c>
      <c r="U8" s="49" t="str">
        <f>IF(ResourceAction[[#This Row],[Resource Name]]="","idn4",IF(ResourceAction[[#This Row],[IDN4]]="","",VLOOKUP(ResourceAction[[#This Row],[IDN4]],IDNMaps[[Display]:[ID]],2,0)))</f>
        <v/>
      </c>
      <c r="V8" s="49" t="str">
        <f>IF(ResourceAction[[#This Row],[Resource Name]]="","idn5",IF(ResourceAction[[#This Row],[IDN5]]="","",VLOOKUP(ResourceAction[[#This Row],[IDN5]],IDNMaps[[Display]:[ID]],2,0)))</f>
        <v/>
      </c>
      <c r="W8" s="83" t="s">
        <v>951</v>
      </c>
      <c r="X8" s="83" t="s">
        <v>934</v>
      </c>
      <c r="Y8" s="83"/>
      <c r="Z8" s="83"/>
      <c r="AA8" s="83"/>
      <c r="AB8" s="78">
        <f>ResourceAction[No]</f>
        <v>803206</v>
      </c>
      <c r="AC8"/>
      <c r="AD8" s="63" t="s">
        <v>1122</v>
      </c>
      <c r="AE8" s="60">
        <f>VLOOKUP(ActionListNData[[#This Row],[Action Name]],ResourceAction[[Display]:[No]],3,0)</f>
        <v>803218</v>
      </c>
      <c r="AF8" s="15" t="s">
        <v>996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803218</v>
      </c>
      <c r="AK8" s="60">
        <f>IF(ActionListNData[[#This Row],[Action Name]]="","resource_list",IFERROR(VLOOKUP(ActionListNData[[#This Row],[Resource List]],ResourceList[[ListDisplayName]:[No]],2,0),""))</f>
        <v>802208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803218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845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800506</v>
      </c>
      <c r="F9" s="71" t="s">
        <v>962</v>
      </c>
      <c r="G9" s="71" t="s">
        <v>963</v>
      </c>
      <c r="H9" s="71"/>
      <c r="I9" s="71"/>
      <c r="J9" s="71" t="s">
        <v>964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49" t="str">
        <f>IF(ResourceAction[[#This Row],[Resource Name]]="","idn2",IF(ResourceAction[[#This Row],[IDN2]]="","",VLOOKUP(ResourceAction[[#This Row],[IDN2]],IDNMaps[[Display]:[ID]],2,0)))</f>
        <v/>
      </c>
      <c r="T9" s="49" t="str">
        <f>IF(ResourceAction[[#This Row],[Resource Name]]="","idn3",IF(ResourceAction[[#This Row],[IDN3]]="","",VLOOKUP(ResourceAction[[#This Row],[IDN3]],IDNMaps[[Display]:[ID]],2,0)))</f>
        <v/>
      </c>
      <c r="U9" s="49" t="str">
        <f>IF(ResourceAction[[#This Row],[Resource Name]]="","idn4",IF(ResourceAction[[#This Row],[IDN4]]="","",VLOOKUP(ResourceAction[[#This Row],[IDN4]],IDNMaps[[Display]:[ID]],2,0)))</f>
        <v/>
      </c>
      <c r="V9" s="49" t="str">
        <f>IF(ResourceAction[[#This Row],[Resource Name]]="","idn5",IF(ResourceAction[[#This Row],[IDN5]]="","",VLOOKUP(ResourceAction[[#This Row],[IDN5]],IDNMaps[[Display]:[ID]],2,0)))</f>
        <v/>
      </c>
      <c r="W9" s="83" t="s">
        <v>965</v>
      </c>
      <c r="X9" s="83"/>
      <c r="Y9" s="83"/>
      <c r="Z9" s="83"/>
      <c r="AA9" s="83"/>
      <c r="AB9" s="78">
        <f>ResourceAction[No]</f>
        <v>803207</v>
      </c>
      <c r="AC9"/>
      <c r="AD9" s="63" t="s">
        <v>1122</v>
      </c>
      <c r="AE9" s="60">
        <f>VLOOKUP(ActionListNData[[#This Row],[Action Name]],ResourceAction[[Display]:[No]],3,0)</f>
        <v>803218</v>
      </c>
      <c r="AF9" s="15" t="s">
        <v>995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803218</v>
      </c>
      <c r="AK9" s="60">
        <f>IF(ActionListNData[[#This Row],[Action Name]]="","resource_list",IFERROR(VLOOKUP(ActionListNData[[#This Row],[Resource List]],ResourceList[[ListDisplayName]:[No]],2,0),""))</f>
        <v>802207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803218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845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800506</v>
      </c>
      <c r="F10" s="71" t="s">
        <v>966</v>
      </c>
      <c r="G10" s="71" t="s">
        <v>967</v>
      </c>
      <c r="H10" s="71"/>
      <c r="I10" s="71"/>
      <c r="J10" s="71" t="s">
        <v>914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49" t="str">
        <f>IF(ResourceAction[[#This Row],[Resource Name]]="","idn2",IF(ResourceAction[[#This Row],[IDN2]]="","",VLOOKUP(ResourceAction[[#This Row],[IDN2]],IDNMaps[[Display]:[ID]],2,0)))</f>
        <v/>
      </c>
      <c r="T10" s="49" t="str">
        <f>IF(ResourceAction[[#This Row],[Resource Name]]="","idn3",IF(ResourceAction[[#This Row],[IDN3]]="","",VLOOKUP(ResourceAction[[#This Row],[IDN3]],IDNMaps[[Display]:[ID]],2,0)))</f>
        <v/>
      </c>
      <c r="U10" s="49" t="str">
        <f>IF(ResourceAction[[#This Row],[Resource Name]]="","idn4",IF(ResourceAction[[#This Row],[IDN4]]="","",VLOOKUP(ResourceAction[[#This Row],[IDN4]],IDNMaps[[Display]:[ID]],2,0)))</f>
        <v/>
      </c>
      <c r="V10" s="49" t="str">
        <f>IF(ResourceAction[[#This Row],[Resource Name]]="","idn5",IF(ResourceAction[[#This Row],[IDN5]]="","",VLOOKUP(ResourceAction[[#This Row],[IDN5]],IDNMaps[[Display]:[ID]],2,0)))</f>
        <v/>
      </c>
      <c r="W10" s="83" t="s">
        <v>968</v>
      </c>
      <c r="X10" s="83"/>
      <c r="Y10" s="83"/>
      <c r="Z10" s="83"/>
      <c r="AA10" s="83"/>
      <c r="AB10" s="78">
        <f>ResourceAction[No]</f>
        <v>803208</v>
      </c>
      <c r="AC10"/>
      <c r="AD10" s="63" t="s">
        <v>1122</v>
      </c>
      <c r="AE10" s="60">
        <f>VLOOKUP(ActionListNData[[#This Row],[Action Name]],ResourceAction[[Display]:[No]],3,0)</f>
        <v>803218</v>
      </c>
      <c r="AF10" s="15" t="s">
        <v>994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803218</v>
      </c>
      <c r="AK10" s="60">
        <f>IF(ActionListNData[[#This Row],[Action Name]]="","resource_list",IFERROR(VLOOKUP(ActionListNData[[#This Row],[Resource List]],ResourceList[[ListDisplayName]:[No]],2,0),""))</f>
        <v>802206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803218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845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800506</v>
      </c>
      <c r="F11" s="71" t="s">
        <v>976</v>
      </c>
      <c r="G11" s="71" t="s">
        <v>977</v>
      </c>
      <c r="H11" s="71" t="s">
        <v>950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945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49">
        <f ca="1">IF(ResourceAction[[#This Row],[Resource Name]]="","idn2",IF(ResourceAction[[#This Row],[IDN2]]="","",VLOOKUP(ResourceAction[[#This Row],[IDN2]],IDNMaps[[Display]:[ID]],2,0)))</f>
        <v>802202</v>
      </c>
      <c r="T11" s="49" t="str">
        <f>IF(ResourceAction[[#This Row],[Resource Name]]="","idn3",IF(ResourceAction[[#This Row],[IDN3]]="","",VLOOKUP(ResourceAction[[#This Row],[IDN3]],IDNMaps[[Display]:[ID]],2,0)))</f>
        <v/>
      </c>
      <c r="U11" s="49" t="str">
        <f>IF(ResourceAction[[#This Row],[Resource Name]]="","idn4",IF(ResourceAction[[#This Row],[IDN4]]="","",VLOOKUP(ResourceAction[[#This Row],[IDN4]],IDNMaps[[Display]:[ID]],2,0)))</f>
        <v/>
      </c>
      <c r="V11" s="49" t="str">
        <f>IF(ResourceAction[[#This Row],[Resource Name]]="","idn5",IF(ResourceAction[[#This Row],[IDN5]]="","",VLOOKUP(ResourceAction[[#This Row],[IDN5]],IDNMaps[[Display]:[ID]],2,0)))</f>
        <v/>
      </c>
      <c r="W11" s="83" t="s">
        <v>978</v>
      </c>
      <c r="X11" s="83" t="s">
        <v>934</v>
      </c>
      <c r="Y11" s="83"/>
      <c r="Z11" s="83"/>
      <c r="AA11" s="83"/>
      <c r="AB11" s="78">
        <f>ResourceAction[No]</f>
        <v>803209</v>
      </c>
      <c r="AC11"/>
      <c r="AD11" s="63" t="s">
        <v>1095</v>
      </c>
      <c r="AE11" s="60">
        <f>VLOOKUP(ActionListNData[[#This Row],[Action Name]],ResourceAction[[Display]:[No]],3,0)</f>
        <v>803210</v>
      </c>
      <c r="AF11" s="15" t="s">
        <v>961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845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800506</v>
      </c>
      <c r="F12" s="71" t="s">
        <v>1088</v>
      </c>
      <c r="G12" s="71" t="s">
        <v>1089</v>
      </c>
      <c r="H12" s="71" t="s">
        <v>1090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1067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49">
        <f ca="1">IF(ResourceAction[[#This Row],[Resource Name]]="","idn2",IF(ResourceAction[[#This Row],[IDN2]]="","",VLOOKUP(ResourceAction[[#This Row],[IDN2]],IDNMaps[[Display]:[ID]],2,0)))</f>
        <v>802210</v>
      </c>
      <c r="T12" s="49" t="str">
        <f>IF(ResourceAction[[#This Row],[Resource Name]]="","idn3",IF(ResourceAction[[#This Row],[IDN3]]="","",VLOOKUP(ResourceAction[[#This Row],[IDN3]],IDNMaps[[Display]:[ID]],2,0)))</f>
        <v/>
      </c>
      <c r="U12" s="49" t="str">
        <f>IF(ResourceAction[[#This Row],[Resource Name]]="","idn4",IF(ResourceAction[[#This Row],[IDN4]]="","",VLOOKUP(ResourceAction[[#This Row],[IDN4]],IDNMaps[[Display]:[ID]],2,0)))</f>
        <v/>
      </c>
      <c r="V12" s="49" t="str">
        <f>IF(ResourceAction[[#This Row],[Resource Name]]="","idn5",IF(ResourceAction[[#This Row],[IDN5]]="","",VLOOKUP(ResourceAction[[#This Row],[IDN5]],IDNMaps[[Display]:[ID]],2,0)))</f>
        <v/>
      </c>
      <c r="W12" s="83" t="s">
        <v>1068</v>
      </c>
      <c r="X12" s="83" t="s">
        <v>1094</v>
      </c>
      <c r="Y12" s="83"/>
      <c r="Z12" s="83"/>
      <c r="AA12" s="83"/>
      <c r="AB12" s="78">
        <f>ResourceAction[No]</f>
        <v>803210</v>
      </c>
      <c r="AC12"/>
      <c r="AD12" s="63" t="s">
        <v>1096</v>
      </c>
      <c r="AE12" s="60">
        <f>VLOOKUP(ActionListNData[[#This Row],[Action Name]],ResourceAction[[Display]:[No]],3,0)</f>
        <v>803219</v>
      </c>
      <c r="AF12" s="60" t="s">
        <v>983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803219</v>
      </c>
      <c r="AK12" s="60">
        <f>IF(ActionListNData[[#This Row],[Action Name]]="","resource_list",IFERROR(VLOOKUP(ActionListNData[[#This Row],[Resource List]],ResourceList[[ListDisplayName]:[No]],2,0),""))</f>
        <v>802205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803219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71" t="str">
        <f>'Table Seed Map'!$A$34&amp;"-"&amp;(COUNTA($E$1:ResourceAction[[#This Row],[Resource]])-2)</f>
        <v>Resource Actions-11</v>
      </c>
      <c r="B13" s="71" t="str">
        <f>ResourceAction[[#This Row],[Resource Name]]&amp;"/"&amp;ResourceAction[[#This Row],[Name]]</f>
        <v>PartnerTask/ListNewCategoryAction</v>
      </c>
      <c r="C13" s="58" t="s">
        <v>846</v>
      </c>
      <c r="D13" s="71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71">
        <f>IFERROR(VLOOKUP(ResourceAction[[#This Row],[Resource Name]],ResourceTable[[RName]:[No]],3,0),"resource")</f>
        <v>800507</v>
      </c>
      <c r="F13" s="71" t="s">
        <v>1157</v>
      </c>
      <c r="G13" s="71" t="s">
        <v>1158</v>
      </c>
      <c r="H13" s="71" t="s">
        <v>850</v>
      </c>
      <c r="I13" s="71"/>
      <c r="J13" s="71"/>
      <c r="K13" s="71"/>
      <c r="L13" s="71"/>
      <c r="M13" s="71"/>
      <c r="N13" s="70" t="str">
        <f>'Table Seed Map'!$A$35&amp;"-"&amp;(COUNTA($E$1:ResourceAction[[#This Row],[Resource]])-2)</f>
        <v>Action Method-11</v>
      </c>
      <c r="O13" s="71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71">
        <f>IF(ResourceAction[[#This Row],[No]]="id","resource_action",ResourceAction[[#This Row],[No]])</f>
        <v>803211</v>
      </c>
      <c r="Q13" s="81" t="s">
        <v>1067</v>
      </c>
      <c r="R13" s="82">
        <f ca="1">IF(ResourceAction[[#This Row],[Resource Name]]="","idn1",IF(ResourceAction[[#This Row],[IDN1]]="","",VLOOKUP(ResourceAction[[#This Row],[IDN1]],IDNMaps[[Display]:[ID]],2,0)))</f>
        <v>802204</v>
      </c>
      <c r="S13" s="49">
        <f ca="1">IF(ResourceAction[[#This Row],[Resource Name]]="","idn2",IF(ResourceAction[[#This Row],[IDN2]]="","",VLOOKUP(ResourceAction[[#This Row],[IDN2]],IDNMaps[[Display]:[ID]],2,0)))</f>
        <v>802205</v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1159</v>
      </c>
      <c r="X13" s="83" t="s">
        <v>998</v>
      </c>
      <c r="Y13" s="83"/>
      <c r="Z13" s="83"/>
      <c r="AA13" s="83"/>
      <c r="AB13" s="78">
        <f>ResourceAction[No]</f>
        <v>803211</v>
      </c>
      <c r="AD13" s="63" t="s">
        <v>1105</v>
      </c>
      <c r="AE13" s="60">
        <f>VLOOKUP(ActionListNData[[#This Row],[Action Name]],ResourceAction[[Display]:[No]],3,0)</f>
        <v>803220</v>
      </c>
      <c r="AF13" s="60" t="s">
        <v>933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803220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803220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PartnerTask/ListNewTasksAction</v>
      </c>
      <c r="C14" s="35" t="s">
        <v>846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800507</v>
      </c>
      <c r="F14" s="37" t="s">
        <v>1008</v>
      </c>
      <c r="G14" s="37" t="s">
        <v>997</v>
      </c>
      <c r="H14" s="37"/>
      <c r="I14" s="37"/>
      <c r="J14" s="37" t="s">
        <v>982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802205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998</v>
      </c>
      <c r="X14" s="57"/>
      <c r="Y14" s="57"/>
      <c r="Z14" s="57"/>
      <c r="AA14" s="57"/>
      <c r="AB14" s="54">
        <f>ResourceAction[No]</f>
        <v>803212</v>
      </c>
      <c r="AD14" s="63" t="s">
        <v>1122</v>
      </c>
      <c r="AE14" s="60">
        <f>VLOOKUP(ActionListNData[[#This Row],[Action Name]],ResourceAction[[Display]:[No]],3,0)</f>
        <v>803218</v>
      </c>
      <c r="AF14" s="60" t="s">
        <v>1093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803218</v>
      </c>
      <c r="AK14" s="60">
        <f>IF(ActionListNData[[#This Row],[Action Name]]="","resource_list",IFERROR(VLOOKUP(ActionListNData[[#This Row],[Resource List]],ResourceList[[ListDisplayName]:[No]],2,0),""))</f>
        <v>802210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803218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PartnerTask/ListCompletedTasksAction</v>
      </c>
      <c r="C15" s="35" t="s">
        <v>846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800507</v>
      </c>
      <c r="F15" s="37" t="s">
        <v>1005</v>
      </c>
      <c r="G15" s="37" t="s">
        <v>1009</v>
      </c>
      <c r="H15" s="37"/>
      <c r="I15" s="37"/>
      <c r="J15" s="37" t="s">
        <v>1003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802208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1001</v>
      </c>
      <c r="X15" s="57"/>
      <c r="Y15" s="57"/>
      <c r="Z15" s="57"/>
      <c r="AA15" s="57"/>
      <c r="AB15" s="54">
        <f>ResourceAction[No]</f>
        <v>803213</v>
      </c>
      <c r="AD15" s="63" t="s">
        <v>1122</v>
      </c>
      <c r="AE15" s="60">
        <f>VLOOKUP(ActionListNData[[#This Row],[Action Name]],ResourceAction[[Display]:[No]],3,0)</f>
        <v>803218</v>
      </c>
      <c r="AF15" s="60" t="s">
        <v>1100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803218</v>
      </c>
      <c r="AK15" s="60">
        <f>IF(ActionListNData[[#This Row],[Action Name]]="","resource_list",IFERROR(VLOOKUP(ActionListNData[[#This Row],[Resource List]],ResourceList[[ListDisplayName]:[No]],2,0),""))</f>
        <v>802211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803218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PartnerTask/ListDismissedTasksAction</v>
      </c>
      <c r="C16" s="35" t="s">
        <v>846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800507</v>
      </c>
      <c r="F16" s="37" t="s">
        <v>1006</v>
      </c>
      <c r="G16" s="37" t="s">
        <v>1010</v>
      </c>
      <c r="H16" s="37"/>
      <c r="I16" s="37"/>
      <c r="J16" s="37" t="s">
        <v>1002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83" t="s">
        <v>999</v>
      </c>
      <c r="X16" s="57"/>
      <c r="Y16" s="57"/>
      <c r="Z16" s="57"/>
      <c r="AA16" s="57"/>
      <c r="AB16" s="54">
        <f>ResourceAction[No]</f>
        <v>803214</v>
      </c>
      <c r="AD16" s="63" t="s">
        <v>1173</v>
      </c>
      <c r="AE16" s="60">
        <f>VLOOKUP(ActionListNData[[#This Row],[Action Name]],ResourceAction[[Display]:[No]],3,0)</f>
        <v>803224</v>
      </c>
      <c r="AF16" s="60" t="s">
        <v>1162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803224</v>
      </c>
      <c r="AK16" s="60">
        <f>IF(ActionListNData[[#This Row],[Action Name]]="","resource_list",IFERROR(VLOOKUP(ActionListNData[[#This Row],[Resource List]],ResourceList[[ListDisplayName]:[No]],2,0),""))</f>
        <v>802213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803224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41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PartnerTask/ListReturnedTasksAction</v>
      </c>
      <c r="C17" s="35" t="s">
        <v>846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800507</v>
      </c>
      <c r="F17" s="37" t="s">
        <v>1007</v>
      </c>
      <c r="G17" s="37" t="s">
        <v>1011</v>
      </c>
      <c r="H17" s="37"/>
      <c r="I17" s="37"/>
      <c r="J17" s="37" t="s">
        <v>1004</v>
      </c>
      <c r="K17" s="37"/>
      <c r="L17" s="37"/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122</v>
      </c>
      <c r="R17" s="49">
        <f ca="1">IF(ResourceAction[[#This Row],[Resource Name]]="","idn1",IF(ResourceAction[[#This Row],[IDN1]]="","",VLOOKUP(ResourceAction[[#This Row],[IDN1]],IDNMaps[[Display]:[ID]],2,0)))</f>
        <v>802207</v>
      </c>
      <c r="S17" s="49" t="str">
        <f>IF(ResourceAction[[#This Row],[Resource Name]]="","idn2",IF(ResourceAction[[#This Row],[IDN2]]="","",VLOOKUP(ResourceAction[[#This Row],[IDN2]],IDNMaps[[Display]:[ID]],2,0)))</f>
        <v/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1000</v>
      </c>
      <c r="X17" s="57"/>
      <c r="Y17" s="57"/>
      <c r="Z17" s="57"/>
      <c r="AA17" s="57"/>
      <c r="AB17" s="54">
        <f>ResourceAction[No]</f>
        <v>803215</v>
      </c>
      <c r="AD17" s="63" t="s">
        <v>1178</v>
      </c>
      <c r="AE17" s="60">
        <f>VLOOKUP(ActionListNData[[#This Row],[Action Name]],ResourceAction[[Display]:[No]],3,0)</f>
        <v>803225</v>
      </c>
      <c r="AF17" s="60" t="s">
        <v>1162</v>
      </c>
      <c r="AG17" s="60"/>
      <c r="AH17" s="60" t="str">
        <f>'Table Seed Map'!$A$37&amp;"-"&amp;-1+COUNTA($AF$1:ActionListNData[[#This Row],[Resource List]])</f>
        <v>Action List-15</v>
      </c>
      <c r="AI17" s="60">
        <f>IF(ActionListNData[[#This Row],[Action Name]]="","id",-1+COUNTA($AF$1:ActionListNData[[#This Row],[Resource List]])+IF(ISNUMBER(VLOOKUP('Table Seed Map'!$A$37,SeedMap[],9,0)),VLOOKUP('Table Seed Map'!$A$37,SeedMap[],9,0),0))</f>
        <v>803515</v>
      </c>
      <c r="AJ17" s="60">
        <f>ActionListNData[[#This Row],[Action]]</f>
        <v>803225</v>
      </c>
      <c r="AK17" s="60">
        <f>IF(ActionListNData[[#This Row],[Action Name]]="","resource_list",IFERROR(VLOOKUP(ActionListNData[[#This Row],[Resource List]],ResourceList[[ListDisplayName]:[No]],2,0),""))</f>
        <v>802213</v>
      </c>
      <c r="AL17" s="60" t="str">
        <f>'Table Seed Map'!$A$38&amp;"-"&amp;-1+COUNTA($AG$1:ActionListNData[[#This Row],[Resource Data]])</f>
        <v>Action Data-0</v>
      </c>
      <c r="AM1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7" s="60">
        <f>ActionListNData[[#This Row],[Action]]</f>
        <v>803225</v>
      </c>
      <c r="AO17" s="60" t="str">
        <f>IF(ActionListNData[[#This Row],[Action Name]]="","resource_data",IFERROR(VLOOKUP(ActionListNData[[#This Row],[Resource Data]],ResourceData[[DataDisplayName]:[No]],2,0),""))</f>
        <v/>
      </c>
    </row>
    <row r="18" spans="1:41" x14ac:dyDescent="0.25">
      <c r="A18" s="37" t="str">
        <f>'Table Seed Map'!$A$34&amp;"-"&amp;(COUNTA($E$1:ResourceAction[[#This Row],[Resource]])-2)</f>
        <v>Resource Actions-16</v>
      </c>
      <c r="B18" s="37" t="str">
        <f>ResourceAction[[#This Row],[Resource Name]]&amp;"/"&amp;ResourceAction[[#This Row],[Name]]</f>
        <v>PartnerTask/CompleteDescriptionTaskFormAction</v>
      </c>
      <c r="C18" s="35" t="s">
        <v>846</v>
      </c>
      <c r="D18" s="37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37">
        <f>IFERROR(VLOOKUP(ResourceAction[[#This Row],[Resource Name]],ResourceTable[[RName]:[No]],3,0),"resource")</f>
        <v>800507</v>
      </c>
      <c r="F18" s="37" t="s">
        <v>1026</v>
      </c>
      <c r="G18" s="37" t="s">
        <v>1043</v>
      </c>
      <c r="H18" s="37" t="s">
        <v>1015</v>
      </c>
      <c r="I18" s="37"/>
      <c r="J18" s="37"/>
      <c r="K18" s="37"/>
      <c r="L18" s="37" t="s">
        <v>1050</v>
      </c>
      <c r="M18" s="37"/>
      <c r="N18" s="39" t="str">
        <f>'Table Seed Map'!$A$35&amp;"-"&amp;(COUNTA($E$1:ResourceAction[[#This Row],[Resource]])-2)</f>
        <v>Action Method-16</v>
      </c>
      <c r="O18" s="37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37">
        <f>IF(ResourceAction[[#This Row],[No]]="id","resource_action",ResourceAction[[#This Row],[No]])</f>
        <v>803216</v>
      </c>
      <c r="Q18" s="48" t="s">
        <v>224</v>
      </c>
      <c r="R18" s="49">
        <f ca="1">IF(ResourceAction[[#This Row],[Resource Name]]="","idn1",IF(ResourceAction[[#This Row],[IDN1]]="","",VLOOKUP(ResourceAction[[#This Row],[IDN1]],IDNMaps[[Display]:[ID]],2,0)))</f>
        <v>800904</v>
      </c>
      <c r="S18" s="49">
        <f ca="1">IF(ResourceAction[[#This Row],[Resource Name]]="","idn2",IF(ResourceAction[[#This Row],[IDN2]]="","",VLOOKUP(ResourceAction[[#This Row],[IDN2]],IDNMaps[[Display]:[ID]],2,0)))</f>
        <v>802701</v>
      </c>
      <c r="T18" s="49" t="str">
        <f>IF(ResourceAction[[#This Row],[Resource Name]]="","idn3",IF(ResourceAction[[#This Row],[IDN3]]="","",VLOOKUP(ResourceAction[[#This Row],[IDN3]],IDNMaps[[Display]:[ID]],2,0)))</f>
        <v/>
      </c>
      <c r="U18" s="49" t="str">
        <f>IF(ResourceAction[[#This Row],[Resource Name]]="","idn4",IF(ResourceAction[[#This Row],[IDN4]]="","",VLOOKUP(ResourceAction[[#This Row],[IDN4]],IDNMaps[[Display]:[ID]],2,0)))</f>
        <v/>
      </c>
      <c r="V18" s="49" t="str">
        <f>IF(ResourceAction[[#This Row],[Resource Name]]="","idn5",IF(ResourceAction[[#This Row],[IDN5]]="","",VLOOKUP(ResourceAction[[#This Row],[IDN5]],IDNMaps[[Display]:[ID]],2,0)))</f>
        <v/>
      </c>
      <c r="W18" s="57" t="s">
        <v>1027</v>
      </c>
      <c r="X18" s="57" t="s">
        <v>1028</v>
      </c>
      <c r="Y18" s="57"/>
      <c r="Z18" s="57"/>
      <c r="AA18" s="57"/>
      <c r="AB18" s="54">
        <f>ResourceAction[No]</f>
        <v>803216</v>
      </c>
      <c r="AD18" s="63" t="s">
        <v>1179</v>
      </c>
      <c r="AE18" s="60">
        <f>VLOOKUP(ActionListNData[[#This Row],[Action Name]],ResourceAction[[Display]:[No]],3,0)</f>
        <v>803226</v>
      </c>
      <c r="AF18" s="60" t="s">
        <v>1162</v>
      </c>
      <c r="AG18" s="60"/>
      <c r="AH18" s="60" t="str">
        <f>'Table Seed Map'!$A$37&amp;"-"&amp;-1+COUNTA($AF$1:ActionListNData[[#This Row],[Resource List]])</f>
        <v>Action List-16</v>
      </c>
      <c r="AI18" s="60">
        <f>IF(ActionListNData[[#This Row],[Action Name]]="","id",-1+COUNTA($AF$1:ActionListNData[[#This Row],[Resource List]])+IF(ISNUMBER(VLOOKUP('Table Seed Map'!$A$37,SeedMap[],9,0)),VLOOKUP('Table Seed Map'!$A$37,SeedMap[],9,0),0))</f>
        <v>803516</v>
      </c>
      <c r="AJ18" s="60">
        <f>ActionListNData[[#This Row],[Action]]</f>
        <v>803226</v>
      </c>
      <c r="AK18" s="60">
        <f>IF(ActionListNData[[#This Row],[Action Name]]="","resource_list",IFERROR(VLOOKUP(ActionListNData[[#This Row],[Resource List]],ResourceList[[ListDisplayName]:[No]],2,0),""))</f>
        <v>802213</v>
      </c>
      <c r="AL18" s="60" t="str">
        <f>'Table Seed Map'!$A$38&amp;"-"&amp;-1+COUNTA($AG$1:ActionListNData[[#This Row],[Resource Data]])</f>
        <v>Action Data-0</v>
      </c>
      <c r="AM1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8" s="60">
        <f>ActionListNData[[#This Row],[Action]]</f>
        <v>803226</v>
      </c>
      <c r="AO18" s="60" t="str">
        <f>IF(ActionListNData[[#This Row],[Action Name]]="","resource_data",IFERROR(VLOOKUP(ActionListNData[[#This Row],[Resource Data]],ResourceData[[DataDisplayName]:[No]],2,0),""))</f>
        <v/>
      </c>
    </row>
    <row r="19" spans="1:41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PartnerTask/CompleteAttachmentTaskFormAction</v>
      </c>
      <c r="C19" s="58" t="s">
        <v>846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800507</v>
      </c>
      <c r="F19" s="37" t="s">
        <v>1041</v>
      </c>
      <c r="G19" s="37" t="s">
        <v>1042</v>
      </c>
      <c r="H19" s="37" t="s">
        <v>1015</v>
      </c>
      <c r="I19" s="71"/>
      <c r="J19" s="71"/>
      <c r="K19" s="71"/>
      <c r="L19" s="37" t="s">
        <v>1051</v>
      </c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224</v>
      </c>
      <c r="R19" s="82">
        <f ca="1">IF(ResourceAction[[#This Row],[Resource Name]]="","idn1",IF(ResourceAction[[#This Row],[IDN1]]="","",VLOOKUP(ResourceAction[[#This Row],[IDN1]],IDNMaps[[Display]:[ID]],2,0)))</f>
        <v>800905</v>
      </c>
      <c r="S19" s="49">
        <f ca="1">IF(ResourceAction[[#This Row],[Resource Name]]="","idn2",IF(ResourceAction[[#This Row],[IDN2]]="","",VLOOKUP(ResourceAction[[#This Row],[IDN2]],IDNMaps[[Display]:[ID]],2,0)))</f>
        <v>802701</v>
      </c>
      <c r="T19" s="49" t="str">
        <f>IF(ResourceAction[[#This Row],[Resource Name]]="","idn3",IF(ResourceAction[[#This Row],[IDN3]]="","",VLOOKUP(ResourceAction[[#This Row],[IDN3]],IDNMaps[[Display]:[ID]],2,0)))</f>
        <v/>
      </c>
      <c r="U19" s="49" t="str">
        <f>IF(ResourceAction[[#This Row],[Resource Name]]="","idn4",IF(ResourceAction[[#This Row],[IDN4]]="","",VLOOKUP(ResourceAction[[#This Row],[IDN4]],IDNMaps[[Display]:[ID]],2,0)))</f>
        <v/>
      </c>
      <c r="V19" s="49" t="str">
        <f>IF(ResourceAction[[#This Row],[Resource Name]]="","idn5",IF(ResourceAction[[#This Row],[IDN5]]="","",VLOOKUP(ResourceAction[[#This Row],[IDN5]],IDNMaps[[Display]:[ID]],2,0)))</f>
        <v/>
      </c>
      <c r="W19" s="57" t="s">
        <v>1044</v>
      </c>
      <c r="X19" s="57" t="s">
        <v>1028</v>
      </c>
      <c r="Y19" s="83"/>
      <c r="Z19" s="83"/>
      <c r="AA19" s="83"/>
      <c r="AB19" s="78">
        <f>ResourceAction[No]</f>
        <v>803217</v>
      </c>
      <c r="AD19" s="63" t="s">
        <v>1195</v>
      </c>
      <c r="AE19" s="60">
        <f>VLOOKUP(ActionListNData[[#This Row],[Action Name]],ResourceAction[[Display]:[No]],3,0)</f>
        <v>803227</v>
      </c>
      <c r="AF19" s="60" t="s">
        <v>1147</v>
      </c>
      <c r="AG19" s="60"/>
      <c r="AH19" s="60" t="str">
        <f>'Table Seed Map'!$A$37&amp;"-"&amp;-1+COUNTA($AF$1:ActionListNData[[#This Row],[Resource List]])</f>
        <v>Action List-17</v>
      </c>
      <c r="AI19" s="60">
        <f>IF(ActionListNData[[#This Row],[Action Name]]="","id",-1+COUNTA($AF$1:ActionListNData[[#This Row],[Resource List]])+IF(ISNUMBER(VLOOKUP('Table Seed Map'!$A$37,SeedMap[],9,0)),VLOOKUP('Table Seed Map'!$A$37,SeedMap[],9,0),0))</f>
        <v>803517</v>
      </c>
      <c r="AJ19" s="60">
        <f>ActionListNData[[#This Row],[Action]]</f>
        <v>803227</v>
      </c>
      <c r="AK19" s="60">
        <f>IF(ActionListNData[[#This Row],[Action Name]]="","resource_list",IFERROR(VLOOKUP(ActionListNData[[#This Row],[Resource List]],ResourceList[[ListDisplayName]:[No]],2,0),""))</f>
        <v>802212</v>
      </c>
      <c r="AL19" s="60" t="str">
        <f>'Table Seed Map'!$A$38&amp;"-"&amp;-1+COUNTA($AG$1:ActionListNData[[#This Row],[Resource Data]])</f>
        <v>Action Data-0</v>
      </c>
      <c r="AM1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9" s="60">
        <f>ActionListNData[[#This Row],[Action]]</f>
        <v>803227</v>
      </c>
      <c r="AO19" s="60" t="str">
        <f>IF(ActionListNData[[#This Row],[Action Name]]="","resource_data",IFERROR(VLOOKUP(ActionListNData[[#This Row],[Resource Data]],ResourceData[[DataDisplayName]:[No]],2,0),""))</f>
        <v/>
      </c>
    </row>
    <row r="20" spans="1:41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PartnerTask/TaskProgressDetails</v>
      </c>
      <c r="C20" s="58" t="s">
        <v>846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800507</v>
      </c>
      <c r="F20" s="71" t="s">
        <v>1119</v>
      </c>
      <c r="G20" s="71" t="s">
        <v>1078</v>
      </c>
      <c r="H20" s="71" t="s">
        <v>1120</v>
      </c>
      <c r="I20" s="71"/>
      <c r="J20" s="71"/>
      <c r="K20" s="71"/>
      <c r="L20" s="71"/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130</v>
      </c>
      <c r="R20" s="82">
        <f ca="1">IF(ResourceAction[[#This Row],[Resource Name]]="","idn1",IF(ResourceAction[[#This Row],[IDN1]]="","",VLOOKUP(ResourceAction[[#This Row],[IDN1]],IDNMaps[[Display]:[ID]],2,0)))</f>
        <v>802701</v>
      </c>
      <c r="S20" s="49" t="str">
        <f>IF(ResourceAction[[#This Row],[Resource Name]]="","idn2",IF(ResourceAction[[#This Row],[IDN2]]="","",VLOOKUP(ResourceAction[[#This Row],[IDN2]],IDNMaps[[Display]:[ID]],2,0)))</f>
        <v/>
      </c>
      <c r="T20" s="49" t="str">
        <f>IF(ResourceAction[[#This Row],[Resource Name]]="","idn3",IF(ResourceAction[[#This Row],[IDN3]]="","",VLOOKUP(ResourceAction[[#This Row],[IDN3]],IDNMaps[[Display]:[ID]],2,0)))</f>
        <v/>
      </c>
      <c r="U20" s="49" t="str">
        <f>IF(ResourceAction[[#This Row],[Resource Name]]="","idn4",IF(ResourceAction[[#This Row],[IDN4]]="","",VLOOKUP(ResourceAction[[#This Row],[IDN4]],IDNMaps[[Display]:[ID]],2,0)))</f>
        <v/>
      </c>
      <c r="V20" s="49" t="str">
        <f>IF(ResourceAction[[#This Row],[Resource Name]]="","idn5",IF(ResourceAction[[#This Row],[IDN5]]="","",VLOOKUP(ResourceAction[[#This Row],[IDN5]],IDNMaps[[Display]:[ID]],2,0)))</f>
        <v/>
      </c>
      <c r="W20" s="57" t="s">
        <v>1028</v>
      </c>
      <c r="X20" s="83"/>
      <c r="Y20" s="83"/>
      <c r="Z20" s="83"/>
      <c r="AA20" s="83"/>
      <c r="AB20" s="78">
        <f>ResourceAction[No]</f>
        <v>803218</v>
      </c>
      <c r="AD20" s="1" t="s">
        <v>1222</v>
      </c>
      <c r="AE20" s="15">
        <f>VLOOKUP(ActionListNData[[#This Row],[Action Name]],ResourceAction[[Display]:[No]],3,0)</f>
        <v>803228</v>
      </c>
      <c r="AF20" s="15" t="s">
        <v>933</v>
      </c>
      <c r="AG20" s="15"/>
      <c r="AH20" s="15" t="str">
        <f>'Table Seed Map'!$A$37&amp;"-"&amp;-1+COUNTA($AF$1:ActionListNData[[#This Row],[Resource List]])</f>
        <v>Action List-18</v>
      </c>
      <c r="AI20" s="15">
        <f>IF(ActionListNData[[#This Row],[Action Name]]="","id",-1+COUNTA($AF$1:ActionListNData[[#This Row],[Resource List]])+IF(ISNUMBER(VLOOKUP('Table Seed Map'!$A$37,SeedMap[],9,0)),VLOOKUP('Table Seed Map'!$A$37,SeedMap[],9,0),0))</f>
        <v>803518</v>
      </c>
      <c r="AJ20" s="15">
        <f>ActionListNData[[#This Row],[Action]]</f>
        <v>803228</v>
      </c>
      <c r="AK20" s="15">
        <f>IF(ActionListNData[[#This Row],[Action Name]]="","resource_list",IFERROR(VLOOKUP(ActionListNData[[#This Row],[Resource List]],ResourceList[[ListDisplayName]:[No]],2,0),""))</f>
        <v>802202</v>
      </c>
      <c r="AL20" s="15" t="str">
        <f>'Table Seed Map'!$A$38&amp;"-"&amp;-1+COUNTA($AG$1:ActionListNData[[#This Row],[Resource Data]])</f>
        <v>Action Data-0</v>
      </c>
      <c r="AM20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0" s="15">
        <f>ActionListNData[[#This Row],[Action]]</f>
        <v>803228</v>
      </c>
      <c r="AO20" s="15" t="str">
        <f>IF(ActionListNData[[#This Row],[Action Name]]="","resource_data",IFERROR(VLOOKUP(ActionListNData[[#This Row],[Resource Data]],ResourceData[[DataDisplayName]:[No]],2,0),""))</f>
        <v/>
      </c>
    </row>
    <row r="21" spans="1:41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PartnerTask/DismissTaskAction</v>
      </c>
      <c r="C21" s="58" t="s">
        <v>846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800507</v>
      </c>
      <c r="F21" s="71" t="s">
        <v>1085</v>
      </c>
      <c r="G21" s="71" t="s">
        <v>1086</v>
      </c>
      <c r="H21" s="71" t="s">
        <v>1081</v>
      </c>
      <c r="I21" s="71"/>
      <c r="J21" s="71"/>
      <c r="K21" s="71"/>
      <c r="L21" s="71" t="s">
        <v>1121</v>
      </c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224</v>
      </c>
      <c r="R21" s="82">
        <f ca="1">IF(ResourceAction[[#This Row],[Resource Name]]="","idn1",IF(ResourceAction[[#This Row],[IDN1]]="","",VLOOKUP(ResourceAction[[#This Row],[IDN1]],IDNMaps[[Display]:[ID]],2,0)))</f>
        <v>800906</v>
      </c>
      <c r="S21" s="49">
        <f ca="1">IF(ResourceAction[[#This Row],[Resource Name]]="","idn2",IF(ResourceAction[[#This Row],[IDN2]]="","",VLOOKUP(ResourceAction[[#This Row],[IDN2]],IDNMaps[[Display]:[ID]],2,0)))</f>
        <v>802701</v>
      </c>
      <c r="T21" s="49" t="str">
        <f>IF(ResourceAction[[#This Row],[Resource Name]]="","idn3",IF(ResourceAction[[#This Row],[IDN3]]="","",VLOOKUP(ResourceAction[[#This Row],[IDN3]],IDNMaps[[Display]:[ID]],2,0)))</f>
        <v/>
      </c>
      <c r="U21" s="49" t="str">
        <f>IF(ResourceAction[[#This Row],[Resource Name]]="","idn4",IF(ResourceAction[[#This Row],[IDN4]]="","",VLOOKUP(ResourceAction[[#This Row],[IDN4]],IDNMaps[[Display]:[ID]],2,0)))</f>
        <v/>
      </c>
      <c r="V21" s="49" t="str">
        <f>IF(ResourceAction[[#This Row],[Resource Name]]="","idn5",IF(ResourceAction[[#This Row],[IDN5]]="","",VLOOKUP(ResourceAction[[#This Row],[IDN5]],IDNMaps[[Display]:[ID]],2,0)))</f>
        <v/>
      </c>
      <c r="W21" s="57" t="s">
        <v>1087</v>
      </c>
      <c r="X21" s="83" t="s">
        <v>1028</v>
      </c>
      <c r="Y21" s="83"/>
      <c r="Z21" s="83"/>
      <c r="AA21" s="83"/>
      <c r="AB21" s="78">
        <f>ResourceAction[No]</f>
        <v>803219</v>
      </c>
      <c r="AD21" s="1" t="s">
        <v>1223</v>
      </c>
      <c r="AE21" s="15">
        <f>VLOOKUP(ActionListNData[[#This Row],[Action Name]],ResourceAction[[Display]:[No]],3,0)</f>
        <v>803229</v>
      </c>
      <c r="AF21" s="15" t="s">
        <v>912</v>
      </c>
      <c r="AG21" s="15"/>
      <c r="AH21" s="15" t="str">
        <f>'Table Seed Map'!$A$37&amp;"-"&amp;-1+COUNTA($AF$1:ActionListNData[[#This Row],[Resource List]])</f>
        <v>Action List-19</v>
      </c>
      <c r="AI21" s="15">
        <f>IF(ActionListNData[[#This Row],[Action Name]]="","id",-1+COUNTA($AF$1:ActionListNData[[#This Row],[Resource List]])+IF(ISNUMBER(VLOOKUP('Table Seed Map'!$A$37,SeedMap[],9,0)),VLOOKUP('Table Seed Map'!$A$37,SeedMap[],9,0),0))</f>
        <v>803519</v>
      </c>
      <c r="AJ21" s="15">
        <f>ActionListNData[[#This Row],[Action]]</f>
        <v>803229</v>
      </c>
      <c r="AK21" s="15">
        <f>IF(ActionListNData[[#This Row],[Action Name]]="","resource_list",IFERROR(VLOOKUP(ActionListNData[[#This Row],[Resource List]],ResourceList[[ListDisplayName]:[No]],2,0),""))</f>
        <v>802201</v>
      </c>
      <c r="AL21" s="15" t="str">
        <f>'Table Seed Map'!$A$38&amp;"-"&amp;-1+COUNTA($AG$1:ActionListNData[[#This Row],[Resource Data]])</f>
        <v>Action Data-0</v>
      </c>
      <c r="AM21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1" s="15">
        <f>ActionListNData[[#This Row],[Action]]</f>
        <v>803229</v>
      </c>
      <c r="AO21" s="15" t="str">
        <f>IF(ActionListNData[[#This Row],[Action Name]]="","resource_data",IFERROR(VLOOKUP(ActionListNData[[#This Row],[Resource Data]],ResourceData[[DataDisplayName]:[No]],2,0),""))</f>
        <v/>
      </c>
    </row>
    <row r="22" spans="1:41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Partner/PartnerTaskProgressAction</v>
      </c>
      <c r="C22" s="58" t="s">
        <v>843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800501</v>
      </c>
      <c r="F22" s="71" t="s">
        <v>1101</v>
      </c>
      <c r="G22" s="71" t="s">
        <v>1102</v>
      </c>
      <c r="H22" s="71" t="s">
        <v>1092</v>
      </c>
      <c r="I22" s="71"/>
      <c r="J22" s="71"/>
      <c r="K22" s="71"/>
      <c r="L22" s="71"/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48" t="s">
        <v>1067</v>
      </c>
      <c r="R22" s="82">
        <f ca="1">IF(ResourceAction[[#This Row],[Resource Name]]="","idn1",IF(ResourceAction[[#This Row],[IDN1]]="","",VLOOKUP(ResourceAction[[#This Row],[IDN1]],IDNMaps[[Display]:[ID]],2,0)))</f>
        <v>800808</v>
      </c>
      <c r="S22" s="49">
        <f ca="1">IF(ResourceAction[[#This Row],[Resource Name]]="","idn2",IF(ResourceAction[[#This Row],[IDN2]]="","",VLOOKUP(ResourceAction[[#This Row],[IDN2]],IDNMaps[[Display]:[ID]],2,0)))</f>
        <v>802211</v>
      </c>
      <c r="T22" s="49" t="str">
        <f>IF(ResourceAction[[#This Row],[Resource Name]]="","idn3",IF(ResourceAction[[#This Row],[IDN3]]="","",VLOOKUP(ResourceAction[[#This Row],[IDN3]],IDNMaps[[Display]:[ID]],2,0)))</f>
        <v/>
      </c>
      <c r="U22" s="49" t="str">
        <f>IF(ResourceAction[[#This Row],[Resource Name]]="","idn4",IF(ResourceAction[[#This Row],[IDN4]]="","",VLOOKUP(ResourceAction[[#This Row],[IDN4]],IDNMaps[[Display]:[ID]],2,0)))</f>
        <v/>
      </c>
      <c r="V22" s="49" t="str">
        <f>IF(ResourceAction[[#This Row],[Resource Name]]="","idn5",IF(ResourceAction[[#This Row],[IDN5]]="","",VLOOKUP(ResourceAction[[#This Row],[IDN5]],IDNMaps[[Display]:[ID]],2,0)))</f>
        <v/>
      </c>
      <c r="W22" s="57" t="s">
        <v>1103</v>
      </c>
      <c r="X22" s="83" t="s">
        <v>1104</v>
      </c>
      <c r="Y22" s="83"/>
      <c r="Z22" s="83"/>
      <c r="AA22" s="83"/>
      <c r="AB22" s="78">
        <f>ResourceAction[No]</f>
        <v>803220</v>
      </c>
      <c r="AD22" s="1" t="s">
        <v>1225</v>
      </c>
      <c r="AE22" s="15">
        <f>VLOOKUP(ActionListNData[[#This Row],[Action Name]],ResourceAction[[Display]:[No]],3,0)</f>
        <v>803230</v>
      </c>
      <c r="AF22" s="15" t="s">
        <v>1147</v>
      </c>
      <c r="AG22" s="15"/>
      <c r="AH22" s="15" t="str">
        <f>'Table Seed Map'!$A$37&amp;"-"&amp;-1+COUNTA($AF$1:ActionListNData[[#This Row],[Resource List]])</f>
        <v>Action List-20</v>
      </c>
      <c r="AI22" s="15">
        <f>IF(ActionListNData[[#This Row],[Action Name]]="","id",-1+COUNTA($AF$1:ActionListNData[[#This Row],[Resource List]])+IF(ISNUMBER(VLOOKUP('Table Seed Map'!$A$37,SeedMap[],9,0)),VLOOKUP('Table Seed Map'!$A$37,SeedMap[],9,0),0))</f>
        <v>803520</v>
      </c>
      <c r="AJ22" s="15">
        <f>ActionListNData[[#This Row],[Action]]</f>
        <v>803230</v>
      </c>
      <c r="AK22" s="15">
        <f>IF(ActionListNData[[#This Row],[Action Name]]="","resource_list",IFERROR(VLOOKUP(ActionListNData[[#This Row],[Resource List]],ResourceList[[ListDisplayName]:[No]],2,0),""))</f>
        <v>802212</v>
      </c>
      <c r="AL22" s="15" t="str">
        <f>'Table Seed Map'!$A$38&amp;"-"&amp;-1+COUNTA($AG$1:ActionListNData[[#This Row],[Resource Data]])</f>
        <v>Action Data-0</v>
      </c>
      <c r="AM22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2" s="15">
        <f>ActionListNData[[#This Row],[Action]]</f>
        <v>803230</v>
      </c>
      <c r="AO22" s="15" t="str">
        <f>IF(ActionListNData[[#This Row],[Action Name]]="","resource_data",IFERROR(VLOOKUP(ActionListNData[[#This Row],[Resource Data]],ResourceData[[DataDisplayName]:[No]],2,0),""))</f>
        <v/>
      </c>
    </row>
    <row r="23" spans="1:41" x14ac:dyDescent="0.25">
      <c r="A23" s="71" t="str">
        <f>'Table Seed Map'!$A$34&amp;"-"&amp;(COUNTA($E$1:ResourceAction[[#This Row],[Resource]])-2)</f>
        <v>Resource Actions-21</v>
      </c>
      <c r="B23" s="71" t="str">
        <f>ResourceAction[[#This Row],[Resource Name]]&amp;"/"&amp;ResourceAction[[#This Row],[Name]]</f>
        <v>Category/CreateCategoryFormAction</v>
      </c>
      <c r="C23" s="58" t="s">
        <v>1126</v>
      </c>
      <c r="D23" s="71">
        <f>IF(ResourceAction[[#This Row],[Resource Name]]="","id",COUNTA($C$1:ResourceAction[[#This Row],[Resource Name]])-1+IF(VLOOKUP('Table Seed Map'!$A$34,SeedMap[],9,0),VLOOKUP('Table Seed Map'!$A$34,SeedMap[],9,0),0))</f>
        <v>803221</v>
      </c>
      <c r="E23" s="71">
        <f>IFERROR(VLOOKUP(ResourceAction[[#This Row],[Resource Name]],ResourceTable[[RName]:[No]],3,0),"resource")</f>
        <v>800503</v>
      </c>
      <c r="F23" s="71" t="s">
        <v>1141</v>
      </c>
      <c r="G23" s="71" t="s">
        <v>1142</v>
      </c>
      <c r="H23" s="71"/>
      <c r="I23" s="71"/>
      <c r="J23" s="71" t="s">
        <v>1151</v>
      </c>
      <c r="K23" s="71"/>
      <c r="L23" s="71"/>
      <c r="M23" s="71"/>
      <c r="N23" s="70" t="str">
        <f>'Table Seed Map'!$A$35&amp;"-"&amp;(COUNTA($E$1:ResourceAction[[#This Row],[Resource]])-2)</f>
        <v>Action Method-21</v>
      </c>
      <c r="O23" s="71">
        <f>IF(ResourceAction[[#This Row],[No]]="id","id",-2+COUNTA($E$1:ResourceAction[[#This Row],[Resource]])+IF(ISNUMBER(VLOOKUP('Table Seed Map'!$A$35,SeedMap[],9,0)),VLOOKUP('Table Seed Map'!$A$35,SeedMap[],9,0),0))</f>
        <v>803321</v>
      </c>
      <c r="P23" s="71">
        <f>IF(ResourceAction[[#This Row],[No]]="id","resource_action",ResourceAction[[#This Row],[No]])</f>
        <v>803221</v>
      </c>
      <c r="Q23" s="81" t="s">
        <v>121</v>
      </c>
      <c r="R23" s="82">
        <f ca="1">IF(ResourceAction[[#This Row],[Resource Name]]="","idn1",IF(ResourceAction[[#This Row],[IDN1]]="","",VLOOKUP(ResourceAction[[#This Row],[IDN1]],IDNMaps[[Display]:[ID]],2,0)))</f>
        <v>800907</v>
      </c>
      <c r="S23" s="49" t="str">
        <f>IF(ResourceAction[[#This Row],[Resource Name]]="","idn2",IF(ResourceAction[[#This Row],[IDN2]]="","",VLOOKUP(ResourceAction[[#This Row],[IDN2]],IDNMaps[[Display]:[ID]],2,0)))</f>
        <v/>
      </c>
      <c r="T23" s="49" t="str">
        <f>IF(ResourceAction[[#This Row],[Resource Name]]="","idn3",IF(ResourceAction[[#This Row],[IDN3]]="","",VLOOKUP(ResourceAction[[#This Row],[IDN3]],IDNMaps[[Display]:[ID]],2,0)))</f>
        <v/>
      </c>
      <c r="U23" s="49" t="str">
        <f>IF(ResourceAction[[#This Row],[Resource Name]]="","idn4",IF(ResourceAction[[#This Row],[IDN4]]="","",VLOOKUP(ResourceAction[[#This Row],[IDN4]],IDNMaps[[Display]:[ID]],2,0)))</f>
        <v/>
      </c>
      <c r="V23" s="49" t="str">
        <f>IF(ResourceAction[[#This Row],[Resource Name]]="","idn5",IF(ResourceAction[[#This Row],[IDN5]]="","",VLOOKUP(ResourceAction[[#This Row],[IDN5]],IDNMaps[[Display]:[ID]],2,0)))</f>
        <v/>
      </c>
      <c r="W23" s="83" t="s">
        <v>1144</v>
      </c>
      <c r="X23" s="83"/>
      <c r="Y23" s="83"/>
      <c r="Z23" s="83"/>
      <c r="AA23" s="83"/>
      <c r="AB23" s="78">
        <f>ResourceAction[No]</f>
        <v>803221</v>
      </c>
      <c r="AD23" s="1" t="s">
        <v>1224</v>
      </c>
      <c r="AE23" s="15">
        <f>VLOOKUP(ActionListNData[[#This Row],[Action Name]],ResourceAction[[Display]:[No]],3,0)</f>
        <v>803231</v>
      </c>
      <c r="AF23" s="15" t="s">
        <v>961</v>
      </c>
      <c r="AG23" s="15"/>
      <c r="AH23" s="15" t="str">
        <f>'Table Seed Map'!$A$37&amp;"-"&amp;-1+COUNTA($AF$1:ActionListNData[[#This Row],[Resource List]])</f>
        <v>Action List-21</v>
      </c>
      <c r="AI23" s="15">
        <f>IF(ActionListNData[[#This Row],[Action Name]]="","id",-1+COUNTA($AF$1:ActionListNData[[#This Row],[Resource List]])+IF(ISNUMBER(VLOOKUP('Table Seed Map'!$A$37,SeedMap[],9,0)),VLOOKUP('Table Seed Map'!$A$37,SeedMap[],9,0),0))</f>
        <v>803521</v>
      </c>
      <c r="AJ23" s="15">
        <f>ActionListNData[[#This Row],[Action]]</f>
        <v>803231</v>
      </c>
      <c r="AK23" s="15">
        <f>IF(ActionListNData[[#This Row],[Action Name]]="","resource_list",IFERROR(VLOOKUP(ActionListNData[[#This Row],[Resource List]],ResourceList[[ListDisplayName]:[No]],2,0),""))</f>
        <v>802203</v>
      </c>
      <c r="AL23" s="15" t="str">
        <f>'Table Seed Map'!$A$38&amp;"-"&amp;-1+COUNTA($AG$1:ActionListNData[[#This Row],[Resource Data]])</f>
        <v>Action Data-0</v>
      </c>
      <c r="AM23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3" s="15">
        <f>ActionListNData[[#This Row],[Action]]</f>
        <v>803231</v>
      </c>
      <c r="AO23" s="15" t="str">
        <f>IF(ActionListNData[[#This Row],[Action Name]]="","resource_data",IFERROR(VLOOKUP(ActionListNData[[#This Row],[Resource Data]],ResourceData[[DataDisplayName]:[No]],2,0),""))</f>
        <v/>
      </c>
    </row>
    <row r="24" spans="1:41" x14ac:dyDescent="0.25">
      <c r="A24" s="71" t="str">
        <f>'Table Seed Map'!$A$34&amp;"-"&amp;(COUNTA($E$1:ResourceAction[[#This Row],[Resource]])-2)</f>
        <v>Resource Actions-22</v>
      </c>
      <c r="B24" s="71" t="str">
        <f>ResourceAction[[#This Row],[Resource Name]]&amp;"/"&amp;ResourceAction[[#This Row],[Name]]</f>
        <v>Category/ListCategoryAction</v>
      </c>
      <c r="C24" s="58" t="s">
        <v>1126</v>
      </c>
      <c r="D24" s="71">
        <f>IF(ResourceAction[[#This Row],[Resource Name]]="","id",COUNTA($C$1:ResourceAction[[#This Row],[Resource Name]])-1+IF(VLOOKUP('Table Seed Map'!$A$34,SeedMap[],9,0),VLOOKUP('Table Seed Map'!$A$34,SeedMap[],9,0),0))</f>
        <v>803222</v>
      </c>
      <c r="E24" s="71">
        <f>IFERROR(VLOOKUP(ResourceAction[[#This Row],[Resource Name]],ResourceTable[[RName]:[No]],3,0),"resource")</f>
        <v>800503</v>
      </c>
      <c r="F24" s="71" t="s">
        <v>1149</v>
      </c>
      <c r="G24" s="71" t="s">
        <v>1150</v>
      </c>
      <c r="H24" s="71"/>
      <c r="I24" s="71"/>
      <c r="J24" s="71" t="s">
        <v>914</v>
      </c>
      <c r="K24" s="71"/>
      <c r="L24" s="71"/>
      <c r="M24" s="71"/>
      <c r="N24" s="70" t="str">
        <f>'Table Seed Map'!$A$35&amp;"-"&amp;(COUNTA($E$1:ResourceAction[[#This Row],[Resource]])-2)</f>
        <v>Action Method-22</v>
      </c>
      <c r="O24" s="71">
        <f>IF(ResourceAction[[#This Row],[No]]="id","id",-2+COUNTA($E$1:ResourceAction[[#This Row],[Resource]])+IF(ISNUMBER(VLOOKUP('Table Seed Map'!$A$35,SeedMap[],9,0)),VLOOKUP('Table Seed Map'!$A$35,SeedMap[],9,0),0))</f>
        <v>803322</v>
      </c>
      <c r="P24" s="71">
        <f>IF(ResourceAction[[#This Row],[No]]="id","resource_action",ResourceAction[[#This Row],[No]])</f>
        <v>803222</v>
      </c>
      <c r="Q24" s="81" t="s">
        <v>122</v>
      </c>
      <c r="R24" s="82">
        <f ca="1">IF(ResourceAction[[#This Row],[Resource Name]]="","idn1",IF(ResourceAction[[#This Row],[IDN1]]="","",VLOOKUP(ResourceAction[[#This Row],[IDN1]],IDNMaps[[Display]:[ID]],2,0)))</f>
        <v>802212</v>
      </c>
      <c r="S24" s="49" t="str">
        <f>IF(ResourceAction[[#This Row],[Resource Name]]="","idn2",IF(ResourceAction[[#This Row],[IDN2]]="","",VLOOKUP(ResourceAction[[#This Row],[IDN2]],IDNMaps[[Display]:[ID]],2,0)))</f>
        <v/>
      </c>
      <c r="T24" s="49" t="str">
        <f>IF(ResourceAction[[#This Row],[Resource Name]]="","idn3",IF(ResourceAction[[#This Row],[IDN3]]="","",VLOOKUP(ResourceAction[[#This Row],[IDN3]],IDNMaps[[Display]:[ID]],2,0)))</f>
        <v/>
      </c>
      <c r="U24" s="49" t="str">
        <f>IF(ResourceAction[[#This Row],[Resource Name]]="","idn4",IF(ResourceAction[[#This Row],[IDN4]]="","",VLOOKUP(ResourceAction[[#This Row],[IDN4]],IDNMaps[[Display]:[ID]],2,0)))</f>
        <v/>
      </c>
      <c r="V24" s="49" t="str">
        <f>IF(ResourceAction[[#This Row],[Resource Name]]="","idn5",IF(ResourceAction[[#This Row],[IDN5]]="","",VLOOKUP(ResourceAction[[#This Row],[IDN5]],IDNMaps[[Display]:[ID]],2,0)))</f>
        <v/>
      </c>
      <c r="W24" s="83" t="s">
        <v>1152</v>
      </c>
      <c r="X24" s="83"/>
      <c r="Y24" s="83"/>
      <c r="Z24" s="83"/>
      <c r="AA24" s="83"/>
      <c r="AB24" s="78">
        <f>ResourceAction[No]</f>
        <v>803222</v>
      </c>
      <c r="AD24" s="1" t="s">
        <v>1241</v>
      </c>
      <c r="AE24" s="15">
        <f>VLOOKUP(ActionListNData[[#This Row],[Action Name]],ResourceAction[[Display]:[No]],3,0)</f>
        <v>803233</v>
      </c>
      <c r="AF24" s="15" t="s">
        <v>1230</v>
      </c>
      <c r="AG24" s="15"/>
      <c r="AH24" s="15" t="str">
        <f>'Table Seed Map'!$A$37&amp;"-"&amp;-1+COUNTA($AF$1:ActionListNData[[#This Row],[Resource List]])</f>
        <v>Action List-22</v>
      </c>
      <c r="AI24" s="15">
        <f>IF(ActionListNData[[#This Row],[Action Name]]="","id",-1+COUNTA($AF$1:ActionListNData[[#This Row],[Resource List]])+IF(ISNUMBER(VLOOKUP('Table Seed Map'!$A$37,SeedMap[],9,0)),VLOOKUP('Table Seed Map'!$A$37,SeedMap[],9,0),0))</f>
        <v>803522</v>
      </c>
      <c r="AJ24" s="15">
        <f>ActionListNData[[#This Row],[Action]]</f>
        <v>803233</v>
      </c>
      <c r="AK24" s="15">
        <f>IF(ActionListNData[[#This Row],[Action Name]]="","resource_list",IFERROR(VLOOKUP(ActionListNData[[#This Row],[Resource List]],ResourceList[[ListDisplayName]:[No]],2,0),""))</f>
        <v>802214</v>
      </c>
      <c r="AL24" s="15" t="str">
        <f>'Table Seed Map'!$A$38&amp;"-"&amp;-1+COUNTA($AG$1:ActionListNData[[#This Row],[Resource Data]])</f>
        <v>Action Data-0</v>
      </c>
      <c r="AM24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4" s="15">
        <f>ActionListNData[[#This Row],[Action]]</f>
        <v>803233</v>
      </c>
      <c r="AO24" s="15" t="str">
        <f>IF(ActionListNData[[#This Row],[Action Name]]="","resource_data",IFERROR(VLOOKUP(ActionListNData[[#This Row],[Resource Data]],ResourceData[[DataDisplayName]:[No]],2,0),""))</f>
        <v/>
      </c>
    </row>
    <row r="25" spans="1:41" x14ac:dyDescent="0.25">
      <c r="A25" s="71" t="str">
        <f>'Table Seed Map'!$A$34&amp;"-"&amp;(COUNTA($E$1:ResourceAction[[#This Row],[Resource]])-2)</f>
        <v>Resource Actions-23</v>
      </c>
      <c r="B25" s="71" t="str">
        <f>ResourceAction[[#This Row],[Resource Name]]&amp;"/"&amp;ResourceAction[[#This Row],[Name]]</f>
        <v>CategoryTask/ListCategoryTaskAction</v>
      </c>
      <c r="C25" s="58" t="s">
        <v>1137</v>
      </c>
      <c r="D25" s="71">
        <f>IF(ResourceAction[[#This Row],[Resource Name]]="","id",COUNTA($C$1:ResourceAction[[#This Row],[Resource Name]])-1+IF(VLOOKUP('Table Seed Map'!$A$34,SeedMap[],9,0),VLOOKUP('Table Seed Map'!$A$34,SeedMap[],9,0),0))</f>
        <v>803223</v>
      </c>
      <c r="E25" s="71">
        <f>IFERROR(VLOOKUP(ResourceAction[[#This Row],[Resource Name]],ResourceTable[[RName]:[No]],3,0),"resource")</f>
        <v>800504</v>
      </c>
      <c r="F25" s="71" t="s">
        <v>1165</v>
      </c>
      <c r="G25" s="71" t="s">
        <v>1166</v>
      </c>
      <c r="H25" s="71"/>
      <c r="I25" s="71"/>
      <c r="J25" s="37" t="s">
        <v>1180</v>
      </c>
      <c r="K25" s="71"/>
      <c r="L25" s="71"/>
      <c r="M25" s="71"/>
      <c r="N25" s="70" t="str">
        <f>'Table Seed Map'!$A$35&amp;"-"&amp;(COUNTA($E$1:ResourceAction[[#This Row],[Resource]])-2)</f>
        <v>Action Method-23</v>
      </c>
      <c r="O25" s="71">
        <f>IF(ResourceAction[[#This Row],[No]]="id","id",-2+COUNTA($E$1:ResourceAction[[#This Row],[Resource]])+IF(ISNUMBER(VLOOKUP('Table Seed Map'!$A$35,SeedMap[],9,0)),VLOOKUP('Table Seed Map'!$A$35,SeedMap[],9,0),0))</f>
        <v>803323</v>
      </c>
      <c r="P25" s="71">
        <f>IF(ResourceAction[[#This Row],[No]]="id","resource_action",ResourceAction[[#This Row],[No]])</f>
        <v>803223</v>
      </c>
      <c r="Q25" s="81" t="s">
        <v>122</v>
      </c>
      <c r="R25" s="82">
        <f ca="1">IF(ResourceAction[[#This Row],[Resource Name]]="","idn1",IF(ResourceAction[[#This Row],[IDN1]]="","",VLOOKUP(ResourceAction[[#This Row],[IDN1]],IDNMaps[[Display]:[ID]],2,0)))</f>
        <v>802213</v>
      </c>
      <c r="S25" s="49" t="str">
        <f>IF(ResourceAction[[#This Row],[Resource Name]]="","idn2",IF(ResourceAction[[#This Row],[IDN2]]="","",VLOOKUP(ResourceAction[[#This Row],[IDN2]],IDNMaps[[Display]:[ID]],2,0)))</f>
        <v/>
      </c>
      <c r="T25" s="49" t="str">
        <f>IF(ResourceAction[[#This Row],[Resource Name]]="","idn3",IF(ResourceAction[[#This Row],[IDN3]]="","",VLOOKUP(ResourceAction[[#This Row],[IDN3]],IDNMaps[[Display]:[ID]],2,0)))</f>
        <v/>
      </c>
      <c r="U25" s="49" t="str">
        <f>IF(ResourceAction[[#This Row],[Resource Name]]="","idn4",IF(ResourceAction[[#This Row],[IDN4]]="","",VLOOKUP(ResourceAction[[#This Row],[IDN4]],IDNMaps[[Display]:[ID]],2,0)))</f>
        <v/>
      </c>
      <c r="V25" s="49" t="str">
        <f>IF(ResourceAction[[#This Row],[Resource Name]]="","idn5",IF(ResourceAction[[#This Row],[IDN5]]="","",VLOOKUP(ResourceAction[[#This Row],[IDN5]],IDNMaps[[Display]:[ID]],2,0)))</f>
        <v/>
      </c>
      <c r="W25" s="83" t="s">
        <v>1167</v>
      </c>
      <c r="X25" s="83"/>
      <c r="Y25" s="83"/>
      <c r="Z25" s="83"/>
      <c r="AA25" s="83"/>
      <c r="AB25" s="78">
        <f>ResourceAction[No]</f>
        <v>803223</v>
      </c>
      <c r="AD25" s="63" t="s">
        <v>1258</v>
      </c>
      <c r="AE25" s="60">
        <f>VLOOKUP(ActionListNData[[#This Row],[Action Name]],ResourceAction[[Display]:[No]],3,0)</f>
        <v>803234</v>
      </c>
      <c r="AF25" s="15" t="s">
        <v>996</v>
      </c>
      <c r="AG25" s="60"/>
      <c r="AH25" s="60" t="str">
        <f>'Table Seed Map'!$A$37&amp;"-"&amp;-1+COUNTA($AF$1:ActionListNData[[#This Row],[Resource List]])</f>
        <v>Action List-23</v>
      </c>
      <c r="AI25" s="60">
        <f>IF(ActionListNData[[#This Row],[Action Name]]="","id",-1+COUNTA($AF$1:ActionListNData[[#This Row],[Resource List]])+IF(ISNUMBER(VLOOKUP('Table Seed Map'!$A$37,SeedMap[],9,0)),VLOOKUP('Table Seed Map'!$A$37,SeedMap[],9,0),0))</f>
        <v>803523</v>
      </c>
      <c r="AJ25" s="60">
        <f>ActionListNData[[#This Row],[Action]]</f>
        <v>803234</v>
      </c>
      <c r="AK25" s="60">
        <f>IF(ActionListNData[[#This Row],[Action Name]]="","resource_list",IFERROR(VLOOKUP(ActionListNData[[#This Row],[Resource List]],ResourceList[[ListDisplayName]:[No]],2,0),""))</f>
        <v>802208</v>
      </c>
      <c r="AL25" s="60" t="str">
        <f>'Table Seed Map'!$A$38&amp;"-"&amp;-1+COUNTA($AG$1:ActionListNData[[#This Row],[Resource Data]])</f>
        <v>Action Data-0</v>
      </c>
      <c r="AM2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5" s="60">
        <f>ActionListNData[[#This Row],[Action]]</f>
        <v>803234</v>
      </c>
      <c r="AO25" s="60" t="str">
        <f>IF(ActionListNData[[#This Row],[Action Name]]="","resource_data",IFERROR(VLOOKUP(ActionListNData[[#This Row],[Resource Data]],ResourceData[[DataDisplayName]:[No]],2,0),""))</f>
        <v/>
      </c>
    </row>
    <row r="26" spans="1:41" x14ac:dyDescent="0.25">
      <c r="A26" s="71" t="str">
        <f>'Table Seed Map'!$A$34&amp;"-"&amp;(COUNTA($E$1:ResourceAction[[#This Row],[Resource]])-2)</f>
        <v>Resource Actions-24</v>
      </c>
      <c r="B26" s="71" t="str">
        <f>ResourceAction[[#This Row],[Resource Name]]&amp;"/"&amp;ResourceAction[[#This Row],[Name]]</f>
        <v>CategoryTask/ListCategorysTasksAction</v>
      </c>
      <c r="C26" s="58" t="s">
        <v>1137</v>
      </c>
      <c r="D26" s="71">
        <f>IF(ResourceAction[[#This Row],[Resource Name]]="","id",COUNTA($C$1:ResourceAction[[#This Row],[Resource Name]])-1+IF(VLOOKUP('Table Seed Map'!$A$34,SeedMap[],9,0),VLOOKUP('Table Seed Map'!$A$34,SeedMap[],9,0),0))</f>
        <v>803224</v>
      </c>
      <c r="E26" s="71">
        <f>IFERROR(VLOOKUP(ResourceAction[[#This Row],[Resource Name]],ResourceTable[[RName]:[No]],3,0),"resource")</f>
        <v>800504</v>
      </c>
      <c r="F26" s="71" t="s">
        <v>1170</v>
      </c>
      <c r="G26" s="71" t="s">
        <v>1171</v>
      </c>
      <c r="H26" s="71" t="s">
        <v>1180</v>
      </c>
      <c r="I26" s="71"/>
      <c r="J26" s="71"/>
      <c r="K26" s="71"/>
      <c r="L26" s="71" t="s">
        <v>1188</v>
      </c>
      <c r="M26" s="71"/>
      <c r="N26" s="70" t="str">
        <f>'Table Seed Map'!$A$35&amp;"-"&amp;(COUNTA($E$1:ResourceAction[[#This Row],[Resource]])-2)</f>
        <v>Action Method-24</v>
      </c>
      <c r="O26" s="71">
        <f>IF(ResourceAction[[#This Row],[No]]="id","id",-2+COUNTA($E$1:ResourceAction[[#This Row],[Resource]])+IF(ISNUMBER(VLOOKUP('Table Seed Map'!$A$35,SeedMap[],9,0)),VLOOKUP('Table Seed Map'!$A$35,SeedMap[],9,0),0))</f>
        <v>803324</v>
      </c>
      <c r="P26" s="71">
        <f>IF(ResourceAction[[#This Row],[No]]="id","resource_action",ResourceAction[[#This Row],[No]])</f>
        <v>803224</v>
      </c>
      <c r="Q26" s="81" t="s">
        <v>1067</v>
      </c>
      <c r="R26" s="82">
        <f ca="1">IF(ResourceAction[[#This Row],[Resource Name]]="","idn1",IF(ResourceAction[[#This Row],[IDN1]]="","",VLOOKUP(ResourceAction[[#This Row],[IDN1]],IDNMaps[[Display]:[ID]],2,0)))</f>
        <v>800815</v>
      </c>
      <c r="S26" s="82">
        <f ca="1">IF(ResourceAction[[#This Row],[Resource Name]]="","idn2",IF(ResourceAction[[#This Row],[IDN2]]="","",VLOOKUP(ResourceAction[[#This Row],[IDN2]],IDNMaps[[Display]:[ID]],2,0)))</f>
        <v>802211</v>
      </c>
      <c r="T26" s="82" t="str">
        <f>IF(ResourceAction[[#This Row],[Resource Name]]="","idn3",IF(ResourceAction[[#This Row],[IDN3]]="","",VLOOKUP(ResourceAction[[#This Row],[IDN3]],IDNMaps[[Display]:[ID]],2,0)))</f>
        <v/>
      </c>
      <c r="U26" s="82" t="str">
        <f>IF(ResourceAction[[#This Row],[Resource Name]]="","idn4",IF(ResourceAction[[#This Row],[IDN4]]="","",VLOOKUP(ResourceAction[[#This Row],[IDN4]],IDNMaps[[Display]:[ID]],2,0)))</f>
        <v/>
      </c>
      <c r="V26" s="82" t="str">
        <f>IF(ResourceAction[[#This Row],[Resource Name]]="","idn5",IF(ResourceAction[[#This Row],[IDN5]]="","",VLOOKUP(ResourceAction[[#This Row],[IDN5]],IDNMaps[[Display]:[ID]],2,0)))</f>
        <v/>
      </c>
      <c r="W26" s="83" t="s">
        <v>1172</v>
      </c>
      <c r="X26" s="83" t="s">
        <v>1104</v>
      </c>
      <c r="Y26" s="83"/>
      <c r="Z26" s="83"/>
      <c r="AA26" s="83"/>
      <c r="AB26" s="78">
        <f>ResourceAction[No]</f>
        <v>803224</v>
      </c>
      <c r="AD26" s="63" t="s">
        <v>1258</v>
      </c>
      <c r="AE26" s="60">
        <f>VLOOKUP(ActionListNData[[#This Row],[Action Name]],ResourceAction[[Display]:[No]],3,0)</f>
        <v>803234</v>
      </c>
      <c r="AF26" s="60" t="s">
        <v>1093</v>
      </c>
      <c r="AG26" s="60"/>
      <c r="AH26" s="60" t="str">
        <f>'Table Seed Map'!$A$37&amp;"-"&amp;-1+COUNTA($AF$1:ActionListNData[[#This Row],[Resource List]])</f>
        <v>Action List-24</v>
      </c>
      <c r="AI26" s="60">
        <f>IF(ActionListNData[[#This Row],[Action Name]]="","id",-1+COUNTA($AF$1:ActionListNData[[#This Row],[Resource List]])+IF(ISNUMBER(VLOOKUP('Table Seed Map'!$A$37,SeedMap[],9,0)),VLOOKUP('Table Seed Map'!$A$37,SeedMap[],9,0),0))</f>
        <v>803524</v>
      </c>
      <c r="AJ26" s="60">
        <f>ActionListNData[[#This Row],[Action]]</f>
        <v>803234</v>
      </c>
      <c r="AK26" s="60">
        <f>IF(ActionListNData[[#This Row],[Action Name]]="","resource_list",IFERROR(VLOOKUP(ActionListNData[[#This Row],[Resource List]],ResourceList[[ListDisplayName]:[No]],2,0),""))</f>
        <v>802210</v>
      </c>
      <c r="AL26" s="60" t="str">
        <f>'Table Seed Map'!$A$38&amp;"-"&amp;-1+COUNTA($AG$1:ActionListNData[[#This Row],[Resource Data]])</f>
        <v>Action Data-0</v>
      </c>
      <c r="AM2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6" s="60">
        <f>ActionListNData[[#This Row],[Action]]</f>
        <v>803234</v>
      </c>
      <c r="AO26" s="60" t="str">
        <f>IF(ActionListNData[[#This Row],[Action Name]]="","resource_data",IFERROR(VLOOKUP(ActionListNData[[#This Row],[Resource Data]],ResourceData[[DataDisplayName]:[No]],2,0),""))</f>
        <v/>
      </c>
    </row>
    <row r="27" spans="1:41" x14ac:dyDescent="0.25">
      <c r="A27" s="71" t="str">
        <f>'Table Seed Map'!$A$34&amp;"-"&amp;(COUNTA($E$1:ResourceAction[[#This Row],[Resource]])-2)</f>
        <v>Resource Actions-25</v>
      </c>
      <c r="B27" s="71" t="str">
        <f>ResourceAction[[#This Row],[Resource Name]]&amp;"/"&amp;ResourceAction[[#This Row],[Name]]</f>
        <v>CategoryTask/CategorysCompletedTasks</v>
      </c>
      <c r="C27" s="58" t="s">
        <v>1137</v>
      </c>
      <c r="D27" s="71">
        <f>IF(ResourceAction[[#This Row],[Resource Name]]="","id",COUNTA($C$1:ResourceAction[[#This Row],[Resource Name]])-1+IF(VLOOKUP('Table Seed Map'!$A$34,SeedMap[],9,0),VLOOKUP('Table Seed Map'!$A$34,SeedMap[],9,0),0))</f>
        <v>803225</v>
      </c>
      <c r="E27" s="71">
        <f>IFERROR(VLOOKUP(ResourceAction[[#This Row],[Resource Name]],ResourceTable[[RName]:[No]],3,0),"resource")</f>
        <v>800504</v>
      </c>
      <c r="F27" s="71" t="s">
        <v>1175</v>
      </c>
      <c r="G27" s="71" t="s">
        <v>1174</v>
      </c>
      <c r="H27" s="71" t="s">
        <v>993</v>
      </c>
      <c r="I27" s="71"/>
      <c r="J27" s="71"/>
      <c r="K27" s="71"/>
      <c r="L27" s="71" t="s">
        <v>1186</v>
      </c>
      <c r="M27" s="71"/>
      <c r="N27" s="70" t="str">
        <f>'Table Seed Map'!$A$35&amp;"-"&amp;(COUNTA($E$1:ResourceAction[[#This Row],[Resource]])-2)</f>
        <v>Action Method-25</v>
      </c>
      <c r="O27" s="71">
        <f>IF(ResourceAction[[#This Row],[No]]="id","id",-2+COUNTA($E$1:ResourceAction[[#This Row],[Resource]])+IF(ISNUMBER(VLOOKUP('Table Seed Map'!$A$35,SeedMap[],9,0)),VLOOKUP('Table Seed Map'!$A$35,SeedMap[],9,0),0))</f>
        <v>803325</v>
      </c>
      <c r="P27" s="71">
        <f>IF(ResourceAction[[#This Row],[No]]="id","resource_action",ResourceAction[[#This Row],[No]])</f>
        <v>803225</v>
      </c>
      <c r="Q27" s="81" t="s">
        <v>1067</v>
      </c>
      <c r="R27" s="82">
        <f ca="1">IF(ResourceAction[[#This Row],[Resource Name]]="","idn1",IF(ResourceAction[[#This Row],[IDN1]]="","",VLOOKUP(ResourceAction[[#This Row],[IDN1]],IDNMaps[[Display]:[ID]],2,0)))</f>
        <v>800815</v>
      </c>
      <c r="S27" s="82">
        <f ca="1">IF(ResourceAction[[#This Row],[Resource Name]]="","idn2",IF(ResourceAction[[#This Row],[IDN2]]="","",VLOOKUP(ResourceAction[[#This Row],[IDN2]],IDNMaps[[Display]:[ID]],2,0)))</f>
        <v>802208</v>
      </c>
      <c r="T27" s="82" t="str">
        <f>IF(ResourceAction[[#This Row],[Resource Name]]="","idn3",IF(ResourceAction[[#This Row],[IDN3]]="","",VLOOKUP(ResourceAction[[#This Row],[IDN3]],IDNMaps[[Display]:[ID]],2,0)))</f>
        <v/>
      </c>
      <c r="U27" s="82" t="str">
        <f>IF(ResourceAction[[#This Row],[Resource Name]]="","idn4",IF(ResourceAction[[#This Row],[IDN4]]="","",VLOOKUP(ResourceAction[[#This Row],[IDN4]],IDNMaps[[Display]:[ID]],2,0)))</f>
        <v/>
      </c>
      <c r="V27" s="82" t="str">
        <f>IF(ResourceAction[[#This Row],[Resource Name]]="","idn5",IF(ResourceAction[[#This Row],[IDN5]]="","",VLOOKUP(ResourceAction[[#This Row],[IDN5]],IDNMaps[[Display]:[ID]],2,0)))</f>
        <v/>
      </c>
      <c r="W27" s="83" t="s">
        <v>1172</v>
      </c>
      <c r="X27" s="83" t="s">
        <v>1001</v>
      </c>
      <c r="Y27" s="83"/>
      <c r="Z27" s="83"/>
      <c r="AA27" s="83"/>
      <c r="AB27" s="78">
        <f>ResourceAction[No]</f>
        <v>803225</v>
      </c>
      <c r="AD27" s="63" t="s">
        <v>1258</v>
      </c>
      <c r="AE27" s="60">
        <f>VLOOKUP(ActionListNData[[#This Row],[Action Name]],ResourceAction[[Display]:[No]],3,0)</f>
        <v>803234</v>
      </c>
      <c r="AF27" s="60" t="s">
        <v>1100</v>
      </c>
      <c r="AG27" s="60"/>
      <c r="AH27" s="60" t="str">
        <f>'Table Seed Map'!$A$37&amp;"-"&amp;-1+COUNTA($AF$1:ActionListNData[[#This Row],[Resource List]])</f>
        <v>Action List-25</v>
      </c>
      <c r="AI27" s="60">
        <f>IF(ActionListNData[[#This Row],[Action Name]]="","id",-1+COUNTA($AF$1:ActionListNData[[#This Row],[Resource List]])+IF(ISNUMBER(VLOOKUP('Table Seed Map'!$A$37,SeedMap[],9,0)),VLOOKUP('Table Seed Map'!$A$37,SeedMap[],9,0),0))</f>
        <v>803525</v>
      </c>
      <c r="AJ27" s="60">
        <f>ActionListNData[[#This Row],[Action]]</f>
        <v>803234</v>
      </c>
      <c r="AK27" s="60">
        <f>IF(ActionListNData[[#This Row],[Action Name]]="","resource_list",IFERROR(VLOOKUP(ActionListNData[[#This Row],[Resource List]],ResourceList[[ListDisplayName]:[No]],2,0),""))</f>
        <v>802211</v>
      </c>
      <c r="AL27" s="60" t="str">
        <f>'Table Seed Map'!$A$38&amp;"-"&amp;-1+COUNTA($AG$1:ActionListNData[[#This Row],[Resource Data]])</f>
        <v>Action Data-0</v>
      </c>
      <c r="AM2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7" s="60">
        <f>ActionListNData[[#This Row],[Action]]</f>
        <v>803234</v>
      </c>
      <c r="AO27" s="60" t="str">
        <f>IF(ActionListNData[[#This Row],[Action Name]]="","resource_data",IFERROR(VLOOKUP(ActionListNData[[#This Row],[Resource Data]],ResourceData[[DataDisplayName]:[No]],2,0),""))</f>
        <v/>
      </c>
    </row>
    <row r="28" spans="1:41" x14ac:dyDescent="0.25">
      <c r="A28" s="71" t="str">
        <f>'Table Seed Map'!$A$34&amp;"-"&amp;(COUNTA($E$1:ResourceAction[[#This Row],[Resource]])-2)</f>
        <v>Resource Actions-26</v>
      </c>
      <c r="B28" s="71" t="str">
        <f>ResourceAction[[#This Row],[Resource Name]]&amp;"/"&amp;ResourceAction[[#This Row],[Name]]</f>
        <v>CategoryTask/CategorysNewTasks</v>
      </c>
      <c r="C28" s="58" t="s">
        <v>1137</v>
      </c>
      <c r="D28" s="71">
        <f>IF(ResourceAction[[#This Row],[Resource Name]]="","id",COUNTA($C$1:ResourceAction[[#This Row],[Resource Name]])-1+IF(VLOOKUP('Table Seed Map'!$A$34,SeedMap[],9,0),VLOOKUP('Table Seed Map'!$A$34,SeedMap[],9,0),0))</f>
        <v>803226</v>
      </c>
      <c r="E28" s="71">
        <f>IFERROR(VLOOKUP(ResourceAction[[#This Row],[Resource Name]],ResourceTable[[RName]:[No]],3,0),"resource")</f>
        <v>800504</v>
      </c>
      <c r="F28" s="71" t="s">
        <v>1176</v>
      </c>
      <c r="G28" s="71" t="s">
        <v>1177</v>
      </c>
      <c r="H28" s="71" t="s">
        <v>1181</v>
      </c>
      <c r="I28" s="71"/>
      <c r="J28" s="71"/>
      <c r="K28" s="71"/>
      <c r="L28" s="71" t="s">
        <v>1187</v>
      </c>
      <c r="M28" s="71"/>
      <c r="N28" s="70" t="str">
        <f>'Table Seed Map'!$A$35&amp;"-"&amp;(COUNTA($E$1:ResourceAction[[#This Row],[Resource]])-2)</f>
        <v>Action Method-26</v>
      </c>
      <c r="O28" s="71">
        <f>IF(ResourceAction[[#This Row],[No]]="id","id",-2+COUNTA($E$1:ResourceAction[[#This Row],[Resource]])+IF(ISNUMBER(VLOOKUP('Table Seed Map'!$A$35,SeedMap[],9,0)),VLOOKUP('Table Seed Map'!$A$35,SeedMap[],9,0),0))</f>
        <v>803326</v>
      </c>
      <c r="P28" s="71">
        <f>IF(ResourceAction[[#This Row],[No]]="id","resource_action",ResourceAction[[#This Row],[No]])</f>
        <v>803226</v>
      </c>
      <c r="Q28" s="81" t="s">
        <v>1067</v>
      </c>
      <c r="R28" s="82">
        <f ca="1">IF(ResourceAction[[#This Row],[Resource Name]]="","idn1",IF(ResourceAction[[#This Row],[IDN1]]="","",VLOOKUP(ResourceAction[[#This Row],[IDN1]],IDNMaps[[Display]:[ID]],2,0)))</f>
        <v>800815</v>
      </c>
      <c r="S28" s="82">
        <f ca="1">IF(ResourceAction[[#This Row],[Resource Name]]="","idn2",IF(ResourceAction[[#This Row],[IDN2]]="","",VLOOKUP(ResourceAction[[#This Row],[IDN2]],IDNMaps[[Display]:[ID]],2,0)))</f>
        <v>802205</v>
      </c>
      <c r="T28" s="82" t="str">
        <f>IF(ResourceAction[[#This Row],[Resource Name]]="","idn3",IF(ResourceAction[[#This Row],[IDN3]]="","",VLOOKUP(ResourceAction[[#This Row],[IDN3]],IDNMaps[[Display]:[ID]],2,0)))</f>
        <v/>
      </c>
      <c r="U28" s="82" t="str">
        <f>IF(ResourceAction[[#This Row],[Resource Name]]="","idn4",IF(ResourceAction[[#This Row],[IDN4]]="","",VLOOKUP(ResourceAction[[#This Row],[IDN4]],IDNMaps[[Display]:[ID]],2,0)))</f>
        <v/>
      </c>
      <c r="V28" s="82" t="str">
        <f>IF(ResourceAction[[#This Row],[Resource Name]]="","idn5",IF(ResourceAction[[#This Row],[IDN5]]="","",VLOOKUP(ResourceAction[[#This Row],[IDN5]],IDNMaps[[Display]:[ID]],2,0)))</f>
        <v/>
      </c>
      <c r="W28" s="83" t="s">
        <v>1172</v>
      </c>
      <c r="X28" s="83" t="s">
        <v>998</v>
      </c>
      <c r="Y28" s="83"/>
      <c r="Z28" s="83"/>
      <c r="AA28" s="83"/>
      <c r="AB28" s="78">
        <f>ResourceAction[No]</f>
        <v>803226</v>
      </c>
    </row>
    <row r="29" spans="1:41" x14ac:dyDescent="0.25">
      <c r="A29" s="71" t="str">
        <f>'Table Seed Map'!$A$34&amp;"-"&amp;(COUNTA($E$1:ResourceAction[[#This Row],[Resource]])-2)</f>
        <v>Resource Actions-27</v>
      </c>
      <c r="B29" s="71" t="str">
        <f>ResourceAction[[#This Row],[Resource Name]]&amp;"/"&amp;ResourceAction[[#This Row],[Name]]</f>
        <v>Category/CategoryAddTasks</v>
      </c>
      <c r="C29" s="58" t="s">
        <v>1126</v>
      </c>
      <c r="D29" s="71">
        <f>IF(ResourceAction[[#This Row],[Resource Name]]="","id",COUNTA($C$1:ResourceAction[[#This Row],[Resource Name]])-1+IF(VLOOKUP('Table Seed Map'!$A$34,SeedMap[],9,0),VLOOKUP('Table Seed Map'!$A$34,SeedMap[],9,0),0))</f>
        <v>803227</v>
      </c>
      <c r="E29" s="71">
        <f>IFERROR(VLOOKUP(ResourceAction[[#This Row],[Resource Name]],ResourceTable[[RName]:[No]],3,0),"resource")</f>
        <v>800503</v>
      </c>
      <c r="F29" s="71" t="s">
        <v>1190</v>
      </c>
      <c r="G29" s="71" t="s">
        <v>1191</v>
      </c>
      <c r="H29" s="71" t="s">
        <v>1197</v>
      </c>
      <c r="I29" s="71"/>
      <c r="J29" s="71"/>
      <c r="K29" s="71"/>
      <c r="L29" s="71"/>
      <c r="M29" s="71"/>
      <c r="N29" s="70" t="str">
        <f>'Table Seed Map'!$A$35&amp;"-"&amp;(COUNTA($E$1:ResourceAction[[#This Row],[Resource]])-2)</f>
        <v>Action Method-27</v>
      </c>
      <c r="O29" s="71">
        <f>IF(ResourceAction[[#This Row],[No]]="id","id",-2+COUNTA($E$1:ResourceAction[[#This Row],[Resource]])+IF(ISNUMBER(VLOOKUP('Table Seed Map'!$A$35,SeedMap[],9,0)),VLOOKUP('Table Seed Map'!$A$35,SeedMap[],9,0),0))</f>
        <v>803327</v>
      </c>
      <c r="P29" s="71">
        <f>IF(ResourceAction[[#This Row],[No]]="id","resource_action",ResourceAction[[#This Row],[No]])</f>
        <v>803227</v>
      </c>
      <c r="Q29" s="81" t="s">
        <v>1192</v>
      </c>
      <c r="R29" s="82">
        <f ca="1">IF(ResourceAction[[#This Row],[Resource Name]]="","idn1",IF(ResourceAction[[#This Row],[IDN1]]="","",VLOOKUP(ResourceAction[[#This Row],[IDN1]],IDNMaps[[Display]:[ID]],2,0)))</f>
        <v>800811</v>
      </c>
      <c r="S29" s="82">
        <f ca="1">IF(ResourceAction[[#This Row],[Resource Name]]="","idn2",IF(ResourceAction[[#This Row],[IDN2]]="","",VLOOKUP(ResourceAction[[#This Row],[IDN2]],IDNMaps[[Display]:[ID]],2,0)))</f>
        <v>800903</v>
      </c>
      <c r="T29" s="82">
        <f ca="1">IF(ResourceAction[[#This Row],[Resource Name]]="","idn3",IF(ResourceAction[[#This Row],[IDN3]]="","",VLOOKUP(ResourceAction[[#This Row],[IDN3]],IDNMaps[[Display]:[ID]],2,0)))</f>
        <v>801009</v>
      </c>
      <c r="U29" s="82" t="str">
        <f>IF(ResourceAction[[#This Row],[Resource Name]]="","idn4",IF(ResourceAction[[#This Row],[IDN4]]="","",VLOOKUP(ResourceAction[[#This Row],[IDN4]],IDNMaps[[Display]:[ID]],2,0)))</f>
        <v/>
      </c>
      <c r="V29" s="82" t="str">
        <f>IF(ResourceAction[[#This Row],[Resource Name]]="","idn5",IF(ResourceAction[[#This Row],[IDN5]]="","",VLOOKUP(ResourceAction[[#This Row],[IDN5]],IDNMaps[[Display]:[ID]],2,0)))</f>
        <v/>
      </c>
      <c r="W29" s="83" t="s">
        <v>1193</v>
      </c>
      <c r="X29" s="83" t="s">
        <v>965</v>
      </c>
      <c r="Y29" s="83" t="s">
        <v>1194</v>
      </c>
      <c r="Z29" s="83"/>
      <c r="AA29" s="83"/>
      <c r="AB29" s="78">
        <f>ResourceAction[No]</f>
        <v>803227</v>
      </c>
    </row>
    <row r="30" spans="1:41" x14ac:dyDescent="0.25">
      <c r="A30" s="37" t="str">
        <f>'Table Seed Map'!$A$34&amp;"-"&amp;(COUNTA($E$1:ResourceAction[[#This Row],[Resource]])-2)</f>
        <v>Resource Actions-28</v>
      </c>
      <c r="B30" s="37" t="str">
        <f>ResourceAction[[#This Row],[Resource Name]]&amp;"/"&amp;ResourceAction[[#This Row],[Name]]</f>
        <v>Partner/EditPartnerFormAction</v>
      </c>
      <c r="C30" s="35" t="s">
        <v>843</v>
      </c>
      <c r="D30" s="37">
        <f>IF(ResourceAction[[#This Row],[Resource Name]]="","id",COUNTA($C$1:ResourceAction[[#This Row],[Resource Name]])-1+IF(VLOOKUP('Table Seed Map'!$A$34,SeedMap[],9,0),VLOOKUP('Table Seed Map'!$A$34,SeedMap[],9,0),0))</f>
        <v>803228</v>
      </c>
      <c r="E30" s="37">
        <f>IFERROR(VLOOKUP(ResourceAction[[#This Row],[Resource Name]],ResourceTable[[RName]:[No]],3,0),"resource")</f>
        <v>800501</v>
      </c>
      <c r="F30" s="37" t="s">
        <v>1209</v>
      </c>
      <c r="G30" s="37" t="s">
        <v>1213</v>
      </c>
      <c r="H30" s="37" t="s">
        <v>1218</v>
      </c>
      <c r="I30" s="37"/>
      <c r="J30" s="37"/>
      <c r="K30" s="37"/>
      <c r="L30" s="37"/>
      <c r="M30" s="37"/>
      <c r="N30" s="39" t="str">
        <f>'Table Seed Map'!$A$35&amp;"-"&amp;(COUNTA($E$1:ResourceAction[[#This Row],[Resource]])-2)</f>
        <v>Action Method-28</v>
      </c>
      <c r="O30" s="37">
        <f>IF(ResourceAction[[#This Row],[No]]="id","id",-2+COUNTA($E$1:ResourceAction[[#This Row],[Resource]])+IF(ISNUMBER(VLOOKUP('Table Seed Map'!$A$35,SeedMap[],9,0)),VLOOKUP('Table Seed Map'!$A$35,SeedMap[],9,0),0))</f>
        <v>803328</v>
      </c>
      <c r="P30" s="37">
        <f>IF(ResourceAction[[#This Row],[No]]="id","resource_action",ResourceAction[[#This Row],[No]])</f>
        <v>803228</v>
      </c>
      <c r="Q30" s="48" t="s">
        <v>224</v>
      </c>
      <c r="R30" s="49">
        <f ca="1">IF(ResourceAction[[#This Row],[Resource Name]]="","idn1",IF(ResourceAction[[#This Row],[IDN1]]="","",VLOOKUP(ResourceAction[[#This Row],[IDN1]],IDNMaps[[Display]:[ID]],2,0)))</f>
        <v>800902</v>
      </c>
      <c r="S30" s="49">
        <f ca="1">IF(ResourceAction[[#This Row],[Resource Name]]="","idn2",IF(ResourceAction[[#This Row],[IDN2]]="","",VLOOKUP(ResourceAction[[#This Row],[IDN2]],IDNMaps[[Display]:[ID]],2,0)))</f>
        <v>802703</v>
      </c>
      <c r="T30" s="49" t="str">
        <f>IF(ResourceAction[[#This Row],[Resource Name]]="","idn3",IF(ResourceAction[[#This Row],[IDN3]]="","",VLOOKUP(ResourceAction[[#This Row],[IDN3]],IDNMaps[[Display]:[ID]],2,0)))</f>
        <v/>
      </c>
      <c r="U30" s="49" t="str">
        <f>IF(ResourceAction[[#This Row],[Resource Name]]="","idn4",IF(ResourceAction[[#This Row],[IDN4]]="","",VLOOKUP(ResourceAction[[#This Row],[IDN4]],IDNMaps[[Display]:[ID]],2,0)))</f>
        <v/>
      </c>
      <c r="V30" s="49" t="str">
        <f>IF(ResourceAction[[#This Row],[Resource Name]]="","idn5",IF(ResourceAction[[#This Row],[IDN5]]="","",VLOOKUP(ResourceAction[[#This Row],[IDN5]],IDNMaps[[Display]:[ID]],2,0)))</f>
        <v/>
      </c>
      <c r="W30" s="57" t="s">
        <v>927</v>
      </c>
      <c r="X30" s="57" t="s">
        <v>1214</v>
      </c>
      <c r="Y30" s="57"/>
      <c r="Z30" s="57"/>
      <c r="AA30" s="57"/>
      <c r="AB30" s="54">
        <f>ResourceAction[No]</f>
        <v>803228</v>
      </c>
    </row>
    <row r="31" spans="1:41" x14ac:dyDescent="0.25">
      <c r="A31" s="37" t="str">
        <f>'Table Seed Map'!$A$34&amp;"-"&amp;(COUNTA($E$1:ResourceAction[[#This Row],[Resource]])-2)</f>
        <v>Resource Actions-29</v>
      </c>
      <c r="B31" s="37" t="str">
        <f>ResourceAction[[#This Row],[Resource Name]]&amp;"/"&amp;ResourceAction[[#This Row],[Name]]</f>
        <v>Group/EditGroupFormAction</v>
      </c>
      <c r="C31" s="35" t="s">
        <v>96</v>
      </c>
      <c r="D31" s="37">
        <f>IF(ResourceAction[[#This Row],[Resource Name]]="","id",COUNTA($C$1:ResourceAction[[#This Row],[Resource Name]])-1+IF(VLOOKUP('Table Seed Map'!$A$34,SeedMap[],9,0),VLOOKUP('Table Seed Map'!$A$34,SeedMap[],9,0),0))</f>
        <v>803229</v>
      </c>
      <c r="E31" s="37">
        <f>IFERROR(VLOOKUP(ResourceAction[[#This Row],[Resource Name]],ResourceTable[[RName]:[No]],3,0),"resource")</f>
        <v>800502</v>
      </c>
      <c r="F31" s="37" t="s">
        <v>1210</v>
      </c>
      <c r="G31" s="37" t="s">
        <v>1215</v>
      </c>
      <c r="H31" s="37" t="s">
        <v>1218</v>
      </c>
      <c r="I31" s="37"/>
      <c r="J31" s="37"/>
      <c r="K31" s="37"/>
      <c r="L31" s="37"/>
      <c r="M31" s="37"/>
      <c r="N31" s="39" t="str">
        <f>'Table Seed Map'!$A$35&amp;"-"&amp;(COUNTA($E$1:ResourceAction[[#This Row],[Resource]])-2)</f>
        <v>Action Method-29</v>
      </c>
      <c r="O31" s="37">
        <f>IF(ResourceAction[[#This Row],[No]]="id","id",-2+COUNTA($E$1:ResourceAction[[#This Row],[Resource]])+IF(ISNUMBER(VLOOKUP('Table Seed Map'!$A$35,SeedMap[],9,0)),VLOOKUP('Table Seed Map'!$A$35,SeedMap[],9,0),0))</f>
        <v>803329</v>
      </c>
      <c r="P31" s="37">
        <f>IF(ResourceAction[[#This Row],[No]]="id","resource_action",ResourceAction[[#This Row],[No]])</f>
        <v>803229</v>
      </c>
      <c r="Q31" s="48" t="s">
        <v>224</v>
      </c>
      <c r="R31" s="49">
        <f ca="1">IF(ResourceAction[[#This Row],[Resource Name]]="","idn1",IF(ResourceAction[[#This Row],[IDN1]]="","",VLOOKUP(ResourceAction[[#This Row],[IDN1]],IDNMaps[[Display]:[ID]],2,0)))</f>
        <v>800901</v>
      </c>
      <c r="S31" s="49">
        <f ca="1">IF(ResourceAction[[#This Row],[Resource Name]]="","idn2",IF(ResourceAction[[#This Row],[IDN2]]="","",VLOOKUP(ResourceAction[[#This Row],[IDN2]],IDNMaps[[Display]:[ID]],2,0)))</f>
        <v>802702</v>
      </c>
      <c r="T31" s="49" t="str">
        <f>IF(ResourceAction[[#This Row],[Resource Name]]="","idn3",IF(ResourceAction[[#This Row],[IDN3]]="","",VLOOKUP(ResourceAction[[#This Row],[IDN3]],IDNMaps[[Display]:[ID]],2,0)))</f>
        <v/>
      </c>
      <c r="U31" s="49" t="str">
        <f>IF(ResourceAction[[#This Row],[Resource Name]]="","idn4",IF(ResourceAction[[#This Row],[IDN4]]="","",VLOOKUP(ResourceAction[[#This Row],[IDN4]],IDNMaps[[Display]:[ID]],2,0)))</f>
        <v/>
      </c>
      <c r="V31" s="49" t="str">
        <f>IF(ResourceAction[[#This Row],[Resource Name]]="","idn5",IF(ResourceAction[[#This Row],[IDN5]]="","",VLOOKUP(ResourceAction[[#This Row],[IDN5]],IDNMaps[[Display]:[ID]],2,0)))</f>
        <v/>
      </c>
      <c r="W31" s="57" t="s">
        <v>909</v>
      </c>
      <c r="X31" s="57" t="s">
        <v>1219</v>
      </c>
      <c r="Y31" s="57"/>
      <c r="Z31" s="57"/>
      <c r="AA31" s="57"/>
      <c r="AB31" s="54">
        <f>ResourceAction[No]</f>
        <v>803229</v>
      </c>
    </row>
    <row r="32" spans="1:41" x14ac:dyDescent="0.25">
      <c r="A32" s="37" t="str">
        <f>'Table Seed Map'!$A$34&amp;"-"&amp;(COUNTA($E$1:ResourceAction[[#This Row],[Resource]])-2)</f>
        <v>Resource Actions-30</v>
      </c>
      <c r="B32" s="37" t="str">
        <f>ResourceAction[[#This Row],[Resource Name]]&amp;"/"&amp;ResourceAction[[#This Row],[Name]]</f>
        <v>Category/EditCategoryFormAction</v>
      </c>
      <c r="C32" s="35" t="s">
        <v>1126</v>
      </c>
      <c r="D32" s="37">
        <f>IF(ResourceAction[[#This Row],[Resource Name]]="","id",COUNTA($C$1:ResourceAction[[#This Row],[Resource Name]])-1+IF(VLOOKUP('Table Seed Map'!$A$34,SeedMap[],9,0),VLOOKUP('Table Seed Map'!$A$34,SeedMap[],9,0),0))</f>
        <v>803230</v>
      </c>
      <c r="E32" s="37">
        <f>IFERROR(VLOOKUP(ResourceAction[[#This Row],[Resource Name]],ResourceTable[[RName]:[No]],3,0),"resource")</f>
        <v>800503</v>
      </c>
      <c r="F32" s="37" t="s">
        <v>1211</v>
      </c>
      <c r="G32" s="37" t="s">
        <v>1216</v>
      </c>
      <c r="H32" s="37" t="s">
        <v>1218</v>
      </c>
      <c r="I32" s="37"/>
      <c r="J32" s="37"/>
      <c r="K32" s="37"/>
      <c r="L32" s="37"/>
      <c r="M32" s="37"/>
      <c r="N32" s="39" t="str">
        <f>'Table Seed Map'!$A$35&amp;"-"&amp;(COUNTA($E$1:ResourceAction[[#This Row],[Resource]])-2)</f>
        <v>Action Method-30</v>
      </c>
      <c r="O32" s="37">
        <f>IF(ResourceAction[[#This Row],[No]]="id","id",-2+COUNTA($E$1:ResourceAction[[#This Row],[Resource]])+IF(ISNUMBER(VLOOKUP('Table Seed Map'!$A$35,SeedMap[],9,0)),VLOOKUP('Table Seed Map'!$A$35,SeedMap[],9,0),0))</f>
        <v>803330</v>
      </c>
      <c r="P32" s="37">
        <f>IF(ResourceAction[[#This Row],[No]]="id","resource_action",ResourceAction[[#This Row],[No]])</f>
        <v>803230</v>
      </c>
      <c r="Q32" s="48" t="s">
        <v>224</v>
      </c>
      <c r="R32" s="49">
        <f ca="1">IF(ResourceAction[[#This Row],[Resource Name]]="","idn1",IF(ResourceAction[[#This Row],[IDN1]]="","",VLOOKUP(ResourceAction[[#This Row],[IDN1]],IDNMaps[[Display]:[ID]],2,0)))</f>
        <v>800907</v>
      </c>
      <c r="S32" s="49">
        <f ca="1">IF(ResourceAction[[#This Row],[Resource Name]]="","idn2",IF(ResourceAction[[#This Row],[IDN2]]="","",VLOOKUP(ResourceAction[[#This Row],[IDN2]],IDNMaps[[Display]:[ID]],2,0)))</f>
        <v>802705</v>
      </c>
      <c r="T32" s="49" t="str">
        <f>IF(ResourceAction[[#This Row],[Resource Name]]="","idn3",IF(ResourceAction[[#This Row],[IDN3]]="","",VLOOKUP(ResourceAction[[#This Row],[IDN3]],IDNMaps[[Display]:[ID]],2,0)))</f>
        <v/>
      </c>
      <c r="U32" s="49" t="str">
        <f>IF(ResourceAction[[#This Row],[Resource Name]]="","idn4",IF(ResourceAction[[#This Row],[IDN4]]="","",VLOOKUP(ResourceAction[[#This Row],[IDN4]],IDNMaps[[Display]:[ID]],2,0)))</f>
        <v/>
      </c>
      <c r="V32" s="49" t="str">
        <f>IF(ResourceAction[[#This Row],[Resource Name]]="","idn5",IF(ResourceAction[[#This Row],[IDN5]]="","",VLOOKUP(ResourceAction[[#This Row],[IDN5]],IDNMaps[[Display]:[ID]],2,0)))</f>
        <v/>
      </c>
      <c r="W32" s="57" t="s">
        <v>1144</v>
      </c>
      <c r="X32" s="57" t="s">
        <v>1220</v>
      </c>
      <c r="Y32" s="57"/>
      <c r="Z32" s="57"/>
      <c r="AA32" s="57"/>
      <c r="AB32" s="54">
        <f>ResourceAction[No]</f>
        <v>803230</v>
      </c>
    </row>
    <row r="33" spans="1:28" x14ac:dyDescent="0.25">
      <c r="A33" s="37" t="str">
        <f>'Table Seed Map'!$A$34&amp;"-"&amp;(COUNTA($E$1:ResourceAction[[#This Row],[Resource]])-2)</f>
        <v>Resource Actions-31</v>
      </c>
      <c r="B33" s="37" t="str">
        <f>ResourceAction[[#This Row],[Resource Name]]&amp;"/"&amp;ResourceAction[[#This Row],[Name]]</f>
        <v>Task/EditTaskFormAction</v>
      </c>
      <c r="C33" s="35" t="s">
        <v>845</v>
      </c>
      <c r="D33" s="37">
        <f>IF(ResourceAction[[#This Row],[Resource Name]]="","id",COUNTA($C$1:ResourceAction[[#This Row],[Resource Name]])-1+IF(VLOOKUP('Table Seed Map'!$A$34,SeedMap[],9,0),VLOOKUP('Table Seed Map'!$A$34,SeedMap[],9,0),0))</f>
        <v>803231</v>
      </c>
      <c r="E33" s="37">
        <f>IFERROR(VLOOKUP(ResourceAction[[#This Row],[Resource Name]],ResourceTable[[RName]:[No]],3,0),"resource")</f>
        <v>800506</v>
      </c>
      <c r="F33" s="37" t="s">
        <v>1212</v>
      </c>
      <c r="G33" s="37" t="s">
        <v>1217</v>
      </c>
      <c r="H33" s="37" t="s">
        <v>1218</v>
      </c>
      <c r="I33" s="37"/>
      <c r="J33" s="37"/>
      <c r="K33" s="37"/>
      <c r="L33" s="37"/>
      <c r="M33" s="37"/>
      <c r="N33" s="39" t="str">
        <f>'Table Seed Map'!$A$35&amp;"-"&amp;(COUNTA($E$1:ResourceAction[[#This Row],[Resource]])-2)</f>
        <v>Action Method-31</v>
      </c>
      <c r="O33" s="37">
        <f>IF(ResourceAction[[#This Row],[No]]="id","id",-2+COUNTA($E$1:ResourceAction[[#This Row],[Resource]])+IF(ISNUMBER(VLOOKUP('Table Seed Map'!$A$35,SeedMap[],9,0)),VLOOKUP('Table Seed Map'!$A$35,SeedMap[],9,0),0))</f>
        <v>803331</v>
      </c>
      <c r="P33" s="37">
        <f>IF(ResourceAction[[#This Row],[No]]="id","resource_action",ResourceAction[[#This Row],[No]])</f>
        <v>803231</v>
      </c>
      <c r="Q33" s="48" t="s">
        <v>224</v>
      </c>
      <c r="R33" s="49">
        <f ca="1">IF(ResourceAction[[#This Row],[Resource Name]]="","idn1",IF(ResourceAction[[#This Row],[IDN1]]="","",VLOOKUP(ResourceAction[[#This Row],[IDN1]],IDNMaps[[Display]:[ID]],2,0)))</f>
        <v>800903</v>
      </c>
      <c r="S33" s="49">
        <f ca="1">IF(ResourceAction[[#This Row],[Resource Name]]="","idn2",IF(ResourceAction[[#This Row],[IDN2]]="","",VLOOKUP(ResourceAction[[#This Row],[IDN2]],IDNMaps[[Display]:[ID]],2,0)))</f>
        <v>802704</v>
      </c>
      <c r="T33" s="49" t="str">
        <f>IF(ResourceAction[[#This Row],[Resource Name]]="","idn3",IF(ResourceAction[[#This Row],[IDN3]]="","",VLOOKUP(ResourceAction[[#This Row],[IDN3]],IDNMaps[[Display]:[ID]],2,0)))</f>
        <v/>
      </c>
      <c r="U33" s="49" t="str">
        <f>IF(ResourceAction[[#This Row],[Resource Name]]="","idn4",IF(ResourceAction[[#This Row],[IDN4]]="","",VLOOKUP(ResourceAction[[#This Row],[IDN4]],IDNMaps[[Display]:[ID]],2,0)))</f>
        <v/>
      </c>
      <c r="V33" s="49" t="str">
        <f>IF(ResourceAction[[#This Row],[Resource Name]]="","idn5",IF(ResourceAction[[#This Row],[IDN5]]="","",VLOOKUP(ResourceAction[[#This Row],[IDN5]],IDNMaps[[Display]:[ID]],2,0)))</f>
        <v/>
      </c>
      <c r="W33" s="57" t="s">
        <v>965</v>
      </c>
      <c r="X33" s="57" t="s">
        <v>1221</v>
      </c>
      <c r="Y33" s="57"/>
      <c r="Z33" s="57"/>
      <c r="AA33" s="57"/>
      <c r="AB33" s="54">
        <f>ResourceAction[No]</f>
        <v>803231</v>
      </c>
    </row>
    <row r="34" spans="1:28" x14ac:dyDescent="0.25">
      <c r="A34" s="37" t="str">
        <f>'Table Seed Map'!$A$34&amp;"-"&amp;(COUNTA($E$1:ResourceAction[[#This Row],[Resource]])-2)</f>
        <v>Resource Actions-32</v>
      </c>
      <c r="B34" s="37" t="str">
        <f>ResourceAction[[#This Row],[Resource Name]]&amp;"/"&amp;ResourceAction[[#This Row],[Name]]</f>
        <v>Profile/ListPartnerProfile</v>
      </c>
      <c r="C34" s="35" t="s">
        <v>1226</v>
      </c>
      <c r="D34" s="37">
        <f>IF(ResourceAction[[#This Row],[Resource Name]]="","id",COUNTA($C$1:ResourceAction[[#This Row],[Resource Name]])-1+IF(VLOOKUP('Table Seed Map'!$A$34,SeedMap[],9,0),VLOOKUP('Table Seed Map'!$A$34,SeedMap[],9,0),0))</f>
        <v>803232</v>
      </c>
      <c r="E34" s="37">
        <f>IFERROR(VLOOKUP(ResourceAction[[#This Row],[Resource Name]],ResourceTable[[RName]:[No]],3,0),"resource")</f>
        <v>800508</v>
      </c>
      <c r="F34" s="37" t="s">
        <v>1231</v>
      </c>
      <c r="G34" s="37" t="s">
        <v>1232</v>
      </c>
      <c r="H34" s="37"/>
      <c r="I34" s="37"/>
      <c r="J34" s="37" t="s">
        <v>1233</v>
      </c>
      <c r="K34" s="37"/>
      <c r="L34" s="37"/>
      <c r="M34" s="37"/>
      <c r="N34" s="39" t="str">
        <f>'Table Seed Map'!$A$35&amp;"-"&amp;(COUNTA($E$1:ResourceAction[[#This Row],[Resource]])-2)</f>
        <v>Action Method-32</v>
      </c>
      <c r="O34" s="37">
        <f>IF(ResourceAction[[#This Row],[No]]="id","id",-2+COUNTA($E$1:ResourceAction[[#This Row],[Resource]])+IF(ISNUMBER(VLOOKUP('Table Seed Map'!$A$35,SeedMap[],9,0)),VLOOKUP('Table Seed Map'!$A$35,SeedMap[],9,0),0))</f>
        <v>803332</v>
      </c>
      <c r="P34" s="37">
        <f>IF(ResourceAction[[#This Row],[No]]="id","resource_action",ResourceAction[[#This Row],[No]])</f>
        <v>803232</v>
      </c>
      <c r="Q34" s="48" t="s">
        <v>122</v>
      </c>
      <c r="R34" s="49">
        <f ca="1">IF(ResourceAction[[#This Row],[Resource Name]]="","idn1",IF(ResourceAction[[#This Row],[IDN1]]="","",VLOOKUP(ResourceAction[[#This Row],[IDN1]],IDNMaps[[Display]:[ID]],2,0)))</f>
        <v>802214</v>
      </c>
      <c r="S34" s="49" t="str">
        <f>IF(ResourceAction[[#This Row],[Resource Name]]="","idn2",IF(ResourceAction[[#This Row],[IDN2]]="","",VLOOKUP(ResourceAction[[#This Row],[IDN2]],IDNMaps[[Display]:[ID]],2,0)))</f>
        <v/>
      </c>
      <c r="T34" s="49" t="str">
        <f>IF(ResourceAction[[#This Row],[Resource Name]]="","idn3",IF(ResourceAction[[#This Row],[IDN3]]="","",VLOOKUP(ResourceAction[[#This Row],[IDN3]],IDNMaps[[Display]:[ID]],2,0)))</f>
        <v/>
      </c>
      <c r="U34" s="49" t="str">
        <f>IF(ResourceAction[[#This Row],[Resource Name]]="","idn4",IF(ResourceAction[[#This Row],[IDN4]]="","",VLOOKUP(ResourceAction[[#This Row],[IDN4]],IDNMaps[[Display]:[ID]],2,0)))</f>
        <v/>
      </c>
      <c r="V34" s="49" t="str">
        <f>IF(ResourceAction[[#This Row],[Resource Name]]="","idn5",IF(ResourceAction[[#This Row],[IDN5]]="","",VLOOKUP(ResourceAction[[#This Row],[IDN5]],IDNMaps[[Display]:[ID]],2,0)))</f>
        <v/>
      </c>
      <c r="W34" s="57" t="s">
        <v>1234</v>
      </c>
      <c r="X34" s="57"/>
      <c r="Y34" s="57"/>
      <c r="Z34" s="57"/>
      <c r="AA34" s="57"/>
      <c r="AB34" s="54">
        <f>ResourceAction[No]</f>
        <v>803232</v>
      </c>
    </row>
    <row r="35" spans="1:28" x14ac:dyDescent="0.25">
      <c r="A35" s="37" t="str">
        <f>'Table Seed Map'!$A$34&amp;"-"&amp;(COUNTA($E$1:ResourceAction[[#This Row],[Resource]])-2)</f>
        <v>Resource Actions-33</v>
      </c>
      <c r="B35" s="37" t="str">
        <f>ResourceAction[[#This Row],[Resource Name]]&amp;"/"&amp;ResourceAction[[#This Row],[Name]]</f>
        <v>Profile/EditProfileAction</v>
      </c>
      <c r="C35" s="35" t="s">
        <v>1226</v>
      </c>
      <c r="D35" s="37">
        <f>IF(ResourceAction[[#This Row],[Resource Name]]="","id",COUNTA($C$1:ResourceAction[[#This Row],[Resource Name]])-1+IF(VLOOKUP('Table Seed Map'!$A$34,SeedMap[],9,0),VLOOKUP('Table Seed Map'!$A$34,SeedMap[],9,0),0))</f>
        <v>803233</v>
      </c>
      <c r="E35" s="37">
        <f>IFERROR(VLOOKUP(ResourceAction[[#This Row],[Resource Name]],ResourceTable[[RName]:[No]],3,0),"resource")</f>
        <v>800508</v>
      </c>
      <c r="F35" s="37" t="s">
        <v>1235</v>
      </c>
      <c r="G35" s="37" t="s">
        <v>1236</v>
      </c>
      <c r="H35" s="37" t="s">
        <v>1218</v>
      </c>
      <c r="I35" s="37"/>
      <c r="J35" s="37"/>
      <c r="K35" s="37"/>
      <c r="L35" s="37"/>
      <c r="M35" s="37"/>
      <c r="N35" s="39" t="str">
        <f>'Table Seed Map'!$A$35&amp;"-"&amp;(COUNTA($E$1:ResourceAction[[#This Row],[Resource]])-2)</f>
        <v>Action Method-33</v>
      </c>
      <c r="O35" s="37">
        <f>IF(ResourceAction[[#This Row],[No]]="id","id",-2+COUNTA($E$1:ResourceAction[[#This Row],[Resource]])+IF(ISNUMBER(VLOOKUP('Table Seed Map'!$A$35,SeedMap[],9,0)),VLOOKUP('Table Seed Map'!$A$35,SeedMap[],9,0),0))</f>
        <v>803333</v>
      </c>
      <c r="P35" s="37">
        <f>IF(ResourceAction[[#This Row],[No]]="id","resource_action",ResourceAction[[#This Row],[No]])</f>
        <v>803233</v>
      </c>
      <c r="Q35" s="48" t="s">
        <v>224</v>
      </c>
      <c r="R35" s="49">
        <f ca="1">IF(ResourceAction[[#This Row],[Resource Name]]="","idn1",IF(ResourceAction[[#This Row],[IDN1]]="","",VLOOKUP(ResourceAction[[#This Row],[IDN1]],IDNMaps[[Display]:[ID]],2,0)))</f>
        <v>800908</v>
      </c>
      <c r="S35" s="49">
        <f ca="1">IF(ResourceAction[[#This Row],[Resource Name]]="","idn2",IF(ResourceAction[[#This Row],[IDN2]]="","",VLOOKUP(ResourceAction[[#This Row],[IDN2]],IDNMaps[[Display]:[ID]],2,0)))</f>
        <v>802706</v>
      </c>
      <c r="T35" s="49" t="str">
        <f>IF(ResourceAction[[#This Row],[Resource Name]]="","idn3",IF(ResourceAction[[#This Row],[IDN3]]="","",VLOOKUP(ResourceAction[[#This Row],[IDN3]],IDNMaps[[Display]:[ID]],2,0)))</f>
        <v/>
      </c>
      <c r="U35" s="49" t="str">
        <f>IF(ResourceAction[[#This Row],[Resource Name]]="","idn4",IF(ResourceAction[[#This Row],[IDN4]]="","",VLOOKUP(ResourceAction[[#This Row],[IDN4]],IDNMaps[[Display]:[ID]],2,0)))</f>
        <v/>
      </c>
      <c r="V35" s="49" t="str">
        <f>IF(ResourceAction[[#This Row],[Resource Name]]="","idn5",IF(ResourceAction[[#This Row],[IDN5]]="","",VLOOKUP(ResourceAction[[#This Row],[IDN5]],IDNMaps[[Display]:[ID]],2,0)))</f>
        <v/>
      </c>
      <c r="W35" s="57" t="s">
        <v>1246</v>
      </c>
      <c r="X35" s="57" t="s">
        <v>1240</v>
      </c>
      <c r="Y35" s="57"/>
      <c r="Z35" s="57"/>
      <c r="AA35" s="57"/>
      <c r="AB35" s="54">
        <f>ResourceAction[No]</f>
        <v>803233</v>
      </c>
    </row>
    <row r="36" spans="1:28" x14ac:dyDescent="0.25">
      <c r="A36" s="71" t="str">
        <f>'Table Seed Map'!$A$34&amp;"-"&amp;(COUNTA($E$1:ResourceAction[[#This Row],[Resource]])-2)</f>
        <v>Resource Actions-34</v>
      </c>
      <c r="B36" s="71" t="str">
        <f>ResourceAction[[#This Row],[Resource Name]]&amp;"/"&amp;ResourceAction[[#This Row],[Name]]</f>
        <v>PartnerTask/PartnerTaskStatusUpdateAction</v>
      </c>
      <c r="C36" s="58" t="s">
        <v>846</v>
      </c>
      <c r="D36" s="71">
        <f>IF(ResourceAction[[#This Row],[Resource Name]]="","id",COUNTA($C$1:ResourceAction[[#This Row],[Resource Name]])-1+IF(VLOOKUP('Table Seed Map'!$A$34,SeedMap[],9,0),VLOOKUP('Table Seed Map'!$A$34,SeedMap[],9,0),0))</f>
        <v>803234</v>
      </c>
      <c r="E36" s="71">
        <f>IFERROR(VLOOKUP(ResourceAction[[#This Row],[Resource Name]],ResourceTable[[RName]:[No]],3,0),"resource")</f>
        <v>800507</v>
      </c>
      <c r="F36" s="71" t="s">
        <v>1254</v>
      </c>
      <c r="G36" s="71" t="s">
        <v>1255</v>
      </c>
      <c r="H36" s="71" t="s">
        <v>1256</v>
      </c>
      <c r="I36" s="71"/>
      <c r="J36" s="71"/>
      <c r="K36" s="71"/>
      <c r="L36" s="71"/>
      <c r="M36" s="71"/>
      <c r="N36" s="70" t="str">
        <f>'Table Seed Map'!$A$35&amp;"-"&amp;(COUNTA($E$1:ResourceAction[[#This Row],[Resource]])-2)</f>
        <v>Action Method-34</v>
      </c>
      <c r="O36" s="71">
        <f>IF(ResourceAction[[#This Row],[No]]="id","id",-2+COUNTA($E$1:ResourceAction[[#This Row],[Resource]])+IF(ISNUMBER(VLOOKUP('Table Seed Map'!$A$35,SeedMap[],9,0)),VLOOKUP('Table Seed Map'!$A$35,SeedMap[],9,0),0))</f>
        <v>803334</v>
      </c>
      <c r="P36" s="71">
        <f>IF(ResourceAction[[#This Row],[No]]="id","resource_action",ResourceAction[[#This Row],[No]])</f>
        <v>803234</v>
      </c>
      <c r="Q36" s="48" t="s">
        <v>224</v>
      </c>
      <c r="R36" s="82">
        <f ca="1">IF(ResourceAction[[#This Row],[Resource Name]]="","idn1",IF(ResourceAction[[#This Row],[IDN1]]="","",VLOOKUP(ResourceAction[[#This Row],[IDN1]],IDNMaps[[Display]:[ID]],2,0)))</f>
        <v>800909</v>
      </c>
      <c r="S36" s="82">
        <f ca="1">IF(ResourceAction[[#This Row],[Resource Name]]="","idn2",IF(ResourceAction[[#This Row],[IDN2]]="","",VLOOKUP(ResourceAction[[#This Row],[IDN2]],IDNMaps[[Display]:[ID]],2,0)))</f>
        <v>802701</v>
      </c>
      <c r="T36" s="82" t="str">
        <f>IF(ResourceAction[[#This Row],[Resource Name]]="","idn3",IF(ResourceAction[[#This Row],[IDN3]]="","",VLOOKUP(ResourceAction[[#This Row],[IDN3]],IDNMaps[[Display]:[ID]],2,0)))</f>
        <v/>
      </c>
      <c r="U36" s="82" t="str">
        <f>IF(ResourceAction[[#This Row],[Resource Name]]="","idn4",IF(ResourceAction[[#This Row],[IDN4]]="","",VLOOKUP(ResourceAction[[#This Row],[IDN4]],IDNMaps[[Display]:[ID]],2,0)))</f>
        <v/>
      </c>
      <c r="V36" s="82" t="str">
        <f>IF(ResourceAction[[#This Row],[Resource Name]]="","idn5",IF(ResourceAction[[#This Row],[IDN5]]="","",VLOOKUP(ResourceAction[[#This Row],[IDN5]],IDNMaps[[Display]:[ID]],2,0)))</f>
        <v/>
      </c>
      <c r="W36" s="57" t="s">
        <v>1257</v>
      </c>
      <c r="X36" s="57" t="s">
        <v>1028</v>
      </c>
      <c r="Y36" s="83"/>
      <c r="Z36" s="83"/>
      <c r="AA36" s="83"/>
      <c r="AB36" s="78">
        <f>ResourceAction[No]</f>
        <v>803234</v>
      </c>
    </row>
    <row r="37" spans="1:28" x14ac:dyDescent="0.25">
      <c r="A37" s="71" t="str">
        <f>'Table Seed Map'!$A$34&amp;"-"&amp;(COUNTA($E$1:ResourceAction[[#This Row],[Resource]])-2)</f>
        <v>Resource Actions-35</v>
      </c>
      <c r="B37" s="71" t="str">
        <f>ResourceAction[[#This Row],[Resource Name]]&amp;"/"&amp;ResourceAction[[#This Row],[Name]]</f>
        <v>Task/RecentlyUpdatedTaskList24Action</v>
      </c>
      <c r="C37" s="58" t="s">
        <v>845</v>
      </c>
      <c r="D37" s="71">
        <f>IF(ResourceAction[[#This Row],[Resource Name]]="","id",COUNTA($C$1:ResourceAction[[#This Row],[Resource Name]])-1+IF(VLOOKUP('Table Seed Map'!$A$34,SeedMap[],9,0),VLOOKUP('Table Seed Map'!$A$34,SeedMap[],9,0),0))</f>
        <v>803235</v>
      </c>
      <c r="E37" s="71">
        <f>IFERROR(VLOOKUP(ResourceAction[[#This Row],[Resource Name]],ResourceTable[[RName]:[No]],3,0),"resource")</f>
        <v>800506</v>
      </c>
      <c r="F37" s="71" t="s">
        <v>1276</v>
      </c>
      <c r="G37" s="71" t="s">
        <v>1279</v>
      </c>
      <c r="H37" s="71"/>
      <c r="I37" s="71"/>
      <c r="J37" s="71" t="s">
        <v>1274</v>
      </c>
      <c r="K37" s="71"/>
      <c r="L37" s="71"/>
      <c r="M37" s="71"/>
      <c r="N37" s="70" t="str">
        <f>'Table Seed Map'!$A$35&amp;"-"&amp;(COUNTA($E$1:ResourceAction[[#This Row],[Resource]])-2)</f>
        <v>Action Method-35</v>
      </c>
      <c r="O37" s="71">
        <f>IF(ResourceAction[[#This Row],[No]]="id","id",-2+COUNTA($E$1:ResourceAction[[#This Row],[Resource]])+IF(ISNUMBER(VLOOKUP('Table Seed Map'!$A$35,SeedMap[],9,0)),VLOOKUP('Table Seed Map'!$A$35,SeedMap[],9,0),0))</f>
        <v>803335</v>
      </c>
      <c r="P37" s="71">
        <f>IF(ResourceAction[[#This Row],[No]]="id","resource_action",ResourceAction[[#This Row],[No]])</f>
        <v>803235</v>
      </c>
      <c r="Q37" s="48" t="s">
        <v>122</v>
      </c>
      <c r="R37" s="82">
        <f ca="1">IF(ResourceAction[[#This Row],[Resource Name]]="","idn1",IF(ResourceAction[[#This Row],[IDN1]]="","",VLOOKUP(ResourceAction[[#This Row],[IDN1]],IDNMaps[[Display]:[ID]],2,0)))</f>
        <v>802215</v>
      </c>
      <c r="S37" s="82" t="str">
        <f>IF(ResourceAction[[#This Row],[Resource Name]]="","idn2",IF(ResourceAction[[#This Row],[IDN2]]="","",VLOOKUP(ResourceAction[[#This Row],[IDN2]],IDNMaps[[Display]:[ID]],2,0)))</f>
        <v/>
      </c>
      <c r="T37" s="82" t="str">
        <f>IF(ResourceAction[[#This Row],[Resource Name]]="","idn3",IF(ResourceAction[[#This Row],[IDN3]]="","",VLOOKUP(ResourceAction[[#This Row],[IDN3]],IDNMaps[[Display]:[ID]],2,0)))</f>
        <v/>
      </c>
      <c r="U37" s="82" t="str">
        <f>IF(ResourceAction[[#This Row],[Resource Name]]="","idn4",IF(ResourceAction[[#This Row],[IDN4]]="","",VLOOKUP(ResourceAction[[#This Row],[IDN4]],IDNMaps[[Display]:[ID]],2,0)))</f>
        <v/>
      </c>
      <c r="V37" s="82" t="str">
        <f>IF(ResourceAction[[#This Row],[Resource Name]]="","idn5",IF(ResourceAction[[#This Row],[IDN5]]="","",VLOOKUP(ResourceAction[[#This Row],[IDN5]],IDNMaps[[Display]:[ID]],2,0)))</f>
        <v/>
      </c>
      <c r="W37" s="57" t="s">
        <v>1275</v>
      </c>
      <c r="X37" s="83"/>
      <c r="Y37" s="83"/>
      <c r="Z37" s="83"/>
      <c r="AA37" s="83"/>
      <c r="AB37" s="78">
        <f>ResourceAction[No]</f>
        <v>803235</v>
      </c>
    </row>
    <row r="38" spans="1:28" x14ac:dyDescent="0.25">
      <c r="A38" s="71" t="str">
        <f>'Table Seed Map'!$A$34&amp;"-"&amp;(COUNTA($E$1:ResourceAction[[#This Row],[Resource]])-2)</f>
        <v>Resource Actions-36</v>
      </c>
      <c r="B38" s="71" t="str">
        <f>ResourceAction[[#This Row],[Resource Name]]&amp;"/"&amp;ResourceAction[[#This Row],[Name]]</f>
        <v>Task/RecentlyUpdatedTaskList48Action</v>
      </c>
      <c r="C38" s="58" t="s">
        <v>845</v>
      </c>
      <c r="D38" s="71">
        <f>IF(ResourceAction[[#This Row],[Resource Name]]="","id",COUNTA($C$1:ResourceAction[[#This Row],[Resource Name]])-1+IF(VLOOKUP('Table Seed Map'!$A$34,SeedMap[],9,0),VLOOKUP('Table Seed Map'!$A$34,SeedMap[],9,0),0))</f>
        <v>803236</v>
      </c>
      <c r="E38" s="71">
        <f>IFERROR(VLOOKUP(ResourceAction[[#This Row],[Resource Name]],ResourceTable[[RName]:[No]],3,0),"resource")</f>
        <v>800506</v>
      </c>
      <c r="F38" s="71" t="s">
        <v>1277</v>
      </c>
      <c r="G38" s="71" t="s">
        <v>1278</v>
      </c>
      <c r="H38" s="71"/>
      <c r="I38" s="71"/>
      <c r="J38" s="71" t="s">
        <v>1280</v>
      </c>
      <c r="K38" s="71"/>
      <c r="L38" s="71"/>
      <c r="M38" s="71"/>
      <c r="N38" s="70" t="str">
        <f>'Table Seed Map'!$A$35&amp;"-"&amp;(COUNTA($E$1:ResourceAction[[#This Row],[Resource]])-2)</f>
        <v>Action Method-36</v>
      </c>
      <c r="O38" s="71">
        <f>IF(ResourceAction[[#This Row],[No]]="id","id",-2+COUNTA($E$1:ResourceAction[[#This Row],[Resource]])+IF(ISNUMBER(VLOOKUP('Table Seed Map'!$A$35,SeedMap[],9,0)),VLOOKUP('Table Seed Map'!$A$35,SeedMap[],9,0),0))</f>
        <v>803336</v>
      </c>
      <c r="P38" s="71">
        <f>IF(ResourceAction[[#This Row],[No]]="id","resource_action",ResourceAction[[#This Row],[No]])</f>
        <v>803236</v>
      </c>
      <c r="Q38" s="48" t="s">
        <v>122</v>
      </c>
      <c r="R38" s="82">
        <f ca="1">IF(ResourceAction[[#This Row],[Resource Name]]="","idn1",IF(ResourceAction[[#This Row],[IDN1]]="","",VLOOKUP(ResourceAction[[#This Row],[IDN1]],IDNMaps[[Display]:[ID]],2,0)))</f>
        <v>802216</v>
      </c>
      <c r="S38" s="82" t="str">
        <f>IF(ResourceAction[[#This Row],[Resource Name]]="","idn2",IF(ResourceAction[[#This Row],[IDN2]]="","",VLOOKUP(ResourceAction[[#This Row],[IDN2]],IDNMaps[[Display]:[ID]],2,0)))</f>
        <v/>
      </c>
      <c r="T38" s="82" t="str">
        <f>IF(ResourceAction[[#This Row],[Resource Name]]="","idn3",IF(ResourceAction[[#This Row],[IDN3]]="","",VLOOKUP(ResourceAction[[#This Row],[IDN3]],IDNMaps[[Display]:[ID]],2,0)))</f>
        <v/>
      </c>
      <c r="U38" s="82" t="str">
        <f>IF(ResourceAction[[#This Row],[Resource Name]]="","idn4",IF(ResourceAction[[#This Row],[IDN4]]="","",VLOOKUP(ResourceAction[[#This Row],[IDN4]],IDNMaps[[Display]:[ID]],2,0)))</f>
        <v/>
      </c>
      <c r="V38" s="82" t="str">
        <f>IF(ResourceAction[[#This Row],[Resource Name]]="","idn5",IF(ResourceAction[[#This Row],[IDN5]]="","",VLOOKUP(ResourceAction[[#This Row],[IDN5]],IDNMaps[[Display]:[ID]],2,0)))</f>
        <v/>
      </c>
      <c r="W38" s="57" t="s">
        <v>1281</v>
      </c>
      <c r="X38" s="83"/>
      <c r="Y38" s="83"/>
      <c r="Z38" s="83"/>
      <c r="AA38" s="83"/>
      <c r="AB38" s="78">
        <f>ResourceAction[No]</f>
        <v>803236</v>
      </c>
    </row>
  </sheetData>
  <dataValidations count="7">
    <dataValidation type="list" allowBlank="1" showInputMessage="1" showErrorMessage="1" sqref="AQ2 AD2:AD27">
      <formula1>ActionsName</formula1>
    </dataValidation>
    <dataValidation type="list" allowBlank="1" showInputMessage="1" showErrorMessage="1" sqref="AF2:AF27">
      <formula1>ListNames</formula1>
    </dataValidation>
    <dataValidation type="list" allowBlank="1" showInputMessage="1" showErrorMessage="1" sqref="AG2:AG27">
      <formula1>DataNames</formula1>
    </dataValidation>
    <dataValidation type="list" allowBlank="1" showInputMessage="1" showErrorMessage="1" sqref="I2:I3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8">
      <formula1>Resources</formula1>
    </dataValidation>
    <dataValidation type="list" allowBlank="1" showInputMessage="1" showErrorMessage="1" sqref="W2:AA38">
      <formula1>IDNs</formula1>
    </dataValidation>
    <dataValidation type="list" allowBlank="1" showInputMessage="1" showErrorMessage="1" sqref="Q2:Q3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2019-12-20T10:31:15Z</cp:lastPrinted>
  <dcterms:created xsi:type="dcterms:W3CDTF">2018-07-10T07:59:28Z</dcterms:created>
  <dcterms:modified xsi:type="dcterms:W3CDTF">2020-01-20T11:31:15Z</dcterms:modified>
</cp:coreProperties>
</file>