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ww\APPFRAME\app\Packages\Milestone\Task\"/>
    </mc:Choice>
  </mc:AlternateContent>
  <bookViews>
    <workbookView xWindow="0" yWindow="0" windowWidth="20490" windowHeight="7050" tabRatio="912" firstSheet="1" activeTab="11"/>
  </bookViews>
  <sheets>
    <sheet name="Tables" sheetId="1" r:id="rId1"/>
    <sheet name="Fields" sheetId="2" r:id="rId2"/>
    <sheet name="Table Fields" sheetId="3" r:id="rId3"/>
    <sheet name="Table Data" sheetId="24" state="hidden" r:id="rId4"/>
    <sheet name="Table Seed Map" sheetId="21" state="hidden" r:id="rId5"/>
    <sheet name="Seed Statement" sheetId="25" r:id="rId6"/>
    <sheet name="Helper-Resources" sheetId="14" state="hidden" r:id="rId7"/>
    <sheet name="Helper-Relation" sheetId="19" r:id="rId8"/>
    <sheet name="Helper-ResourceAction" sheetId="27" r:id="rId9"/>
    <sheet name="Helper-ResourceForm" sheetId="9" r:id="rId10"/>
    <sheet name="Migration Renamer" sheetId="26" state="hidden" r:id="rId11"/>
    <sheet name="Helper-ResourceList" sheetId="28" r:id="rId12"/>
    <sheet name="Helper-ResourceData" sheetId="29" r:id="rId13"/>
    <sheet name="IDN Maps" sheetId="31" state="hidden" r:id="rId14"/>
  </sheets>
  <definedNames>
    <definedName name="ActionNames">ResourceAction[Name]</definedName>
    <definedName name="ActionsName">ResourceAction[Display]</definedName>
    <definedName name="ActualTableNames">Tables[Table]</definedName>
    <definedName name="asasd">'Helper-Relation'!$F$2:$F$12,'Helper-Relation'!#REF!,'Helper-Relation'!#REF!</definedName>
    <definedName name="AvailableFieldNames">Columns[Name]</definedName>
    <definedName name="AvailableFields">Columns[Column]</definedName>
    <definedName name="AvailableSeeders">SeedMap[Name]</definedName>
    <definedName name="DataNames">ResourceData[DataDisplayName]</definedName>
    <definedName name="DataSections">DataViewSection[DataSectionDisplayName]</definedName>
    <definedName name="DC">FormCollection[No]</definedName>
    <definedName name="FieldDisplayNames">FormFields[Field Name]</definedName>
    <definedName name="FormNames">ResourceForms[FormName]</definedName>
    <definedName name="IDNs">IDNMaps[Display]</definedName>
    <definedName name="ListNames">ResourceList[ListDisplayName]</definedName>
    <definedName name="Page" localSheetId="7">'Table Seed Map'!$A$10</definedName>
    <definedName name="Page" localSheetId="6">'Table Seed Map'!$A$7</definedName>
    <definedName name="Relations">RelationTable[Display]</definedName>
    <definedName name="Resources">ResourceTable[Name]</definedName>
    <definedName name="Scopes">ResourceScopes[ScopesDisplayNames]</definedName>
    <definedName name="TableNames">Tables[Name]</definedName>
  </definedNames>
  <calcPr calcId="162913"/>
</workbook>
</file>

<file path=xl/calcChain.xml><?xml version="1.0" encoding="utf-8"?>
<calcChain xmlns="http://schemas.openxmlformats.org/spreadsheetml/2006/main">
  <c r="AH16" i="27" l="1"/>
  <c r="AI16" i="27"/>
  <c r="AL16" i="27"/>
  <c r="AM16" i="27"/>
  <c r="AO16" i="27"/>
  <c r="B22" i="27"/>
  <c r="D22" i="27"/>
  <c r="AB22" i="27" s="1"/>
  <c r="T22" i="27"/>
  <c r="U22" i="27"/>
  <c r="V22" i="27"/>
  <c r="P22" i="27" l="1"/>
  <c r="BD33" i="9"/>
  <c r="BE33" i="9"/>
  <c r="BD32" i="9"/>
  <c r="BE32" i="9"/>
  <c r="BD31" i="9"/>
  <c r="BE31" i="9"/>
  <c r="O33" i="9"/>
  <c r="Q33" i="9" s="1"/>
  <c r="BF33" i="9" s="1"/>
  <c r="P33" i="9"/>
  <c r="AJ33" i="9"/>
  <c r="AT33" i="9"/>
  <c r="O32" i="9"/>
  <c r="Q32" i="9" s="1"/>
  <c r="BF32" i="9" s="1"/>
  <c r="P32" i="9"/>
  <c r="AJ32" i="9"/>
  <c r="AT32" i="9"/>
  <c r="O31" i="9"/>
  <c r="AE31" i="9" s="1"/>
  <c r="AB31" i="9" s="1"/>
  <c r="P31" i="9"/>
  <c r="AJ31" i="9"/>
  <c r="AT31" i="9"/>
  <c r="B9" i="9"/>
  <c r="AE32" i="9" l="1"/>
  <c r="AB32" i="9" s="1"/>
  <c r="AE33" i="9"/>
  <c r="AB33" i="9" s="1"/>
  <c r="M33" i="9"/>
  <c r="AD33" i="9"/>
  <c r="AY33" i="9"/>
  <c r="AN33" i="9"/>
  <c r="BA33" i="9"/>
  <c r="AY32" i="9"/>
  <c r="AN32" i="9"/>
  <c r="BA32" i="9"/>
  <c r="AD32" i="9"/>
  <c r="M32" i="9"/>
  <c r="Q31" i="9"/>
  <c r="BF31" i="9" s="1"/>
  <c r="M31" i="9"/>
  <c r="C11" i="3"/>
  <c r="C12" i="3"/>
  <c r="C13" i="3"/>
  <c r="C14" i="3"/>
  <c r="D11" i="3"/>
  <c r="D12" i="3"/>
  <c r="D13" i="3"/>
  <c r="D14" i="3"/>
  <c r="E11" i="3"/>
  <c r="E12" i="3"/>
  <c r="E13" i="3"/>
  <c r="E14" i="3"/>
  <c r="F11" i="3"/>
  <c r="F12" i="3"/>
  <c r="F13" i="3"/>
  <c r="F14" i="3"/>
  <c r="G11" i="3"/>
  <c r="G12" i="3"/>
  <c r="G13" i="3"/>
  <c r="G14" i="3"/>
  <c r="H11" i="3"/>
  <c r="H12" i="3"/>
  <c r="H13" i="3"/>
  <c r="H14" i="3"/>
  <c r="I11" i="3"/>
  <c r="I12" i="3"/>
  <c r="I13" i="3"/>
  <c r="I14" i="3"/>
  <c r="J11" i="3"/>
  <c r="J12" i="3"/>
  <c r="J13" i="3"/>
  <c r="J14" i="3"/>
  <c r="B49" i="1"/>
  <c r="F49" i="1" s="1"/>
  <c r="C49" i="1"/>
  <c r="E49" i="1" s="1"/>
  <c r="D49" i="1"/>
  <c r="AD31" i="9" l="1"/>
  <c r="BA31" i="9"/>
  <c r="AN31" i="9"/>
  <c r="AY31" i="9"/>
  <c r="K12" i="3"/>
  <c r="K11" i="3"/>
  <c r="K13" i="3"/>
  <c r="K14" i="3"/>
  <c r="H49" i="1"/>
  <c r="J49" i="1"/>
  <c r="G49" i="1"/>
  <c r="I49" i="1"/>
  <c r="AV24" i="28"/>
  <c r="AZ24" i="28"/>
  <c r="BA24" i="28"/>
  <c r="BB24" i="28"/>
  <c r="AV20" i="28"/>
  <c r="AZ20" i="28"/>
  <c r="BA20" i="28"/>
  <c r="BB20" i="28"/>
  <c r="AH28" i="28"/>
  <c r="AK28" i="28"/>
  <c r="AL28" i="28"/>
  <c r="AM28" i="28"/>
  <c r="AN28" i="28"/>
  <c r="AH24" i="28"/>
  <c r="AK24" i="28"/>
  <c r="AL24" i="28"/>
  <c r="AM24" i="28"/>
  <c r="AN24" i="28"/>
  <c r="AH20" i="28"/>
  <c r="AK20" i="28"/>
  <c r="AL20" i="28"/>
  <c r="AM20" i="28"/>
  <c r="AN20" i="28"/>
  <c r="AH17" i="28"/>
  <c r="AK17" i="28"/>
  <c r="AL17" i="28"/>
  <c r="AM17" i="28"/>
  <c r="AN17" i="28"/>
  <c r="AH14" i="28"/>
  <c r="AK14" i="28"/>
  <c r="AL14" i="28"/>
  <c r="AM14" i="28"/>
  <c r="AN14" i="28"/>
  <c r="AH11" i="28"/>
  <c r="AK11" i="28"/>
  <c r="AL11" i="28"/>
  <c r="AM11" i="28"/>
  <c r="AN11" i="28"/>
  <c r="BD30" i="9"/>
  <c r="BE30" i="9"/>
  <c r="BD29" i="9"/>
  <c r="BE29" i="9"/>
  <c r="O30" i="9"/>
  <c r="M30" i="9" s="1"/>
  <c r="P30" i="9"/>
  <c r="AJ30" i="9"/>
  <c r="AT30" i="9"/>
  <c r="AE5" i="29"/>
  <c r="AH5" i="29"/>
  <c r="AL5" i="29"/>
  <c r="C30" i="3"/>
  <c r="D30" i="3"/>
  <c r="E30" i="3"/>
  <c r="F30" i="3"/>
  <c r="G30" i="3"/>
  <c r="H30" i="3"/>
  <c r="I30" i="3"/>
  <c r="J30" i="3"/>
  <c r="J18" i="2"/>
  <c r="A19" i="24"/>
  <c r="C19" i="24"/>
  <c r="AH15" i="27"/>
  <c r="AI15" i="27"/>
  <c r="AL15" i="27"/>
  <c r="AM15" i="27"/>
  <c r="AH14" i="27"/>
  <c r="AI14" i="27"/>
  <c r="AL14" i="27"/>
  <c r="AM14" i="27"/>
  <c r="AE30" i="9" l="1"/>
  <c r="AB30" i="9" s="1"/>
  <c r="Q30" i="9"/>
  <c r="AD30" i="9" s="1"/>
  <c r="K30" i="3"/>
  <c r="AH13" i="27"/>
  <c r="AI13" i="27"/>
  <c r="AL13" i="27"/>
  <c r="AM13" i="27"/>
  <c r="B21" i="27"/>
  <c r="D21" i="27"/>
  <c r="AB21" i="27" s="1"/>
  <c r="T21" i="27"/>
  <c r="U21" i="27"/>
  <c r="V21" i="27"/>
  <c r="AV25" i="28"/>
  <c r="AZ25" i="28"/>
  <c r="BA25" i="28"/>
  <c r="BB25" i="28"/>
  <c r="AV23" i="28"/>
  <c r="AZ23" i="28"/>
  <c r="BA23" i="28"/>
  <c r="BB23" i="28"/>
  <c r="AV22" i="28"/>
  <c r="BA22" i="28"/>
  <c r="BB22" i="28"/>
  <c r="AH27" i="28"/>
  <c r="AL27" i="28"/>
  <c r="AM27" i="28"/>
  <c r="AN27" i="28"/>
  <c r="AH26" i="28"/>
  <c r="AL26" i="28"/>
  <c r="AM26" i="28"/>
  <c r="AN26" i="28"/>
  <c r="A12" i="28"/>
  <c r="C12" i="28"/>
  <c r="D12" i="28"/>
  <c r="K12" i="28" s="1"/>
  <c r="AH12" i="27"/>
  <c r="AI12" i="27"/>
  <c r="AL12" i="27"/>
  <c r="AM12" i="27"/>
  <c r="AH11" i="27"/>
  <c r="AI11" i="27"/>
  <c r="AL11" i="27"/>
  <c r="AM11" i="27"/>
  <c r="AV21" i="28"/>
  <c r="AZ21" i="28"/>
  <c r="BA21" i="28"/>
  <c r="BB21" i="28"/>
  <c r="AV19" i="28"/>
  <c r="AZ19" i="28"/>
  <c r="BA19" i="28"/>
  <c r="BB19" i="28"/>
  <c r="AV18" i="28"/>
  <c r="BA18" i="28"/>
  <c r="BB18" i="28"/>
  <c r="AH25" i="28"/>
  <c r="AL25" i="28"/>
  <c r="AM25" i="28"/>
  <c r="AN25" i="28"/>
  <c r="A11" i="28"/>
  <c r="C11" i="28"/>
  <c r="D11" i="28"/>
  <c r="K11" i="28" s="1"/>
  <c r="B12" i="27"/>
  <c r="D12" i="27"/>
  <c r="P12" i="27" s="1"/>
  <c r="T12" i="27"/>
  <c r="U12" i="27"/>
  <c r="V12" i="27"/>
  <c r="B20" i="27"/>
  <c r="D20" i="27"/>
  <c r="P20" i="27" s="1"/>
  <c r="T20" i="27"/>
  <c r="U20" i="27"/>
  <c r="V20" i="27"/>
  <c r="BK12" i="9"/>
  <c r="BM12" i="9" s="1"/>
  <c r="BD28" i="9"/>
  <c r="BE28" i="9"/>
  <c r="BD27" i="9"/>
  <c r="BE27" i="9"/>
  <c r="BD26" i="9"/>
  <c r="BE26" i="9"/>
  <c r="O29" i="9"/>
  <c r="M29" i="9" s="1"/>
  <c r="P29" i="9"/>
  <c r="AJ29" i="9"/>
  <c r="AT29" i="9"/>
  <c r="O28" i="9"/>
  <c r="M28" i="9" s="1"/>
  <c r="P28" i="9"/>
  <c r="AJ28" i="9"/>
  <c r="AT28" i="9"/>
  <c r="O27" i="9"/>
  <c r="M27" i="9" s="1"/>
  <c r="P27" i="9"/>
  <c r="AJ27" i="9"/>
  <c r="AT27" i="9"/>
  <c r="B8" i="9"/>
  <c r="AH10" i="27"/>
  <c r="AI10" i="27"/>
  <c r="AL10" i="27"/>
  <c r="AM10" i="27"/>
  <c r="AH9" i="27"/>
  <c r="AI9" i="27"/>
  <c r="AL9" i="27"/>
  <c r="AM9" i="27"/>
  <c r="AH8" i="27"/>
  <c r="AI8" i="27"/>
  <c r="AL8" i="27"/>
  <c r="AM8" i="27"/>
  <c r="B19" i="27"/>
  <c r="D19" i="27"/>
  <c r="AB19" i="27" s="1"/>
  <c r="S19" i="27"/>
  <c r="T19" i="27"/>
  <c r="U19" i="27"/>
  <c r="V19" i="27"/>
  <c r="AP10" i="29"/>
  <c r="AR10" i="29"/>
  <c r="AV10" i="29"/>
  <c r="AL4" i="29"/>
  <c r="AH4" i="29"/>
  <c r="AP9" i="29"/>
  <c r="AR9" i="29"/>
  <c r="AV9" i="29"/>
  <c r="AP8" i="29"/>
  <c r="AR8" i="29"/>
  <c r="AV8" i="29"/>
  <c r="AP7" i="29"/>
  <c r="AR7" i="29"/>
  <c r="AV7" i="29"/>
  <c r="AP6" i="29"/>
  <c r="AR6" i="29"/>
  <c r="AV6" i="29"/>
  <c r="AE4" i="29"/>
  <c r="AP5" i="29"/>
  <c r="AR5" i="29"/>
  <c r="AV5" i="29"/>
  <c r="AP4" i="29"/>
  <c r="AR4" i="29"/>
  <c r="AP3" i="29"/>
  <c r="AR3" i="29"/>
  <c r="AE3" i="29"/>
  <c r="AH3" i="29"/>
  <c r="AV17" i="28"/>
  <c r="AZ17" i="28"/>
  <c r="BA17" i="28"/>
  <c r="BB17" i="28"/>
  <c r="AH23" i="28"/>
  <c r="AL23" i="28"/>
  <c r="AM23" i="28"/>
  <c r="AN23" i="28"/>
  <c r="A12" i="19"/>
  <c r="B12" i="19"/>
  <c r="D12" i="19" s="1"/>
  <c r="N12" i="19" s="1"/>
  <c r="C12" i="19"/>
  <c r="AV16" i="28"/>
  <c r="AH22" i="28"/>
  <c r="AH21" i="28"/>
  <c r="P8" i="19"/>
  <c r="R8" i="19"/>
  <c r="S8" i="19"/>
  <c r="A10" i="28"/>
  <c r="C10" i="28"/>
  <c r="D10" i="28"/>
  <c r="K10" i="28" s="1"/>
  <c r="P7" i="19"/>
  <c r="R7" i="19"/>
  <c r="S7" i="19"/>
  <c r="W8" i="28" s="1"/>
  <c r="BD25" i="9"/>
  <c r="BE25" i="9"/>
  <c r="AH7" i="27"/>
  <c r="AI7" i="27"/>
  <c r="AL7" i="27"/>
  <c r="AM7" i="27"/>
  <c r="B18" i="27"/>
  <c r="D18" i="27"/>
  <c r="AB18" i="27" s="1"/>
  <c r="T18" i="27"/>
  <c r="U18" i="27"/>
  <c r="V18" i="27"/>
  <c r="BK11" i="9"/>
  <c r="BL11" i="9" s="1"/>
  <c r="BD24" i="9"/>
  <c r="BE24" i="9"/>
  <c r="BD23" i="9"/>
  <c r="BE23" i="9"/>
  <c r="BD22" i="9"/>
  <c r="BE22" i="9"/>
  <c r="BD21" i="9"/>
  <c r="BE21" i="9"/>
  <c r="O26" i="9"/>
  <c r="Q26" i="9" s="1"/>
  <c r="P26" i="9"/>
  <c r="AJ26" i="9"/>
  <c r="AT26" i="9"/>
  <c r="O25" i="9"/>
  <c r="Q25" i="9" s="1"/>
  <c r="P25" i="9"/>
  <c r="AJ25" i="9"/>
  <c r="AT25" i="9"/>
  <c r="O24" i="9"/>
  <c r="Q24" i="9" s="1"/>
  <c r="P24" i="9"/>
  <c r="AJ24" i="9"/>
  <c r="AT24" i="9"/>
  <c r="O23" i="9"/>
  <c r="M23" i="9" s="1"/>
  <c r="P23" i="9"/>
  <c r="AJ23" i="9"/>
  <c r="AT23" i="9"/>
  <c r="O22" i="9"/>
  <c r="AE22" i="9" s="1"/>
  <c r="AB22" i="9" s="1"/>
  <c r="P22" i="9"/>
  <c r="AJ22" i="9"/>
  <c r="AT22" i="9"/>
  <c r="O21" i="9"/>
  <c r="AB21" i="9" s="1"/>
  <c r="P21" i="9"/>
  <c r="AJ21" i="9"/>
  <c r="AT21" i="9"/>
  <c r="O20" i="9"/>
  <c r="M20" i="9" s="1"/>
  <c r="P20" i="9"/>
  <c r="AJ20" i="9"/>
  <c r="AT20" i="9"/>
  <c r="B7" i="9"/>
  <c r="AK23" i="28" l="1"/>
  <c r="AZ18" i="28"/>
  <c r="AA9" i="28"/>
  <c r="AY30" i="9"/>
  <c r="BA30" i="9"/>
  <c r="AN30" i="9"/>
  <c r="AK25" i="28"/>
  <c r="P21" i="27"/>
  <c r="AB12" i="27"/>
  <c r="AB20" i="27"/>
  <c r="BL12" i="9"/>
  <c r="Q29" i="9"/>
  <c r="AE29" i="9"/>
  <c r="AB29" i="9" s="1"/>
  <c r="Q28" i="9"/>
  <c r="AB28" i="9"/>
  <c r="AB27" i="9"/>
  <c r="Q27" i="9"/>
  <c r="P19" i="27"/>
  <c r="Z4" i="29"/>
  <c r="G12" i="19"/>
  <c r="P18" i="27"/>
  <c r="BM11" i="9"/>
  <c r="M26" i="9"/>
  <c r="AE26" i="9"/>
  <c r="AB26" i="9" s="1"/>
  <c r="AD26" i="9"/>
  <c r="AY26" i="9"/>
  <c r="AN26" i="9"/>
  <c r="BA26" i="9"/>
  <c r="AE24" i="9"/>
  <c r="AB24" i="9" s="1"/>
  <c r="AD25" i="9"/>
  <c r="BA25" i="9"/>
  <c r="AN25" i="9"/>
  <c r="AY25" i="9"/>
  <c r="M25" i="9"/>
  <c r="AE25" i="9"/>
  <c r="AB25" i="9" s="1"/>
  <c r="AN24" i="9"/>
  <c r="AD24" i="9"/>
  <c r="AY24" i="9"/>
  <c r="BA24" i="9"/>
  <c r="M24" i="9"/>
  <c r="Q23" i="9"/>
  <c r="AE23" i="9"/>
  <c r="AB23" i="9" s="1"/>
  <c r="M22" i="9"/>
  <c r="Q22" i="9"/>
  <c r="M21" i="9"/>
  <c r="Q21" i="9"/>
  <c r="Q20" i="9"/>
  <c r="AB20" i="9"/>
  <c r="BD20" i="9"/>
  <c r="BE20" i="9"/>
  <c r="AH6" i="27"/>
  <c r="AI6" i="27"/>
  <c r="AL6" i="27"/>
  <c r="AM6" i="27"/>
  <c r="B17" i="27"/>
  <c r="D17" i="27"/>
  <c r="AB17" i="27" s="1"/>
  <c r="T17" i="27"/>
  <c r="U17" i="27"/>
  <c r="V17" i="27"/>
  <c r="BD18" i="9"/>
  <c r="BE18" i="9"/>
  <c r="BK10" i="9"/>
  <c r="BL10" i="9" s="1"/>
  <c r="BD19" i="9"/>
  <c r="BE19" i="9"/>
  <c r="O19" i="9"/>
  <c r="M19" i="9" s="1"/>
  <c r="P19" i="9"/>
  <c r="AJ19" i="9"/>
  <c r="AT19" i="9"/>
  <c r="BK9" i="9"/>
  <c r="BM9" i="9" s="1"/>
  <c r="BD17" i="9"/>
  <c r="BE17" i="9"/>
  <c r="BD16" i="9"/>
  <c r="BE16" i="9"/>
  <c r="O18" i="9"/>
  <c r="AE18" i="9" s="1"/>
  <c r="AB18" i="9" s="1"/>
  <c r="P18" i="9"/>
  <c r="AJ18" i="9"/>
  <c r="AT18" i="9"/>
  <c r="O17" i="9"/>
  <c r="M17" i="9" s="1"/>
  <c r="P17" i="9"/>
  <c r="AJ17" i="9"/>
  <c r="AT17" i="9"/>
  <c r="O16" i="9"/>
  <c r="M16" i="9" s="1"/>
  <c r="P16" i="9"/>
  <c r="AJ16" i="9"/>
  <c r="AT16" i="9"/>
  <c r="B6" i="9"/>
  <c r="C3" i="29"/>
  <c r="B16" i="27"/>
  <c r="D16" i="27"/>
  <c r="S16" i="27"/>
  <c r="T16" i="27"/>
  <c r="U16" i="27"/>
  <c r="V16" i="27"/>
  <c r="B15" i="27"/>
  <c r="D15" i="27"/>
  <c r="S15" i="27"/>
  <c r="T15" i="27"/>
  <c r="U15" i="27"/>
  <c r="V15" i="27"/>
  <c r="B14" i="27"/>
  <c r="D14" i="27"/>
  <c r="P14" i="27" s="1"/>
  <c r="S14" i="27"/>
  <c r="T14" i="27"/>
  <c r="U14" i="27"/>
  <c r="V14" i="27"/>
  <c r="B13" i="27"/>
  <c r="D13" i="27"/>
  <c r="AB13" i="27" s="1"/>
  <c r="S13" i="27"/>
  <c r="T13" i="27"/>
  <c r="U13" i="27"/>
  <c r="V13" i="27"/>
  <c r="AV15" i="28"/>
  <c r="AV14" i="28"/>
  <c r="AV13" i="28"/>
  <c r="AV12" i="28"/>
  <c r="AV11" i="28"/>
  <c r="AV10" i="28"/>
  <c r="AH19" i="28"/>
  <c r="AH18" i="28"/>
  <c r="AH16" i="28"/>
  <c r="AH15" i="28"/>
  <c r="AH13" i="28"/>
  <c r="AH12" i="28"/>
  <c r="A9" i="28"/>
  <c r="C9" i="28"/>
  <c r="D9" i="28"/>
  <c r="A8" i="28"/>
  <c r="C8" i="28"/>
  <c r="D8" i="28"/>
  <c r="K8" i="28" s="1"/>
  <c r="A7" i="28"/>
  <c r="C7" i="28"/>
  <c r="D7" i="28"/>
  <c r="K7" i="28" s="1"/>
  <c r="AV9" i="28"/>
  <c r="AH10" i="28"/>
  <c r="AH9" i="28"/>
  <c r="A11" i="19"/>
  <c r="B11" i="19"/>
  <c r="D11" i="19" s="1"/>
  <c r="C11" i="19"/>
  <c r="A6" i="28"/>
  <c r="C6" i="28"/>
  <c r="D6" i="28"/>
  <c r="AH5" i="27"/>
  <c r="AI5" i="27"/>
  <c r="AL5" i="27"/>
  <c r="AM5" i="27"/>
  <c r="B11" i="27"/>
  <c r="D11" i="27"/>
  <c r="AB11" i="27" s="1"/>
  <c r="T11" i="27"/>
  <c r="U11" i="27"/>
  <c r="V11" i="27"/>
  <c r="A8" i="19"/>
  <c r="B8" i="19"/>
  <c r="D8" i="19" s="1"/>
  <c r="N8" i="19" s="1"/>
  <c r="C8" i="19"/>
  <c r="BD15" i="9"/>
  <c r="BE15" i="9"/>
  <c r="BD14" i="9"/>
  <c r="BE14" i="9"/>
  <c r="BD13" i="9"/>
  <c r="BE13" i="9"/>
  <c r="BD12" i="9"/>
  <c r="BE12" i="9"/>
  <c r="BD11" i="9"/>
  <c r="BE11" i="9"/>
  <c r="O15" i="9"/>
  <c r="AE15" i="9" s="1"/>
  <c r="AB15" i="9" s="1"/>
  <c r="P15" i="9"/>
  <c r="AJ15" i="9"/>
  <c r="AT15" i="9"/>
  <c r="O14" i="9"/>
  <c r="M14" i="9" s="1"/>
  <c r="P14" i="9"/>
  <c r="AJ14" i="9"/>
  <c r="AT14" i="9"/>
  <c r="O13" i="9"/>
  <c r="AE13" i="9" s="1"/>
  <c r="AB13" i="9" s="1"/>
  <c r="P13" i="9"/>
  <c r="AJ13" i="9"/>
  <c r="AT13" i="9"/>
  <c r="O12" i="9"/>
  <c r="Q12" i="9" s="1"/>
  <c r="P12" i="9"/>
  <c r="AJ12" i="9"/>
  <c r="AT12" i="9"/>
  <c r="K9" i="28" l="1"/>
  <c r="AK16" i="27"/>
  <c r="AV3" i="29"/>
  <c r="AV4" i="29"/>
  <c r="N11" i="19"/>
  <c r="AK26" i="28"/>
  <c r="AZ22" i="28"/>
  <c r="AL3" i="29"/>
  <c r="AK27" i="28"/>
  <c r="AA10" i="28"/>
  <c r="AD29" i="9"/>
  <c r="AY29" i="9"/>
  <c r="BA29" i="9"/>
  <c r="AN29" i="9"/>
  <c r="AD28" i="9"/>
  <c r="AY28" i="9"/>
  <c r="BA28" i="9"/>
  <c r="AN28" i="9"/>
  <c r="AD27" i="9"/>
  <c r="AY27" i="9"/>
  <c r="BA27" i="9"/>
  <c r="AN27" i="9"/>
  <c r="K6" i="28"/>
  <c r="AD23" i="9"/>
  <c r="AY23" i="9"/>
  <c r="BA23" i="9"/>
  <c r="AN23" i="9"/>
  <c r="AD22" i="9"/>
  <c r="BA22" i="9"/>
  <c r="AN22" i="9"/>
  <c r="AY22" i="9"/>
  <c r="BA21" i="9"/>
  <c r="AN21" i="9"/>
  <c r="AD21" i="9"/>
  <c r="AY21" i="9"/>
  <c r="AD20" i="9"/>
  <c r="AY20" i="9"/>
  <c r="BA20" i="9"/>
  <c r="AN20" i="9"/>
  <c r="P17" i="27"/>
  <c r="Q18" i="9"/>
  <c r="AD18" i="9" s="1"/>
  <c r="BM10" i="9"/>
  <c r="M18" i="9"/>
  <c r="Q19" i="9"/>
  <c r="AE19" i="9"/>
  <c r="AB19" i="9" s="1"/>
  <c r="BL9" i="9"/>
  <c r="Q17" i="9"/>
  <c r="AB17" i="9"/>
  <c r="AB16" i="9"/>
  <c r="Q16" i="9"/>
  <c r="AB16" i="27"/>
  <c r="P16" i="27"/>
  <c r="AB15" i="27"/>
  <c r="P15" i="27"/>
  <c r="AB14" i="27"/>
  <c r="P13" i="27"/>
  <c r="G11" i="19"/>
  <c r="P11" i="27"/>
  <c r="G8" i="19"/>
  <c r="M15" i="9"/>
  <c r="Q15" i="9"/>
  <c r="Q13" i="9"/>
  <c r="AY13" i="9" s="1"/>
  <c r="AE12" i="9"/>
  <c r="AB12" i="9" s="1"/>
  <c r="M13" i="9"/>
  <c r="Q14" i="9"/>
  <c r="AE14" i="9"/>
  <c r="AB14" i="9" s="1"/>
  <c r="M12" i="9"/>
  <c r="AD12" i="9"/>
  <c r="AY12" i="9"/>
  <c r="BA12" i="9"/>
  <c r="AN12" i="9"/>
  <c r="C25" i="3"/>
  <c r="D25" i="3"/>
  <c r="E25" i="3"/>
  <c r="F25" i="3"/>
  <c r="G25" i="3"/>
  <c r="H25" i="3"/>
  <c r="I25" i="3"/>
  <c r="J25" i="3"/>
  <c r="O11" i="9"/>
  <c r="M11" i="9" s="1"/>
  <c r="P11" i="9"/>
  <c r="AJ11" i="9"/>
  <c r="AT11" i="9"/>
  <c r="B10" i="27"/>
  <c r="D10" i="27"/>
  <c r="AB10" i="27" s="1"/>
  <c r="S10" i="27"/>
  <c r="T10" i="27"/>
  <c r="U10" i="27"/>
  <c r="V10" i="27"/>
  <c r="B9" i="27"/>
  <c r="D9" i="27"/>
  <c r="AB9" i="27" s="1"/>
  <c r="S9" i="27"/>
  <c r="T9" i="27"/>
  <c r="U9" i="27"/>
  <c r="V9" i="27"/>
  <c r="AV8" i="28"/>
  <c r="AV7" i="28"/>
  <c r="AH8" i="28"/>
  <c r="AH7" i="28"/>
  <c r="A5" i="28"/>
  <c r="C5" i="28"/>
  <c r="D5" i="28"/>
  <c r="K5" i="28" s="1"/>
  <c r="BK8" i="9"/>
  <c r="BL8" i="9" s="1"/>
  <c r="BD10" i="9"/>
  <c r="BE10" i="9"/>
  <c r="BD9" i="9"/>
  <c r="BE9" i="9"/>
  <c r="O10" i="9"/>
  <c r="AE10" i="9" s="1"/>
  <c r="AB10" i="9" s="1"/>
  <c r="P10" i="9"/>
  <c r="AJ10" i="9"/>
  <c r="AT10" i="9"/>
  <c r="O9" i="9"/>
  <c r="M9" i="9" s="1"/>
  <c r="P9" i="9"/>
  <c r="AJ9" i="9"/>
  <c r="AT9" i="9"/>
  <c r="B5" i="9"/>
  <c r="AH4" i="27"/>
  <c r="AI4" i="27"/>
  <c r="AL4" i="27"/>
  <c r="AM4" i="27"/>
  <c r="B8" i="27"/>
  <c r="D8" i="27"/>
  <c r="AB8" i="27" s="1"/>
  <c r="T8" i="27"/>
  <c r="U8" i="27"/>
  <c r="V8" i="27"/>
  <c r="AH3" i="27"/>
  <c r="AI3" i="27"/>
  <c r="AL3" i="27"/>
  <c r="AM3" i="27"/>
  <c r="B7" i="27"/>
  <c r="D7" i="27"/>
  <c r="P7" i="27" s="1"/>
  <c r="T7" i="27"/>
  <c r="U7" i="27"/>
  <c r="V7" i="27"/>
  <c r="AY18" i="9" l="1"/>
  <c r="BA18" i="9"/>
  <c r="AN18" i="9"/>
  <c r="AD19" i="9"/>
  <c r="AY19" i="9"/>
  <c r="BA19" i="9"/>
  <c r="AN19" i="9"/>
  <c r="AD17" i="9"/>
  <c r="AY17" i="9"/>
  <c r="BA17" i="9"/>
  <c r="AN17" i="9"/>
  <c r="AD16" i="9"/>
  <c r="AY16" i="9"/>
  <c r="BA16" i="9"/>
  <c r="AN16" i="9"/>
  <c r="AD13" i="9"/>
  <c r="AN13" i="9"/>
  <c r="BA13" i="9"/>
  <c r="AD15" i="9"/>
  <c r="AY15" i="9"/>
  <c r="BA15" i="9"/>
  <c r="AN15" i="9"/>
  <c r="AD14" i="9"/>
  <c r="AY14" i="9"/>
  <c r="BA14" i="9"/>
  <c r="AN14" i="9"/>
  <c r="K25" i="3"/>
  <c r="Q11" i="9"/>
  <c r="AE11" i="9"/>
  <c r="AB11" i="9" s="1"/>
  <c r="P10" i="27"/>
  <c r="P9" i="27"/>
  <c r="BM8" i="9"/>
  <c r="M10" i="9"/>
  <c r="Q10" i="9"/>
  <c r="AE9" i="9"/>
  <c r="AB9" i="9" s="1"/>
  <c r="Q9" i="9"/>
  <c r="AD9" i="9" s="1"/>
  <c r="P8" i="27"/>
  <c r="AB7" i="27"/>
  <c r="BK7" i="9"/>
  <c r="BL7" i="9" s="1"/>
  <c r="BK6" i="9"/>
  <c r="BL6" i="9" s="1"/>
  <c r="BK5" i="9"/>
  <c r="BL5" i="9" s="1"/>
  <c r="BK4" i="9"/>
  <c r="BL4" i="9" s="1"/>
  <c r="BK3" i="9"/>
  <c r="BL3" i="9" s="1"/>
  <c r="AV6" i="28"/>
  <c r="AV5" i="28"/>
  <c r="AH6" i="28"/>
  <c r="AH5" i="28"/>
  <c r="A4" i="28"/>
  <c r="C4" i="28"/>
  <c r="D4" i="28"/>
  <c r="B6" i="27"/>
  <c r="D6" i="27"/>
  <c r="AB6" i="27" s="1"/>
  <c r="S6" i="27"/>
  <c r="T6" i="27"/>
  <c r="U6" i="27"/>
  <c r="V6" i="27"/>
  <c r="B5" i="27"/>
  <c r="D5" i="27"/>
  <c r="AB5" i="27" s="1"/>
  <c r="S5" i="27"/>
  <c r="T5" i="27"/>
  <c r="U5" i="27"/>
  <c r="V5" i="27"/>
  <c r="BD8" i="9"/>
  <c r="BE8" i="9"/>
  <c r="BD7" i="9"/>
  <c r="BE7" i="9"/>
  <c r="BD6" i="9"/>
  <c r="BE6" i="9"/>
  <c r="O8" i="9"/>
  <c r="M8" i="9" s="1"/>
  <c r="P8" i="9"/>
  <c r="AJ8" i="9"/>
  <c r="AT8" i="9"/>
  <c r="O7" i="9"/>
  <c r="AE7" i="9" s="1"/>
  <c r="AB7" i="9" s="1"/>
  <c r="P7" i="9"/>
  <c r="AJ7" i="9"/>
  <c r="AT7" i="9"/>
  <c r="O6" i="9"/>
  <c r="AE6" i="9" s="1"/>
  <c r="AB6" i="9" s="1"/>
  <c r="P6" i="9"/>
  <c r="AJ6" i="9"/>
  <c r="AT6" i="9"/>
  <c r="B4" i="9"/>
  <c r="B4" i="27"/>
  <c r="D4" i="27"/>
  <c r="AB4" i="27" s="1"/>
  <c r="S4" i="27"/>
  <c r="T4" i="27"/>
  <c r="U4" i="27"/>
  <c r="V4" i="27"/>
  <c r="AV4" i="28"/>
  <c r="AV3" i="28"/>
  <c r="AH4" i="28"/>
  <c r="AH3" i="28"/>
  <c r="A3" i="28"/>
  <c r="C3" i="28"/>
  <c r="D3" i="28"/>
  <c r="K3" i="28" s="1"/>
  <c r="H7" i="14"/>
  <c r="H6" i="14"/>
  <c r="H5" i="14"/>
  <c r="H4" i="14"/>
  <c r="H3" i="14"/>
  <c r="K4" i="28" l="1"/>
  <c r="AD11" i="9"/>
  <c r="AY11" i="9"/>
  <c r="BA11" i="9"/>
  <c r="AN11" i="9"/>
  <c r="AD10" i="9"/>
  <c r="AY10" i="9"/>
  <c r="BA10" i="9"/>
  <c r="AN10" i="9"/>
  <c r="BA9" i="9"/>
  <c r="AN9" i="9"/>
  <c r="AY9" i="9"/>
  <c r="BM7" i="9"/>
  <c r="BM6" i="9"/>
  <c r="BM5" i="9"/>
  <c r="BM4" i="9"/>
  <c r="BM3" i="9"/>
  <c r="P6" i="27"/>
  <c r="P5" i="27"/>
  <c r="AE8" i="9"/>
  <c r="AB8" i="9" s="1"/>
  <c r="Q8" i="9"/>
  <c r="AY8" i="9" s="1"/>
  <c r="M7" i="9"/>
  <c r="Q7" i="9"/>
  <c r="M6" i="9"/>
  <c r="Q6" i="9"/>
  <c r="P4" i="27"/>
  <c r="B3" i="27"/>
  <c r="D3" i="27"/>
  <c r="S3" i="27"/>
  <c r="T3" i="27"/>
  <c r="U3" i="27"/>
  <c r="V3" i="27"/>
  <c r="BD5" i="9"/>
  <c r="BE5" i="9"/>
  <c r="BD4" i="9"/>
  <c r="BE4" i="9"/>
  <c r="BD3" i="9"/>
  <c r="BE3" i="9"/>
  <c r="O5" i="9"/>
  <c r="Q5" i="9" s="1"/>
  <c r="P5" i="9"/>
  <c r="AJ5" i="9"/>
  <c r="AT5" i="9"/>
  <c r="O4" i="9"/>
  <c r="AE4" i="9" s="1"/>
  <c r="AB4" i="9" s="1"/>
  <c r="P4" i="9"/>
  <c r="AJ4" i="9"/>
  <c r="AT4" i="9"/>
  <c r="O3" i="9"/>
  <c r="AE3" i="9" s="1"/>
  <c r="AB3" i="9" s="1"/>
  <c r="P3" i="9"/>
  <c r="AJ3" i="9"/>
  <c r="AT3" i="9"/>
  <c r="B3" i="9"/>
  <c r="P6" i="19"/>
  <c r="R6" i="19"/>
  <c r="S6" i="19"/>
  <c r="P5" i="19"/>
  <c r="R5" i="19"/>
  <c r="S5" i="19"/>
  <c r="AN8" i="9" l="1"/>
  <c r="AD8" i="9"/>
  <c r="BA8" i="9"/>
  <c r="AE5" i="9"/>
  <c r="AB5" i="9" s="1"/>
  <c r="BA7" i="9"/>
  <c r="AN7" i="9"/>
  <c r="AD7" i="9"/>
  <c r="AY7" i="9"/>
  <c r="AD6" i="9"/>
  <c r="AY6" i="9"/>
  <c r="BA6" i="9"/>
  <c r="AN6" i="9"/>
  <c r="Q4" i="9"/>
  <c r="AD4" i="9" s="1"/>
  <c r="M5" i="9"/>
  <c r="AB3" i="27"/>
  <c r="P3" i="27"/>
  <c r="AD5" i="9"/>
  <c r="AY5" i="9"/>
  <c r="BA5" i="9"/>
  <c r="AN5" i="9"/>
  <c r="M4" i="9"/>
  <c r="M3" i="9"/>
  <c r="Q3" i="9"/>
  <c r="P4" i="19"/>
  <c r="R4" i="19"/>
  <c r="S4" i="19"/>
  <c r="P3" i="19"/>
  <c r="R3" i="19"/>
  <c r="S3" i="19"/>
  <c r="A10" i="19"/>
  <c r="B10" i="19"/>
  <c r="D10" i="19" s="1"/>
  <c r="N10" i="19" s="1"/>
  <c r="C10" i="19"/>
  <c r="A9" i="19"/>
  <c r="B9" i="19"/>
  <c r="D9" i="19" s="1"/>
  <c r="N9" i="19" s="1"/>
  <c r="C9" i="19"/>
  <c r="A7" i="19"/>
  <c r="B7" i="19"/>
  <c r="D7" i="19" s="1"/>
  <c r="N7" i="19" s="1"/>
  <c r="C7" i="19"/>
  <c r="A6" i="19"/>
  <c r="B6" i="19"/>
  <c r="D6" i="19" s="1"/>
  <c r="N6" i="19" s="1"/>
  <c r="C6" i="19"/>
  <c r="A5" i="19"/>
  <c r="B5" i="19"/>
  <c r="D5" i="19" s="1"/>
  <c r="N5" i="19" s="1"/>
  <c r="C5" i="19"/>
  <c r="A4" i="19"/>
  <c r="B4" i="19"/>
  <c r="D4" i="19" s="1"/>
  <c r="N4" i="19" s="1"/>
  <c r="C4" i="19"/>
  <c r="A3" i="19"/>
  <c r="B3" i="19"/>
  <c r="D3" i="19" s="1"/>
  <c r="N3" i="19" s="1"/>
  <c r="C3" i="19"/>
  <c r="L2" i="21"/>
  <c r="L3" i="21"/>
  <c r="L4" i="21"/>
  <c r="L5" i="21"/>
  <c r="L6" i="21"/>
  <c r="L7" i="21"/>
  <c r="L8" i="21"/>
  <c r="L9" i="21"/>
  <c r="L10" i="21"/>
  <c r="L11" i="21"/>
  <c r="L12" i="21"/>
  <c r="L13" i="21"/>
  <c r="L14" i="21"/>
  <c r="L15" i="21"/>
  <c r="L16" i="21"/>
  <c r="L17" i="21"/>
  <c r="L18" i="21"/>
  <c r="L19" i="21"/>
  <c r="L20" i="21"/>
  <c r="L21" i="21"/>
  <c r="L22" i="21"/>
  <c r="L23" i="21"/>
  <c r="L24" i="21"/>
  <c r="L25" i="21"/>
  <c r="L26" i="21"/>
  <c r="L27" i="21"/>
  <c r="L28" i="21"/>
  <c r="L29" i="21"/>
  <c r="L30" i="21"/>
  <c r="L31" i="21"/>
  <c r="L32" i="21"/>
  <c r="L33" i="21"/>
  <c r="L34" i="21"/>
  <c r="L35" i="21"/>
  <c r="L36" i="21"/>
  <c r="L37" i="21"/>
  <c r="L38" i="21"/>
  <c r="L39" i="21"/>
  <c r="L40" i="21"/>
  <c r="L41" i="21"/>
  <c r="L42" i="21"/>
  <c r="L43" i="21"/>
  <c r="L44" i="21"/>
  <c r="L45" i="21"/>
  <c r="L46" i="21"/>
  <c r="L47" i="21"/>
  <c r="L48" i="21"/>
  <c r="K2" i="21"/>
  <c r="K3" i="21"/>
  <c r="K4" i="21"/>
  <c r="K5" i="21"/>
  <c r="K6" i="21"/>
  <c r="K7" i="21"/>
  <c r="K8" i="21"/>
  <c r="K9" i="21"/>
  <c r="K10" i="21"/>
  <c r="K11" i="21"/>
  <c r="K12" i="21"/>
  <c r="K13" i="21"/>
  <c r="K14" i="21"/>
  <c r="K15" i="21"/>
  <c r="K16" i="21"/>
  <c r="K17" i="21"/>
  <c r="K18" i="21"/>
  <c r="K19" i="21"/>
  <c r="K20" i="21"/>
  <c r="K21" i="21"/>
  <c r="K22" i="21"/>
  <c r="K23" i="21"/>
  <c r="K24" i="21"/>
  <c r="K25" i="21"/>
  <c r="K26" i="21"/>
  <c r="K27" i="21"/>
  <c r="K28" i="21"/>
  <c r="K29" i="21"/>
  <c r="K30" i="21"/>
  <c r="K31" i="21"/>
  <c r="K32" i="21"/>
  <c r="K33" i="21"/>
  <c r="K34" i="21"/>
  <c r="K35" i="21"/>
  <c r="K36" i="21"/>
  <c r="K37" i="21"/>
  <c r="K38" i="21"/>
  <c r="K39" i="21"/>
  <c r="K40" i="21"/>
  <c r="K41" i="21"/>
  <c r="K42" i="21"/>
  <c r="K43" i="21"/>
  <c r="K44" i="21"/>
  <c r="K45" i="21"/>
  <c r="K46" i="21"/>
  <c r="K47" i="21"/>
  <c r="K48" i="21"/>
  <c r="AY4" i="9" l="1"/>
  <c r="AN4" i="9"/>
  <c r="BA4" i="9"/>
  <c r="AY3" i="9"/>
  <c r="BA3" i="9"/>
  <c r="AN3" i="9"/>
  <c r="AD3" i="9"/>
  <c r="G10" i="19"/>
  <c r="G9" i="19"/>
  <c r="G7" i="19"/>
  <c r="G6" i="19"/>
  <c r="G5" i="19"/>
  <c r="G4" i="19"/>
  <c r="G3" i="19"/>
  <c r="A15" i="24"/>
  <c r="A16" i="24"/>
  <c r="A17" i="24"/>
  <c r="A18" i="24"/>
  <c r="C15" i="24"/>
  <c r="C16" i="24"/>
  <c r="C17" i="24"/>
  <c r="C18" i="24"/>
  <c r="A14" i="24"/>
  <c r="C14" i="24"/>
  <c r="A13" i="24"/>
  <c r="C13" i="24"/>
  <c r="A12" i="24"/>
  <c r="C12" i="24"/>
  <c r="A11" i="24"/>
  <c r="C11" i="24"/>
  <c r="A10" i="24"/>
  <c r="C10" i="24"/>
  <c r="A9" i="24"/>
  <c r="C9" i="24"/>
  <c r="C45" i="21"/>
  <c r="J44" i="21"/>
  <c r="J45" i="21"/>
  <c r="J46" i="21"/>
  <c r="J47" i="21"/>
  <c r="J48" i="21"/>
  <c r="A8" i="24"/>
  <c r="C8" i="24"/>
  <c r="A2" i="24"/>
  <c r="A3" i="24"/>
  <c r="A4" i="24"/>
  <c r="A5" i="24"/>
  <c r="A6" i="24"/>
  <c r="A7" i="24"/>
  <c r="C2" i="24"/>
  <c r="C3" i="24"/>
  <c r="C4" i="24"/>
  <c r="C5" i="24"/>
  <c r="C6" i="24"/>
  <c r="C7" i="24"/>
  <c r="A3" i="14" l="1"/>
  <c r="A4" i="14"/>
  <c r="A5" i="14"/>
  <c r="A6" i="14"/>
  <c r="A7" i="14"/>
  <c r="B3" i="14"/>
  <c r="B4" i="14"/>
  <c r="B5" i="14"/>
  <c r="B6" i="14"/>
  <c r="B7" i="14"/>
  <c r="C36" i="3"/>
  <c r="D36" i="3"/>
  <c r="E36" i="3"/>
  <c r="F36" i="3"/>
  <c r="G36" i="3"/>
  <c r="H36" i="3"/>
  <c r="I36" i="3"/>
  <c r="J36" i="3"/>
  <c r="C31" i="3"/>
  <c r="C32" i="3"/>
  <c r="C33" i="3"/>
  <c r="C34" i="3"/>
  <c r="C35" i="3"/>
  <c r="D31" i="3"/>
  <c r="D32" i="3"/>
  <c r="D33" i="3"/>
  <c r="D34" i="3"/>
  <c r="D35" i="3"/>
  <c r="E31" i="3"/>
  <c r="E32" i="3"/>
  <c r="E33" i="3"/>
  <c r="E34" i="3"/>
  <c r="E35" i="3"/>
  <c r="F31" i="3"/>
  <c r="F32" i="3"/>
  <c r="F33" i="3"/>
  <c r="F34" i="3"/>
  <c r="F35" i="3"/>
  <c r="G31" i="3"/>
  <c r="G32" i="3"/>
  <c r="G33" i="3"/>
  <c r="G34" i="3"/>
  <c r="G35" i="3"/>
  <c r="H31" i="3"/>
  <c r="H32" i="3"/>
  <c r="H33" i="3"/>
  <c r="H34" i="3"/>
  <c r="H35" i="3"/>
  <c r="I31" i="3"/>
  <c r="I32" i="3"/>
  <c r="I33" i="3"/>
  <c r="I34" i="3"/>
  <c r="I35" i="3"/>
  <c r="J31" i="3"/>
  <c r="J32" i="3"/>
  <c r="J33" i="3"/>
  <c r="J34" i="3"/>
  <c r="J35" i="3"/>
  <c r="C29" i="3"/>
  <c r="D29" i="3"/>
  <c r="E29" i="3"/>
  <c r="F29" i="3"/>
  <c r="G29" i="3"/>
  <c r="H29" i="3"/>
  <c r="I29" i="3"/>
  <c r="J29" i="3"/>
  <c r="C28" i="3"/>
  <c r="D28" i="3"/>
  <c r="E28" i="3"/>
  <c r="F28" i="3"/>
  <c r="G28" i="3"/>
  <c r="H28" i="3"/>
  <c r="I28" i="3"/>
  <c r="J28" i="3"/>
  <c r="C27" i="3"/>
  <c r="D27" i="3"/>
  <c r="E27" i="3"/>
  <c r="F27" i="3"/>
  <c r="G27" i="3"/>
  <c r="H27" i="3"/>
  <c r="I27" i="3"/>
  <c r="J27" i="3"/>
  <c r="C26" i="3"/>
  <c r="D26" i="3"/>
  <c r="E26" i="3"/>
  <c r="F26" i="3"/>
  <c r="G26" i="3"/>
  <c r="H26" i="3"/>
  <c r="I26" i="3"/>
  <c r="J26" i="3"/>
  <c r="C19" i="3"/>
  <c r="C20" i="3"/>
  <c r="C21" i="3"/>
  <c r="C22" i="3"/>
  <c r="C23" i="3"/>
  <c r="C24" i="3"/>
  <c r="D19" i="3"/>
  <c r="D20" i="3"/>
  <c r="D21" i="3"/>
  <c r="D22" i="3"/>
  <c r="D23" i="3"/>
  <c r="D24" i="3"/>
  <c r="E19" i="3"/>
  <c r="E20" i="3"/>
  <c r="E21" i="3"/>
  <c r="E22" i="3"/>
  <c r="E23" i="3"/>
  <c r="E24" i="3"/>
  <c r="F19" i="3"/>
  <c r="F20" i="3"/>
  <c r="F21" i="3"/>
  <c r="F22" i="3"/>
  <c r="F23" i="3"/>
  <c r="F24" i="3"/>
  <c r="G19" i="3"/>
  <c r="G20" i="3"/>
  <c r="G21" i="3"/>
  <c r="G22" i="3"/>
  <c r="G23" i="3"/>
  <c r="G24" i="3"/>
  <c r="H19" i="3"/>
  <c r="H20" i="3"/>
  <c r="H21" i="3"/>
  <c r="H22" i="3"/>
  <c r="H23" i="3"/>
  <c r="H24" i="3"/>
  <c r="I19" i="3"/>
  <c r="I20" i="3"/>
  <c r="I21" i="3"/>
  <c r="I22" i="3"/>
  <c r="I23" i="3"/>
  <c r="I24" i="3"/>
  <c r="J19" i="3"/>
  <c r="J20" i="3"/>
  <c r="J21" i="3"/>
  <c r="J22" i="3"/>
  <c r="J23" i="3"/>
  <c r="J24" i="3"/>
  <c r="C18" i="3"/>
  <c r="D18" i="3"/>
  <c r="E18" i="3"/>
  <c r="F18" i="3"/>
  <c r="G18" i="3"/>
  <c r="H18" i="3"/>
  <c r="I18" i="3"/>
  <c r="J18" i="3"/>
  <c r="C17" i="3"/>
  <c r="D17" i="3"/>
  <c r="E17" i="3"/>
  <c r="F17" i="3"/>
  <c r="G17" i="3"/>
  <c r="H17" i="3"/>
  <c r="I17" i="3"/>
  <c r="J17" i="3"/>
  <c r="C16" i="3"/>
  <c r="D16" i="3"/>
  <c r="E16" i="3"/>
  <c r="F16" i="3"/>
  <c r="G16" i="3"/>
  <c r="H16" i="3"/>
  <c r="I16" i="3"/>
  <c r="J16" i="3"/>
  <c r="C15" i="3"/>
  <c r="D15" i="3"/>
  <c r="E15" i="3"/>
  <c r="F15" i="3"/>
  <c r="G15" i="3"/>
  <c r="H15" i="3"/>
  <c r="I15" i="3"/>
  <c r="J15" i="3"/>
  <c r="C10" i="3"/>
  <c r="D10" i="3"/>
  <c r="E10" i="3"/>
  <c r="F10" i="3"/>
  <c r="G10" i="3"/>
  <c r="H10" i="3"/>
  <c r="I10" i="3"/>
  <c r="J10" i="3"/>
  <c r="C9" i="3"/>
  <c r="D9" i="3"/>
  <c r="E9" i="3"/>
  <c r="F9" i="3"/>
  <c r="G9" i="3"/>
  <c r="H9" i="3"/>
  <c r="I9" i="3"/>
  <c r="J9" i="3"/>
  <c r="C8" i="3"/>
  <c r="D8" i="3"/>
  <c r="E8" i="3"/>
  <c r="F8" i="3"/>
  <c r="G8" i="3"/>
  <c r="H8" i="3"/>
  <c r="I8" i="3"/>
  <c r="J8" i="3"/>
  <c r="C7" i="3"/>
  <c r="D7" i="3"/>
  <c r="E7" i="3"/>
  <c r="F7" i="3"/>
  <c r="G7" i="3"/>
  <c r="H7" i="3"/>
  <c r="I7" i="3"/>
  <c r="J7" i="3"/>
  <c r="C6" i="3"/>
  <c r="D6" i="3"/>
  <c r="E6" i="3"/>
  <c r="F6" i="3"/>
  <c r="G6" i="3"/>
  <c r="H6" i="3"/>
  <c r="I6" i="3"/>
  <c r="J6" i="3"/>
  <c r="C5" i="3"/>
  <c r="D5" i="3"/>
  <c r="E5" i="3"/>
  <c r="F5" i="3"/>
  <c r="G5" i="3"/>
  <c r="H5" i="3"/>
  <c r="I5" i="3"/>
  <c r="J5" i="3"/>
  <c r="C4" i="3"/>
  <c r="D4" i="3"/>
  <c r="E4" i="3"/>
  <c r="F4" i="3"/>
  <c r="G4" i="3"/>
  <c r="H4" i="3"/>
  <c r="I4" i="3"/>
  <c r="J4" i="3"/>
  <c r="C3" i="3"/>
  <c r="D3" i="3"/>
  <c r="E3" i="3"/>
  <c r="F3" i="3"/>
  <c r="G3" i="3"/>
  <c r="H3" i="3"/>
  <c r="I3" i="3"/>
  <c r="J3" i="3"/>
  <c r="C2" i="3"/>
  <c r="D2" i="3"/>
  <c r="E2" i="3"/>
  <c r="F2" i="3"/>
  <c r="G2" i="3"/>
  <c r="H2" i="3"/>
  <c r="I2" i="3"/>
  <c r="J2" i="3"/>
  <c r="J23" i="2"/>
  <c r="J22" i="2"/>
  <c r="J21" i="2"/>
  <c r="J20" i="2"/>
  <c r="J19" i="2"/>
  <c r="J17" i="2"/>
  <c r="J16" i="2"/>
  <c r="J15" i="2"/>
  <c r="J14" i="2"/>
  <c r="J11" i="2"/>
  <c r="J12" i="2"/>
  <c r="J13" i="2"/>
  <c r="J10" i="2"/>
  <c r="J9" i="2"/>
  <c r="J8" i="2"/>
  <c r="J7" i="2"/>
  <c r="J6" i="2"/>
  <c r="J5" i="2"/>
  <c r="K36" i="3" l="1"/>
  <c r="K33" i="3"/>
  <c r="K32" i="3"/>
  <c r="K35" i="3"/>
  <c r="K34" i="3"/>
  <c r="K31" i="3"/>
  <c r="K29" i="3"/>
  <c r="K28" i="3"/>
  <c r="K27" i="3"/>
  <c r="K23" i="3"/>
  <c r="K19" i="3"/>
  <c r="K26" i="3"/>
  <c r="K21" i="3"/>
  <c r="K24" i="3"/>
  <c r="K22" i="3"/>
  <c r="K20" i="3"/>
  <c r="K18" i="3"/>
  <c r="K17" i="3"/>
  <c r="K16" i="3"/>
  <c r="K15" i="3"/>
  <c r="K10" i="3"/>
  <c r="K9" i="3"/>
  <c r="K8" i="3"/>
  <c r="K7" i="3"/>
  <c r="K6" i="3"/>
  <c r="K5" i="3"/>
  <c r="K4" i="3"/>
  <c r="K3" i="3"/>
  <c r="K2" i="3"/>
  <c r="B51" i="1" l="1"/>
  <c r="F51" i="1" s="1"/>
  <c r="C51" i="1"/>
  <c r="E51" i="1" s="1"/>
  <c r="D48" i="21" s="1"/>
  <c r="D51" i="1"/>
  <c r="C48" i="21" s="1"/>
  <c r="B50" i="1"/>
  <c r="F50" i="1" s="1"/>
  <c r="C50" i="1"/>
  <c r="E50" i="1" s="1"/>
  <c r="D47" i="21" s="1"/>
  <c r="D50" i="1"/>
  <c r="C47" i="21" s="1"/>
  <c r="B48" i="1"/>
  <c r="F48" i="1" s="1"/>
  <c r="C48" i="1"/>
  <c r="E48" i="1" s="1"/>
  <c r="D46" i="21" s="1"/>
  <c r="D48" i="1"/>
  <c r="C46" i="21" s="1"/>
  <c r="D46" i="1"/>
  <c r="C44" i="21" s="1"/>
  <c r="D47" i="1"/>
  <c r="B47" i="1"/>
  <c r="F47" i="1" s="1"/>
  <c r="C47" i="1"/>
  <c r="E47" i="1" s="1"/>
  <c r="D45" i="21" s="1"/>
  <c r="DD2" i="9"/>
  <c r="EC2" i="9"/>
  <c r="EB2" i="9"/>
  <c r="AH2" i="29"/>
  <c r="AE2" i="29"/>
  <c r="BK2" i="9"/>
  <c r="BM2" i="9" s="1"/>
  <c r="CF2" i="9"/>
  <c r="CG2" i="9" s="1"/>
  <c r="BE2" i="9"/>
  <c r="BD2" i="9"/>
  <c r="S2" i="19"/>
  <c r="J2" i="21"/>
  <c r="C4" i="21"/>
  <c r="D4" i="21"/>
  <c r="J4" i="21"/>
  <c r="J3" i="21"/>
  <c r="J5" i="21"/>
  <c r="J6" i="21"/>
  <c r="J7" i="21"/>
  <c r="J8" i="21"/>
  <c r="J9" i="21"/>
  <c r="J10" i="21"/>
  <c r="J11" i="21"/>
  <c r="J12" i="21"/>
  <c r="J13" i="21"/>
  <c r="J14" i="21"/>
  <c r="J15" i="21"/>
  <c r="J16" i="21"/>
  <c r="J17" i="21"/>
  <c r="J18" i="21"/>
  <c r="J19" i="21"/>
  <c r="J20" i="21"/>
  <c r="J21" i="21"/>
  <c r="J22" i="21"/>
  <c r="J23" i="21"/>
  <c r="J24" i="21"/>
  <c r="J25" i="21"/>
  <c r="J26" i="21"/>
  <c r="J27" i="21"/>
  <c r="J28" i="21"/>
  <c r="J29" i="21"/>
  <c r="J30" i="21"/>
  <c r="J31" i="21"/>
  <c r="J32" i="21"/>
  <c r="J33" i="21"/>
  <c r="J34" i="21"/>
  <c r="J35" i="21"/>
  <c r="J36" i="21"/>
  <c r="J37" i="21"/>
  <c r="J38" i="21"/>
  <c r="J39" i="21"/>
  <c r="J40" i="21"/>
  <c r="J41" i="21"/>
  <c r="J42" i="21"/>
  <c r="J43" i="21"/>
  <c r="AH2" i="28"/>
  <c r="AR2" i="29"/>
  <c r="AP2" i="29"/>
  <c r="V2" i="14"/>
  <c r="AM2" i="27"/>
  <c r="AL2" i="27"/>
  <c r="AI2" i="27"/>
  <c r="AH2" i="27"/>
  <c r="O2" i="9"/>
  <c r="M2" i="9" s="1"/>
  <c r="J2" i="2"/>
  <c r="J3" i="2"/>
  <c r="J4" i="2"/>
  <c r="H46" i="1"/>
  <c r="C46" i="1"/>
  <c r="E46" i="1" s="1"/>
  <c r="D44" i="21" s="1"/>
  <c r="D2" i="27"/>
  <c r="O2" i="27" s="1"/>
  <c r="U2" i="14"/>
  <c r="T2" i="14"/>
  <c r="C39" i="21"/>
  <c r="Z2" i="14"/>
  <c r="Y2" i="14"/>
  <c r="X2" i="14"/>
  <c r="W2" i="14"/>
  <c r="D20" i="21"/>
  <c r="D2" i="26"/>
  <c r="D3" i="26"/>
  <c r="D4" i="26"/>
  <c r="D5" i="26"/>
  <c r="D6" i="26"/>
  <c r="D7" i="26"/>
  <c r="D8" i="26"/>
  <c r="D9" i="26"/>
  <c r="D10" i="26"/>
  <c r="D11" i="26"/>
  <c r="D12" i="26"/>
  <c r="D13" i="26"/>
  <c r="D14" i="26"/>
  <c r="D15" i="26"/>
  <c r="D16" i="26"/>
  <c r="D17" i="26"/>
  <c r="D18" i="26"/>
  <c r="D19" i="26"/>
  <c r="D20" i="26"/>
  <c r="D21" i="26"/>
  <c r="D22" i="26"/>
  <c r="D23" i="26"/>
  <c r="D24" i="26"/>
  <c r="D25" i="26"/>
  <c r="D26" i="26"/>
  <c r="D27" i="26"/>
  <c r="D28" i="26"/>
  <c r="D29" i="26"/>
  <c r="D30" i="26"/>
  <c r="D31" i="26"/>
  <c r="D32" i="26"/>
  <c r="D33" i="26"/>
  <c r="D34" i="26"/>
  <c r="D35" i="26"/>
  <c r="D36" i="26"/>
  <c r="D37" i="26"/>
  <c r="D38" i="26"/>
  <c r="D39" i="26"/>
  <c r="D40" i="26"/>
  <c r="D41" i="26"/>
  <c r="D42" i="26"/>
  <c r="D43" i="26"/>
  <c r="D44" i="26"/>
  <c r="C43" i="26"/>
  <c r="C44" i="26"/>
  <c r="C2" i="26"/>
  <c r="C3" i="26"/>
  <c r="C4" i="26"/>
  <c r="C5" i="26"/>
  <c r="C6" i="26"/>
  <c r="C7" i="26"/>
  <c r="C8" i="26"/>
  <c r="C9" i="26"/>
  <c r="C10" i="26"/>
  <c r="C11" i="26"/>
  <c r="C12" i="26"/>
  <c r="C13" i="26"/>
  <c r="C14" i="26"/>
  <c r="C15" i="26"/>
  <c r="C16" i="26"/>
  <c r="C17" i="26"/>
  <c r="C18" i="26"/>
  <c r="C19" i="26"/>
  <c r="C20" i="26"/>
  <c r="C21" i="26"/>
  <c r="C22" i="26"/>
  <c r="C23" i="26"/>
  <c r="C24" i="26"/>
  <c r="C25" i="26"/>
  <c r="C26" i="26"/>
  <c r="C27" i="26"/>
  <c r="C28" i="26"/>
  <c r="C29" i="26"/>
  <c r="C30" i="26"/>
  <c r="C31" i="26"/>
  <c r="C32" i="26"/>
  <c r="C33" i="26"/>
  <c r="C34" i="26"/>
  <c r="C35" i="26"/>
  <c r="C36" i="26"/>
  <c r="C37" i="26"/>
  <c r="C38" i="26"/>
  <c r="C39" i="26"/>
  <c r="C40" i="26"/>
  <c r="C41" i="26"/>
  <c r="C42" i="26"/>
  <c r="EM2" i="9"/>
  <c r="EL2" i="9"/>
  <c r="EK2" i="9"/>
  <c r="EJ2" i="9"/>
  <c r="EI2" i="9"/>
  <c r="EH2" i="9"/>
  <c r="EF2" i="9"/>
  <c r="EE2" i="9"/>
  <c r="ED2" i="9"/>
  <c r="DP2" i="9"/>
  <c r="C20" i="21"/>
  <c r="B2" i="19"/>
  <c r="A2" i="19"/>
  <c r="AV2" i="28"/>
  <c r="D2" i="28"/>
  <c r="DO2" i="9"/>
  <c r="DC2" i="9"/>
  <c r="V2" i="27"/>
  <c r="U2" i="27"/>
  <c r="T2" i="27"/>
  <c r="S2" i="27"/>
  <c r="R2" i="27"/>
  <c r="J2" i="31"/>
  <c r="J3" i="31" s="1"/>
  <c r="J4" i="31" s="1"/>
  <c r="E6" i="31"/>
  <c r="AT20" i="28" l="1"/>
  <c r="AT24" i="28"/>
  <c r="AF24" i="28"/>
  <c r="AF28" i="28"/>
  <c r="AF17" i="28"/>
  <c r="AF20" i="28"/>
  <c r="AF11" i="28"/>
  <c r="AF14" i="28"/>
  <c r="AT25" i="28"/>
  <c r="AT22" i="28"/>
  <c r="AT23" i="28"/>
  <c r="AF26" i="28"/>
  <c r="AF27" i="28"/>
  <c r="AT19" i="28"/>
  <c r="AT21" i="28"/>
  <c r="AT18" i="28"/>
  <c r="AF23" i="28"/>
  <c r="AF25" i="28"/>
  <c r="AT16" i="28"/>
  <c r="AT17" i="28"/>
  <c r="AT15" i="28"/>
  <c r="AF21" i="28"/>
  <c r="AF22" i="28"/>
  <c r="AT13" i="28"/>
  <c r="AT14" i="28"/>
  <c r="AT11" i="28"/>
  <c r="AT12" i="28"/>
  <c r="AT9" i="28"/>
  <c r="AT10" i="28"/>
  <c r="AF18" i="28"/>
  <c r="AF19" i="28"/>
  <c r="AF15" i="28"/>
  <c r="AF16" i="28"/>
  <c r="AF12" i="28"/>
  <c r="AF13" i="28"/>
  <c r="AF9" i="28"/>
  <c r="AF10" i="28"/>
  <c r="H50" i="1"/>
  <c r="AT7" i="28"/>
  <c r="AT8" i="28"/>
  <c r="AF7" i="28"/>
  <c r="AF8" i="28"/>
  <c r="AT5" i="28"/>
  <c r="AT6" i="28"/>
  <c r="AF5" i="28"/>
  <c r="AF6" i="28"/>
  <c r="AT3" i="28"/>
  <c r="AT4" i="28"/>
  <c r="AF3" i="28"/>
  <c r="AF4" i="28"/>
  <c r="H51" i="1"/>
  <c r="J51" i="1"/>
  <c r="G51" i="1"/>
  <c r="I51" i="1"/>
  <c r="J48" i="1"/>
  <c r="I48" i="1"/>
  <c r="J50" i="1"/>
  <c r="G50" i="1"/>
  <c r="I50" i="1"/>
  <c r="H48" i="1"/>
  <c r="G48" i="1"/>
  <c r="H47" i="1"/>
  <c r="J47" i="1"/>
  <c r="I47" i="1"/>
  <c r="G47" i="1"/>
  <c r="BL2" i="9"/>
  <c r="CI2" i="9"/>
  <c r="AE2" i="9"/>
  <c r="AB2" i="9" s="1"/>
  <c r="AA33" i="9" s="1"/>
  <c r="P2" i="27"/>
  <c r="Q2" i="9"/>
  <c r="I46" i="1"/>
  <c r="J46" i="1"/>
  <c r="F46" i="1"/>
  <c r="G46" i="1"/>
  <c r="H2" i="19"/>
  <c r="G2" i="19"/>
  <c r="J5" i="31"/>
  <c r="AO2" i="27"/>
  <c r="AK2" i="27"/>
  <c r="AT2" i="27"/>
  <c r="AS2" i="27"/>
  <c r="AR2" i="27"/>
  <c r="AS2" i="29"/>
  <c r="X2" i="29"/>
  <c r="Y2" i="29"/>
  <c r="U2" i="29"/>
  <c r="T2" i="29"/>
  <c r="AV2" i="29"/>
  <c r="C2" i="29"/>
  <c r="BB2" i="28"/>
  <c r="BA2" i="28"/>
  <c r="AZ2" i="28"/>
  <c r="AN2" i="28"/>
  <c r="AM2" i="28"/>
  <c r="AL2" i="28"/>
  <c r="AK2" i="28"/>
  <c r="Y2" i="28"/>
  <c r="Z2" i="28"/>
  <c r="U2" i="28"/>
  <c r="V2" i="28"/>
  <c r="R2" i="19"/>
  <c r="A2" i="28"/>
  <c r="C2" i="28"/>
  <c r="BU2" i="9"/>
  <c r="BZ2" i="9"/>
  <c r="P2" i="19"/>
  <c r="AJ2" i="27"/>
  <c r="AN2" i="27"/>
  <c r="B2" i="27"/>
  <c r="AT2" i="9"/>
  <c r="AV33" i="9" s="1"/>
  <c r="AJ2" i="9"/>
  <c r="P2" i="9"/>
  <c r="B2" i="9"/>
  <c r="C2" i="19"/>
  <c r="A2" i="14"/>
  <c r="B2" i="14"/>
  <c r="D4" i="25"/>
  <c r="E4" i="25" s="1"/>
  <c r="F4" i="25" s="1"/>
  <c r="G4" i="25" s="1"/>
  <c r="H4" i="25" s="1"/>
  <c r="I4" i="25" s="1"/>
  <c r="J4" i="25" s="1"/>
  <c r="K4" i="25" s="1"/>
  <c r="L4" i="25" s="1"/>
  <c r="M4" i="25" s="1"/>
  <c r="N4" i="25" s="1"/>
  <c r="O4" i="25" s="1"/>
  <c r="P4" i="25" s="1"/>
  <c r="Q4" i="25" s="1"/>
  <c r="E3" i="31"/>
  <c r="AE16" i="27" l="1"/>
  <c r="AL32" i="9"/>
  <c r="AL33" i="9"/>
  <c r="AU33" i="9"/>
  <c r="AW33" i="9"/>
  <c r="AI33" i="9"/>
  <c r="AF33" i="9"/>
  <c r="AG33" i="9"/>
  <c r="AC33" i="9"/>
  <c r="Z33" i="9"/>
  <c r="AH33" i="9"/>
  <c r="AV31" i="9"/>
  <c r="AU31" i="9" s="1"/>
  <c r="AV32" i="9"/>
  <c r="AM32" i="9"/>
  <c r="AK32" i="9"/>
  <c r="AA31" i="9"/>
  <c r="AF31" i="9" s="1"/>
  <c r="AA32" i="9"/>
  <c r="AL30" i="9"/>
  <c r="AK30" i="9" s="1"/>
  <c r="AL31" i="9"/>
  <c r="AW31" i="9"/>
  <c r="AW20" i="28"/>
  <c r="AW24" i="28"/>
  <c r="AI24" i="28"/>
  <c r="AI28" i="28"/>
  <c r="AI17" i="28"/>
  <c r="AI20" i="28"/>
  <c r="AI11" i="28"/>
  <c r="AI14" i="28"/>
  <c r="AK15" i="27"/>
  <c r="AK14" i="27"/>
  <c r="AW22" i="28"/>
  <c r="N10" i="28"/>
  <c r="AW25" i="28"/>
  <c r="AI27" i="28"/>
  <c r="AI26" i="28"/>
  <c r="AW23" i="28"/>
  <c r="AK13" i="27"/>
  <c r="BF29" i="9"/>
  <c r="BF30" i="9"/>
  <c r="BF26" i="9"/>
  <c r="BN12" i="9"/>
  <c r="BF27" i="9"/>
  <c r="BF28" i="9"/>
  <c r="AA29" i="9"/>
  <c r="AF29" i="9" s="1"/>
  <c r="AA30" i="9"/>
  <c r="AM30" i="9"/>
  <c r="AV29" i="9"/>
  <c r="AW29" i="9" s="1"/>
  <c r="AV30" i="9"/>
  <c r="AO15" i="27"/>
  <c r="AO14" i="27"/>
  <c r="AO10" i="27"/>
  <c r="AO11" i="27"/>
  <c r="AO13" i="27"/>
  <c r="AO8" i="27"/>
  <c r="AO12" i="27"/>
  <c r="AO9" i="27"/>
  <c r="AE13" i="27"/>
  <c r="AJ13" i="27" s="1"/>
  <c r="AE15" i="27"/>
  <c r="AE14" i="27"/>
  <c r="N9" i="28"/>
  <c r="AK11" i="27"/>
  <c r="AW19" i="28"/>
  <c r="AW21" i="28"/>
  <c r="AW18" i="28"/>
  <c r="AK12" i="27"/>
  <c r="AI25" i="28"/>
  <c r="AE11" i="27"/>
  <c r="AJ11" i="27" s="1"/>
  <c r="AE12" i="27"/>
  <c r="AK8" i="27"/>
  <c r="AK9" i="27"/>
  <c r="AK10" i="27"/>
  <c r="AL29" i="9"/>
  <c r="AV28" i="9"/>
  <c r="AU28" i="9" s="1"/>
  <c r="AA28" i="9"/>
  <c r="AG28" i="9" s="1"/>
  <c r="AL27" i="9"/>
  <c r="AK27" i="9" s="1"/>
  <c r="AL28" i="9"/>
  <c r="BN11" i="9"/>
  <c r="BF25" i="9"/>
  <c r="AV26" i="9"/>
  <c r="AW26" i="9" s="1"/>
  <c r="AV27" i="9"/>
  <c r="AA26" i="9"/>
  <c r="AG26" i="9" s="1"/>
  <c r="AA27" i="9"/>
  <c r="AE10" i="27"/>
  <c r="AE8" i="27"/>
  <c r="AE9" i="27"/>
  <c r="AO5" i="27"/>
  <c r="AO7" i="27"/>
  <c r="AO6" i="27"/>
  <c r="AE7" i="27"/>
  <c r="AJ7" i="27" s="1"/>
  <c r="N7" i="28"/>
  <c r="AC7" i="28" s="1"/>
  <c r="N8" i="28"/>
  <c r="AI21" i="28"/>
  <c r="AW16" i="28"/>
  <c r="AW17" i="28"/>
  <c r="AI23" i="28"/>
  <c r="AI22" i="28"/>
  <c r="AK21" i="28"/>
  <c r="BA16" i="28"/>
  <c r="AL21" i="28"/>
  <c r="BB16" i="28"/>
  <c r="AK22" i="28"/>
  <c r="AM21" i="28"/>
  <c r="AL22" i="28"/>
  <c r="AN21" i="28"/>
  <c r="AM22" i="28"/>
  <c r="AN22" i="28"/>
  <c r="AZ16" i="28"/>
  <c r="AZ11" i="28"/>
  <c r="AM19" i="28"/>
  <c r="AM16" i="28"/>
  <c r="AL13" i="28"/>
  <c r="AL9" i="28"/>
  <c r="AZ13" i="28"/>
  <c r="BA11" i="28"/>
  <c r="AN19" i="28"/>
  <c r="AN16" i="28"/>
  <c r="AM13" i="28"/>
  <c r="BA9" i="28"/>
  <c r="AM9" i="28"/>
  <c r="BB14" i="28"/>
  <c r="AL16" i="28"/>
  <c r="AA7" i="28"/>
  <c r="AZ15" i="28"/>
  <c r="BA13" i="28"/>
  <c r="BB11" i="28"/>
  <c r="AN13" i="28"/>
  <c r="BB9" i="28"/>
  <c r="AN9" i="28"/>
  <c r="AL19" i="28"/>
  <c r="BA15" i="28"/>
  <c r="BB13" i="28"/>
  <c r="AL18" i="28"/>
  <c r="AK15" i="28"/>
  <c r="BB15" i="28"/>
  <c r="BA10" i="28"/>
  <c r="AM18" i="28"/>
  <c r="AL15" i="28"/>
  <c r="AL12" i="28"/>
  <c r="AL10" i="28"/>
  <c r="BA12" i="28"/>
  <c r="BB10" i="28"/>
  <c r="AN18" i="28"/>
  <c r="AM15" i="28"/>
  <c r="AM12" i="28"/>
  <c r="AM10" i="28"/>
  <c r="BA14" i="28"/>
  <c r="BB12" i="28"/>
  <c r="AN15" i="28"/>
  <c r="AN12" i="28"/>
  <c r="AN10" i="28"/>
  <c r="AK9" i="28"/>
  <c r="AA6" i="28"/>
  <c r="AZ12" i="28"/>
  <c r="AA5" i="28"/>
  <c r="AK13" i="28"/>
  <c r="AK16" i="28"/>
  <c r="AK19" i="28"/>
  <c r="AZ9" i="28"/>
  <c r="AK10" i="28"/>
  <c r="AZ10" i="28"/>
  <c r="Z3" i="29"/>
  <c r="AZ14" i="28"/>
  <c r="AK12" i="28"/>
  <c r="AK18" i="28"/>
  <c r="W7" i="28"/>
  <c r="AW10" i="28"/>
  <c r="AI15" i="28"/>
  <c r="N6" i="28"/>
  <c r="AI19" i="28"/>
  <c r="AW11" i="28"/>
  <c r="AW13" i="28"/>
  <c r="AK6" i="27"/>
  <c r="AW12" i="28"/>
  <c r="N4" i="28"/>
  <c r="AI12" i="28"/>
  <c r="AW15" i="28"/>
  <c r="N5" i="28"/>
  <c r="AI16" i="28"/>
  <c r="AW14" i="28"/>
  <c r="AK7" i="27"/>
  <c r="AI13" i="28"/>
  <c r="AI18" i="28"/>
  <c r="W4" i="28"/>
  <c r="W5" i="28"/>
  <c r="W3" i="28"/>
  <c r="W6" i="28"/>
  <c r="AE5" i="27"/>
  <c r="AJ5" i="27" s="1"/>
  <c r="AE6" i="27"/>
  <c r="BF20" i="9"/>
  <c r="BF22" i="9"/>
  <c r="BF24" i="9"/>
  <c r="BF21" i="9"/>
  <c r="BF23" i="9"/>
  <c r="AL25" i="9"/>
  <c r="AK25" i="9" s="1"/>
  <c r="AL26" i="9"/>
  <c r="AV24" i="9"/>
  <c r="AU24" i="9" s="1"/>
  <c r="AV25" i="9"/>
  <c r="AA24" i="9"/>
  <c r="AG24" i="9" s="1"/>
  <c r="AA25" i="9"/>
  <c r="AL23" i="9"/>
  <c r="AM23" i="9" s="1"/>
  <c r="AL24" i="9"/>
  <c r="AV22" i="9"/>
  <c r="AU22" i="9" s="1"/>
  <c r="AV23" i="9"/>
  <c r="AA22" i="9"/>
  <c r="AG22" i="9" s="1"/>
  <c r="AA23" i="9"/>
  <c r="AL21" i="9"/>
  <c r="AM21" i="9" s="1"/>
  <c r="AL22" i="9"/>
  <c r="AV20" i="9"/>
  <c r="AU20" i="9" s="1"/>
  <c r="AV21" i="9"/>
  <c r="AA20" i="9"/>
  <c r="AC20" i="9" s="1"/>
  <c r="AA21" i="9"/>
  <c r="AL19" i="9"/>
  <c r="AM19" i="9" s="1"/>
  <c r="AL20" i="9"/>
  <c r="BF18" i="9"/>
  <c r="BF19" i="9"/>
  <c r="BN10" i="9"/>
  <c r="AV18" i="9"/>
  <c r="AW18" i="9" s="1"/>
  <c r="AV19" i="9"/>
  <c r="AA18" i="9"/>
  <c r="AF18" i="9" s="1"/>
  <c r="AA19" i="9"/>
  <c r="BF17" i="9"/>
  <c r="BF16" i="9"/>
  <c r="BN9" i="9"/>
  <c r="AL17" i="9"/>
  <c r="AK17" i="9" s="1"/>
  <c r="AL18" i="9"/>
  <c r="AA16" i="9"/>
  <c r="AC16" i="9" s="1"/>
  <c r="AA17" i="9"/>
  <c r="AV15" i="9"/>
  <c r="AW15" i="9" s="1"/>
  <c r="AV17" i="9"/>
  <c r="AV16" i="9"/>
  <c r="AL15" i="9"/>
  <c r="AM15" i="9" s="1"/>
  <c r="AL16" i="9"/>
  <c r="BF12" i="9"/>
  <c r="BF14" i="9"/>
  <c r="BF15" i="9"/>
  <c r="BF13" i="9"/>
  <c r="BF11" i="9"/>
  <c r="AK5" i="27"/>
  <c r="AI9" i="28"/>
  <c r="N3" i="28"/>
  <c r="AD3" i="28" s="1"/>
  <c r="AI10" i="28"/>
  <c r="AW9" i="28"/>
  <c r="AA3" i="28"/>
  <c r="AI2" i="29"/>
  <c r="AO3" i="27"/>
  <c r="AO4" i="27"/>
  <c r="AI8" i="28"/>
  <c r="AI7" i="28"/>
  <c r="AW8" i="28"/>
  <c r="AW7" i="28"/>
  <c r="BA8" i="28"/>
  <c r="AK8" i="28"/>
  <c r="AN7" i="28"/>
  <c r="AM7" i="28"/>
  <c r="BB8" i="28"/>
  <c r="AL8" i="28"/>
  <c r="AM8" i="28"/>
  <c r="AK7" i="28"/>
  <c r="AZ7" i="28"/>
  <c r="AN8" i="28"/>
  <c r="BA7" i="28"/>
  <c r="BB7" i="28"/>
  <c r="AL7" i="28"/>
  <c r="AZ8" i="28"/>
  <c r="BB6" i="28"/>
  <c r="AM6" i="28"/>
  <c r="AZ4" i="28"/>
  <c r="AK4" i="28"/>
  <c r="AN3" i="28"/>
  <c r="AK3" i="28"/>
  <c r="AN6" i="28"/>
  <c r="BA4" i="28"/>
  <c r="AL4" i="28"/>
  <c r="AM4" i="28"/>
  <c r="AZ3" i="28"/>
  <c r="BA6" i="28"/>
  <c r="AZ5" i="28"/>
  <c r="BB4" i="28"/>
  <c r="BA3" i="28"/>
  <c r="AM3" i="28"/>
  <c r="BA5" i="28"/>
  <c r="AK5" i="28"/>
  <c r="AN4" i="28"/>
  <c r="AL5" i="28"/>
  <c r="BB3" i="28"/>
  <c r="BB5" i="28"/>
  <c r="AM5" i="28"/>
  <c r="AL3" i="28"/>
  <c r="AZ6" i="28"/>
  <c r="AK6" i="28"/>
  <c r="AN5" i="28"/>
  <c r="AL6" i="28"/>
  <c r="AA14" i="9"/>
  <c r="AC14" i="9" s="1"/>
  <c r="AA15" i="9"/>
  <c r="AL13" i="9"/>
  <c r="AM13" i="9" s="1"/>
  <c r="AL14" i="9"/>
  <c r="AV13" i="9"/>
  <c r="AW13" i="9" s="1"/>
  <c r="AV14" i="9"/>
  <c r="AA12" i="9"/>
  <c r="AI12" i="9" s="1"/>
  <c r="AA13" i="9"/>
  <c r="AL11" i="9"/>
  <c r="AK11" i="9" s="1"/>
  <c r="AL12" i="9"/>
  <c r="AV11" i="9"/>
  <c r="AU11" i="9" s="1"/>
  <c r="AV12" i="9"/>
  <c r="BF10" i="9"/>
  <c r="BF9" i="9"/>
  <c r="BN8" i="9"/>
  <c r="AA10" i="9"/>
  <c r="AF10" i="9" s="1"/>
  <c r="AA11" i="9"/>
  <c r="AE3" i="27"/>
  <c r="AN3" i="27" s="1"/>
  <c r="AE4" i="27"/>
  <c r="AK4" i="27"/>
  <c r="AK3" i="27"/>
  <c r="AW5" i="28"/>
  <c r="AI5" i="28"/>
  <c r="AW6" i="28"/>
  <c r="AI6" i="28"/>
  <c r="AV10" i="9"/>
  <c r="AV8" i="9"/>
  <c r="AV9" i="9"/>
  <c r="AV7" i="9"/>
  <c r="AL9" i="9"/>
  <c r="AM9" i="9" s="1"/>
  <c r="AL10" i="9"/>
  <c r="AA8" i="9"/>
  <c r="AC8" i="9" s="1"/>
  <c r="AA9" i="9"/>
  <c r="BN6" i="9"/>
  <c r="BF8" i="9"/>
  <c r="BN5" i="9"/>
  <c r="BN4" i="9"/>
  <c r="BF7" i="9"/>
  <c r="BN7" i="9"/>
  <c r="BN3" i="9"/>
  <c r="BF6" i="9"/>
  <c r="R2" i="9"/>
  <c r="AX2" i="9" s="1"/>
  <c r="AW3" i="28"/>
  <c r="AI4" i="28"/>
  <c r="AW4" i="28"/>
  <c r="AI3" i="28"/>
  <c r="AL7" i="9"/>
  <c r="AK7" i="9" s="1"/>
  <c r="AL8" i="9"/>
  <c r="AA6" i="9"/>
  <c r="Z6" i="9" s="1"/>
  <c r="AA7" i="9"/>
  <c r="BF2" i="9"/>
  <c r="BF5" i="9"/>
  <c r="BF3" i="9"/>
  <c r="BF4" i="9"/>
  <c r="AL6" i="9"/>
  <c r="AL5" i="9"/>
  <c r="AL4" i="9"/>
  <c r="AV6" i="9"/>
  <c r="AV4" i="9"/>
  <c r="AV5" i="9"/>
  <c r="AA4" i="9"/>
  <c r="AF4" i="9" s="1"/>
  <c r="AA5" i="9"/>
  <c r="AV2" i="9"/>
  <c r="AU2" i="9" s="1"/>
  <c r="AV3" i="9"/>
  <c r="AL2" i="9"/>
  <c r="AK2" i="9" s="1"/>
  <c r="AL3" i="9"/>
  <c r="AA2" i="9"/>
  <c r="AI2" i="9" s="1"/>
  <c r="AA3" i="9"/>
  <c r="C7" i="14"/>
  <c r="D7" i="14" s="1"/>
  <c r="C3" i="14"/>
  <c r="D3" i="14" s="1"/>
  <c r="E21" i="27" s="1"/>
  <c r="C4" i="14"/>
  <c r="D4" i="14" s="1"/>
  <c r="C5" i="14"/>
  <c r="D5" i="14" s="1"/>
  <c r="M5" i="14" s="1"/>
  <c r="C6" i="14"/>
  <c r="D6" i="14" s="1"/>
  <c r="AY2" i="9"/>
  <c r="BA2" i="9"/>
  <c r="E2" i="27"/>
  <c r="E2" i="28"/>
  <c r="E2" i="29"/>
  <c r="F2" i="9"/>
  <c r="AD2" i="9"/>
  <c r="AN2" i="9"/>
  <c r="C2" i="14"/>
  <c r="DQ2" i="9"/>
  <c r="DE2" i="9"/>
  <c r="J6" i="31"/>
  <c r="AB2" i="27"/>
  <c r="AA2" i="28"/>
  <c r="AD2" i="28"/>
  <c r="AC2" i="28"/>
  <c r="AB2" i="28"/>
  <c r="K2" i="28"/>
  <c r="CA2" i="9"/>
  <c r="CB2" i="9"/>
  <c r="V2" i="29"/>
  <c r="Z2" i="29"/>
  <c r="AC2" i="29"/>
  <c r="AB2" i="29"/>
  <c r="AA2" i="29"/>
  <c r="AT2" i="28"/>
  <c r="AW2" i="28"/>
  <c r="AF2" i="28"/>
  <c r="AI2" i="28"/>
  <c r="W2" i="28"/>
  <c r="CJ2" i="9"/>
  <c r="D2" i="19"/>
  <c r="N2" i="19" s="1"/>
  <c r="B4" i="25"/>
  <c r="E3" i="25"/>
  <c r="E2" i="25"/>
  <c r="F9" i="9" l="1"/>
  <c r="E22" i="27"/>
  <c r="AJ16" i="27"/>
  <c r="AN16" i="27"/>
  <c r="AH31" i="9"/>
  <c r="AI31" i="9"/>
  <c r="AG31" i="9"/>
  <c r="AC31" i="9"/>
  <c r="AM33" i="9"/>
  <c r="AK33" i="9"/>
  <c r="Z31" i="9"/>
  <c r="AF32" i="9"/>
  <c r="AG32" i="9"/>
  <c r="AI32" i="9"/>
  <c r="Z32" i="9"/>
  <c r="AH32" i="9"/>
  <c r="AC32" i="9"/>
  <c r="AU32" i="9"/>
  <c r="AW32" i="9"/>
  <c r="AM31" i="9"/>
  <c r="AK31" i="9"/>
  <c r="AU29" i="9"/>
  <c r="AB10" i="28"/>
  <c r="Z10" i="28"/>
  <c r="W10" i="28"/>
  <c r="U10" i="28" s="1"/>
  <c r="AD10" i="28"/>
  <c r="V10" i="28"/>
  <c r="AC10" i="28"/>
  <c r="AH29" i="9"/>
  <c r="AC29" i="9"/>
  <c r="AI29" i="9"/>
  <c r="AG29" i="9"/>
  <c r="Z29" i="9"/>
  <c r="AC30" i="9"/>
  <c r="AF30" i="9"/>
  <c r="AG30" i="9"/>
  <c r="Z30" i="9"/>
  <c r="AH30" i="9"/>
  <c r="AI30" i="9"/>
  <c r="AW30" i="9"/>
  <c r="AU30" i="9"/>
  <c r="AN13" i="27"/>
  <c r="AN14" i="27"/>
  <c r="AJ14" i="27"/>
  <c r="AJ15" i="27"/>
  <c r="AN15" i="27"/>
  <c r="E11" i="27"/>
  <c r="E12" i="27"/>
  <c r="E12" i="28"/>
  <c r="E11" i="28"/>
  <c r="E10" i="28"/>
  <c r="E20" i="27"/>
  <c r="E19" i="27"/>
  <c r="F8" i="9"/>
  <c r="AB9" i="28"/>
  <c r="W9" i="28"/>
  <c r="U9" i="28" s="1"/>
  <c r="AC9" i="28"/>
  <c r="AD9" i="28"/>
  <c r="Z9" i="28"/>
  <c r="V9" i="28"/>
  <c r="AJ12" i="27"/>
  <c r="AN12" i="27"/>
  <c r="AN11" i="27"/>
  <c r="Z7" i="28"/>
  <c r="AD7" i="28"/>
  <c r="AW28" i="9"/>
  <c r="AK29" i="9"/>
  <c r="AM29" i="9"/>
  <c r="AF28" i="9"/>
  <c r="AC28" i="9"/>
  <c r="AK19" i="9"/>
  <c r="Z26" i="9"/>
  <c r="AI28" i="9"/>
  <c r="AF26" i="9"/>
  <c r="AH28" i="9"/>
  <c r="Z28" i="9"/>
  <c r="AM27" i="9"/>
  <c r="AU26" i="9"/>
  <c r="AM25" i="9"/>
  <c r="AH26" i="9"/>
  <c r="AK28" i="9"/>
  <c r="AM28" i="9"/>
  <c r="AC26" i="9"/>
  <c r="AC27" i="9"/>
  <c r="AF27" i="9"/>
  <c r="AG27" i="9"/>
  <c r="Z27" i="9"/>
  <c r="AH27" i="9"/>
  <c r="AI27" i="9"/>
  <c r="AU27" i="9"/>
  <c r="AW27" i="9"/>
  <c r="AI26" i="9"/>
  <c r="AJ8" i="27"/>
  <c r="AN8" i="27"/>
  <c r="AJ10" i="27"/>
  <c r="AN10" i="27"/>
  <c r="AJ9" i="27"/>
  <c r="AN9" i="27"/>
  <c r="AG2" i="29"/>
  <c r="W3" i="29"/>
  <c r="W4" i="29"/>
  <c r="V7" i="28"/>
  <c r="AN7" i="27"/>
  <c r="AB7" i="28"/>
  <c r="U8" i="28"/>
  <c r="AC8" i="28"/>
  <c r="AB8" i="28"/>
  <c r="V8" i="28"/>
  <c r="AA8" i="28"/>
  <c r="Y8" i="28" s="1"/>
  <c r="Z8" i="28"/>
  <c r="AD8" i="28"/>
  <c r="T8" i="28"/>
  <c r="U7" i="28"/>
  <c r="T7" i="28"/>
  <c r="AD5" i="28"/>
  <c r="AB5" i="28"/>
  <c r="V5" i="28"/>
  <c r="Z5" i="28"/>
  <c r="AC5" i="28"/>
  <c r="AB6" i="28"/>
  <c r="AD6" i="28"/>
  <c r="V6" i="28"/>
  <c r="Z6" i="28"/>
  <c r="AC6" i="28"/>
  <c r="AA4" i="28"/>
  <c r="X10" i="28" s="1"/>
  <c r="AC4" i="28"/>
  <c r="Z4" i="28"/>
  <c r="V4" i="28"/>
  <c r="AB4" i="28"/>
  <c r="AD4" i="28"/>
  <c r="F7" i="9"/>
  <c r="E18" i="27"/>
  <c r="AN5" i="27"/>
  <c r="AJ6" i="27"/>
  <c r="AN6" i="27"/>
  <c r="AH24" i="9"/>
  <c r="Z24" i="9"/>
  <c r="AF24" i="9"/>
  <c r="AC24" i="9"/>
  <c r="AI24" i="9"/>
  <c r="AW22" i="9"/>
  <c r="AK26" i="9"/>
  <c r="AM26" i="9"/>
  <c r="AF25" i="9"/>
  <c r="AG25" i="9"/>
  <c r="Z25" i="9"/>
  <c r="AH25" i="9"/>
  <c r="AI25" i="9"/>
  <c r="AC25" i="9"/>
  <c r="AU25" i="9"/>
  <c r="AW25" i="9"/>
  <c r="AW24" i="9"/>
  <c r="AK23" i="9"/>
  <c r="AC22" i="9"/>
  <c r="AI20" i="9"/>
  <c r="AF20" i="9"/>
  <c r="AH22" i="9"/>
  <c r="AF22" i="9"/>
  <c r="Z22" i="9"/>
  <c r="AK24" i="9"/>
  <c r="AM24" i="9"/>
  <c r="AW20" i="9"/>
  <c r="AI22" i="9"/>
  <c r="AC23" i="9"/>
  <c r="AF23" i="9"/>
  <c r="AI23" i="9"/>
  <c r="AG23" i="9"/>
  <c r="Z23" i="9"/>
  <c r="AH23" i="9"/>
  <c r="AW23" i="9"/>
  <c r="AU23" i="9"/>
  <c r="AK21" i="9"/>
  <c r="AM22" i="9"/>
  <c r="AK22" i="9"/>
  <c r="AK15" i="9"/>
  <c r="Z20" i="9"/>
  <c r="AH20" i="9"/>
  <c r="AG20" i="9"/>
  <c r="AG21" i="9"/>
  <c r="AH21" i="9"/>
  <c r="AF21" i="9"/>
  <c r="AI21" i="9"/>
  <c r="AC21" i="9"/>
  <c r="Z21" i="9"/>
  <c r="AU21" i="9"/>
  <c r="AW21" i="9"/>
  <c r="AU18" i="9"/>
  <c r="AK20" i="9"/>
  <c r="AM20" i="9"/>
  <c r="U4" i="28"/>
  <c r="U5" i="28"/>
  <c r="U6" i="28"/>
  <c r="M7" i="14"/>
  <c r="E3" i="29"/>
  <c r="D3" i="29" s="1"/>
  <c r="AI5" i="29" s="1"/>
  <c r="E13" i="27"/>
  <c r="E9" i="28"/>
  <c r="E14" i="27"/>
  <c r="E15" i="27"/>
  <c r="E8" i="28"/>
  <c r="E7" i="28"/>
  <c r="E16" i="27"/>
  <c r="E17" i="27"/>
  <c r="E6" i="28"/>
  <c r="F6" i="9"/>
  <c r="AC18" i="9"/>
  <c r="AH18" i="9"/>
  <c r="Z18" i="9"/>
  <c r="AG18" i="9"/>
  <c r="AU19" i="9"/>
  <c r="AW19" i="9"/>
  <c r="AI18" i="9"/>
  <c r="AM17" i="9"/>
  <c r="AC19" i="9"/>
  <c r="AH19" i="9"/>
  <c r="Z19" i="9"/>
  <c r="AF19" i="9"/>
  <c r="AG19" i="9"/>
  <c r="AI19" i="9"/>
  <c r="AU15" i="9"/>
  <c r="AM18" i="9"/>
  <c r="AK18" i="9"/>
  <c r="AI16" i="9"/>
  <c r="AG16" i="9"/>
  <c r="AH16" i="9"/>
  <c r="Z16" i="9"/>
  <c r="AF16" i="9"/>
  <c r="AW16" i="9"/>
  <c r="AU16" i="9"/>
  <c r="AW17" i="9"/>
  <c r="AU17" i="9"/>
  <c r="AC17" i="9"/>
  <c r="AF17" i="9"/>
  <c r="AG17" i="9"/>
  <c r="Z17" i="9"/>
  <c r="AH17" i="9"/>
  <c r="AI17" i="9"/>
  <c r="AK16" i="9"/>
  <c r="AM16" i="9"/>
  <c r="T5" i="28"/>
  <c r="T6" i="28"/>
  <c r="T3" i="28"/>
  <c r="T4" i="28"/>
  <c r="AB3" i="28"/>
  <c r="AC3" i="28"/>
  <c r="Y3" i="28"/>
  <c r="Z3" i="28"/>
  <c r="V3" i="28"/>
  <c r="U3" i="28"/>
  <c r="X3" i="28"/>
  <c r="AK13" i="9"/>
  <c r="AM11" i="9"/>
  <c r="AH12" i="9"/>
  <c r="AH14" i="9"/>
  <c r="AF14" i="9"/>
  <c r="AG14" i="9"/>
  <c r="Z14" i="9"/>
  <c r="AC15" i="9"/>
  <c r="AF15" i="9"/>
  <c r="AG15" i="9"/>
  <c r="Z15" i="9"/>
  <c r="AH15" i="9"/>
  <c r="AI15" i="9"/>
  <c r="AK9" i="9"/>
  <c r="AC12" i="9"/>
  <c r="AU13" i="9"/>
  <c r="AI14" i="9"/>
  <c r="AG12" i="9"/>
  <c r="AW14" i="9"/>
  <c r="AU14" i="9"/>
  <c r="AK14" i="9"/>
  <c r="AM14" i="9"/>
  <c r="Z12" i="9"/>
  <c r="AG13" i="9"/>
  <c r="AF13" i="9"/>
  <c r="Z13" i="9"/>
  <c r="AH13" i="9"/>
  <c r="AI13" i="9"/>
  <c r="AC13" i="9"/>
  <c r="AF12" i="9"/>
  <c r="AW11" i="9"/>
  <c r="Z8" i="9"/>
  <c r="AW12" i="9"/>
  <c r="AU12" i="9"/>
  <c r="AM12" i="9"/>
  <c r="AK12" i="9"/>
  <c r="M3" i="14"/>
  <c r="E7" i="27"/>
  <c r="E4" i="28"/>
  <c r="E5" i="27"/>
  <c r="F4" i="9"/>
  <c r="E6" i="27"/>
  <c r="AC10" i="9"/>
  <c r="Z10" i="9"/>
  <c r="AH10" i="9"/>
  <c r="M6" i="14"/>
  <c r="E9" i="27"/>
  <c r="E10" i="27"/>
  <c r="F5" i="9"/>
  <c r="E5" i="28"/>
  <c r="AI10" i="9"/>
  <c r="AG10" i="9"/>
  <c r="M4" i="14"/>
  <c r="E8" i="27"/>
  <c r="E3" i="28"/>
  <c r="E4" i="27"/>
  <c r="F3" i="9"/>
  <c r="A4" i="9" s="1"/>
  <c r="E3" i="27"/>
  <c r="AH8" i="9"/>
  <c r="AF8" i="9"/>
  <c r="AC11" i="9"/>
  <c r="AI11" i="9"/>
  <c r="AG11" i="9"/>
  <c r="AF11" i="9"/>
  <c r="Z11" i="9"/>
  <c r="AH11" i="9"/>
  <c r="AI8" i="9"/>
  <c r="AJ3" i="27"/>
  <c r="AJ4" i="27"/>
  <c r="AN4" i="27"/>
  <c r="AU8" i="9"/>
  <c r="AW8" i="9"/>
  <c r="AU10" i="9"/>
  <c r="AW10" i="9"/>
  <c r="AG8" i="9"/>
  <c r="AM10" i="9"/>
  <c r="AK10" i="9"/>
  <c r="AU7" i="9"/>
  <c r="AW7" i="9"/>
  <c r="AM7" i="9"/>
  <c r="AU9" i="9"/>
  <c r="AW9" i="9"/>
  <c r="Z9" i="9"/>
  <c r="AH9" i="9"/>
  <c r="AI9" i="9"/>
  <c r="AC9" i="9"/>
  <c r="AG9" i="9"/>
  <c r="AF9" i="9"/>
  <c r="AC6" i="9"/>
  <c r="AG6" i="9"/>
  <c r="AK8" i="9"/>
  <c r="AM8" i="9"/>
  <c r="AI6" i="9"/>
  <c r="AF6" i="9"/>
  <c r="AF7" i="9"/>
  <c r="AG7" i="9"/>
  <c r="Z7" i="9"/>
  <c r="AC7" i="9"/>
  <c r="AH7" i="9"/>
  <c r="AI7" i="9"/>
  <c r="AH6" i="9"/>
  <c r="AM6" i="9"/>
  <c r="AK6" i="9"/>
  <c r="AU5" i="9"/>
  <c r="AW5" i="9"/>
  <c r="AU4" i="9"/>
  <c r="AW4" i="9"/>
  <c r="AW6" i="9"/>
  <c r="AU6" i="9"/>
  <c r="AM4" i="9"/>
  <c r="AK4" i="9"/>
  <c r="AM5" i="9"/>
  <c r="AK5" i="9"/>
  <c r="O3" i="27"/>
  <c r="AM2" i="9"/>
  <c r="AH4" i="9"/>
  <c r="AI4" i="9"/>
  <c r="Z4" i="9"/>
  <c r="AG4" i="9"/>
  <c r="AC4" i="9"/>
  <c r="AC5" i="9"/>
  <c r="AF5" i="9"/>
  <c r="AG5" i="9"/>
  <c r="Z5" i="9"/>
  <c r="AH5" i="9"/>
  <c r="AI5" i="9"/>
  <c r="AF2" i="9"/>
  <c r="AW2" i="9"/>
  <c r="AH2" i="9"/>
  <c r="AI3" i="9"/>
  <c r="AF3" i="9"/>
  <c r="AG3" i="9"/>
  <c r="Z3" i="9"/>
  <c r="AH3" i="9"/>
  <c r="AC3" i="9"/>
  <c r="AG2" i="9"/>
  <c r="AU3" i="9"/>
  <c r="AW3" i="9"/>
  <c r="AM3" i="9"/>
  <c r="AK3" i="9"/>
  <c r="A2" i="9"/>
  <c r="N2" i="27"/>
  <c r="A2" i="27"/>
  <c r="A2" i="29"/>
  <c r="D2" i="29"/>
  <c r="J2" i="29" s="1"/>
  <c r="Z2" i="9"/>
  <c r="AC2" i="9"/>
  <c r="D2" i="14"/>
  <c r="X2" i="28"/>
  <c r="T2" i="28"/>
  <c r="J7" i="31"/>
  <c r="S2" i="29"/>
  <c r="W2" i="29"/>
  <c r="D9" i="21"/>
  <c r="C9" i="21"/>
  <c r="D19" i="21"/>
  <c r="D22" i="21"/>
  <c r="C19" i="21"/>
  <c r="C22" i="21"/>
  <c r="C23" i="21"/>
  <c r="D15" i="21"/>
  <c r="D13" i="21"/>
  <c r="D17" i="21"/>
  <c r="D14" i="21"/>
  <c r="D18" i="21"/>
  <c r="C12" i="21"/>
  <c r="C15" i="21"/>
  <c r="C13" i="21"/>
  <c r="C17" i="21"/>
  <c r="C14" i="21"/>
  <c r="C18" i="21"/>
  <c r="C16" i="21"/>
  <c r="C11" i="21"/>
  <c r="A22" i="27" l="1"/>
  <c r="N22" i="27"/>
  <c r="O22" i="27"/>
  <c r="A9" i="9"/>
  <c r="Y10" i="28"/>
  <c r="A21" i="27"/>
  <c r="T8" i="19"/>
  <c r="T7" i="19"/>
  <c r="M12" i="19"/>
  <c r="H12" i="19"/>
  <c r="O21" i="27"/>
  <c r="N21" i="27"/>
  <c r="T10" i="28"/>
  <c r="T9" i="28"/>
  <c r="X9" i="28"/>
  <c r="Y9" i="28"/>
  <c r="N12" i="27"/>
  <c r="A12" i="27"/>
  <c r="O12" i="27"/>
  <c r="N20" i="27"/>
  <c r="O20" i="27"/>
  <c r="A20" i="27"/>
  <c r="A8" i="9"/>
  <c r="A19" i="27"/>
  <c r="N19" i="27"/>
  <c r="O19" i="27"/>
  <c r="M4" i="29"/>
  <c r="AI3" i="29"/>
  <c r="AI4" i="29"/>
  <c r="X8" i="28"/>
  <c r="X5" i="28"/>
  <c r="Y7" i="28"/>
  <c r="X6" i="28"/>
  <c r="X7" i="28"/>
  <c r="Y5" i="28"/>
  <c r="Y4" i="28"/>
  <c r="X4" i="28"/>
  <c r="Y6" i="28"/>
  <c r="A3" i="29"/>
  <c r="N18" i="27"/>
  <c r="O18" i="27"/>
  <c r="O16" i="27"/>
  <c r="A18" i="27"/>
  <c r="A7" i="9"/>
  <c r="J3" i="29"/>
  <c r="M3" i="29"/>
  <c r="M11" i="19"/>
  <c r="H11" i="19"/>
  <c r="N13" i="27"/>
  <c r="N16" i="27"/>
  <c r="A15" i="27"/>
  <c r="O15" i="27"/>
  <c r="O17" i="27"/>
  <c r="A16" i="27"/>
  <c r="N17" i="27"/>
  <c r="N15" i="27"/>
  <c r="A17" i="27"/>
  <c r="A6" i="9"/>
  <c r="O14" i="27"/>
  <c r="N14" i="27"/>
  <c r="A14" i="27"/>
  <c r="N3" i="27"/>
  <c r="A3" i="27"/>
  <c r="A7" i="27"/>
  <c r="O13" i="27"/>
  <c r="A13" i="27"/>
  <c r="N11" i="27"/>
  <c r="A11" i="27"/>
  <c r="O11" i="27"/>
  <c r="O5" i="27"/>
  <c r="O9" i="27"/>
  <c r="A5" i="27"/>
  <c r="O7" i="27"/>
  <c r="O8" i="27"/>
  <c r="N5" i="27"/>
  <c r="A8" i="27"/>
  <c r="N9" i="27"/>
  <c r="O4" i="27"/>
  <c r="N8" i="27"/>
  <c r="N4" i="27"/>
  <c r="N6" i="27"/>
  <c r="A5" i="9"/>
  <c r="A3" i="9"/>
  <c r="A4" i="27"/>
  <c r="A6" i="27"/>
  <c r="A10" i="27"/>
  <c r="O6" i="27"/>
  <c r="M8" i="19"/>
  <c r="H8" i="19"/>
  <c r="N7" i="27"/>
  <c r="A9" i="27"/>
  <c r="N10" i="27"/>
  <c r="T5" i="19"/>
  <c r="T6" i="19"/>
  <c r="T4" i="19"/>
  <c r="M10" i="19"/>
  <c r="M7" i="19"/>
  <c r="M3" i="19"/>
  <c r="T3" i="19"/>
  <c r="M9" i="19"/>
  <c r="M6" i="19"/>
  <c r="M5" i="19"/>
  <c r="M4" i="19"/>
  <c r="H5" i="19"/>
  <c r="H9" i="19"/>
  <c r="H3" i="19"/>
  <c r="H7" i="19"/>
  <c r="H6" i="19"/>
  <c r="H4" i="19"/>
  <c r="H10" i="19"/>
  <c r="O10" i="27"/>
  <c r="C2" i="9"/>
  <c r="E2" i="9" s="1"/>
  <c r="K2" i="9" s="1"/>
  <c r="M2" i="14"/>
  <c r="T2" i="19"/>
  <c r="D12" i="21"/>
  <c r="D16" i="21"/>
  <c r="D23" i="21"/>
  <c r="D11" i="21"/>
  <c r="J8" i="31"/>
  <c r="E4" i="31"/>
  <c r="C9" i="9" l="1"/>
  <c r="E9" i="9" s="1"/>
  <c r="K9" i="9" s="1"/>
  <c r="R31" i="9"/>
  <c r="AX31" i="9" s="1"/>
  <c r="AG5" i="29"/>
  <c r="C8" i="9"/>
  <c r="E8" i="9" s="1"/>
  <c r="R30" i="9" s="1"/>
  <c r="AX30" i="9" s="1"/>
  <c r="AG3" i="29"/>
  <c r="AG4" i="29"/>
  <c r="AA4" i="29"/>
  <c r="AB4" i="29"/>
  <c r="Y4" i="29"/>
  <c r="V4" i="29"/>
  <c r="T4" i="29" s="1"/>
  <c r="AC4" i="29"/>
  <c r="U4" i="29"/>
  <c r="X4" i="29"/>
  <c r="C7" i="9"/>
  <c r="E7" i="9" s="1"/>
  <c r="AA3" i="29"/>
  <c r="AB3" i="29"/>
  <c r="Y3" i="29"/>
  <c r="V3" i="29"/>
  <c r="AC3" i="29"/>
  <c r="U3" i="29"/>
  <c r="X3" i="29"/>
  <c r="C6" i="9"/>
  <c r="E6" i="9" s="1"/>
  <c r="C5" i="9"/>
  <c r="E5" i="9" s="1"/>
  <c r="R14" i="9" s="1"/>
  <c r="AX14" i="9" s="1"/>
  <c r="C3" i="9"/>
  <c r="E3" i="9" s="1"/>
  <c r="R5" i="9" s="1"/>
  <c r="AX5" i="9" s="1"/>
  <c r="C4" i="9"/>
  <c r="E4" i="9" s="1"/>
  <c r="K4" i="9" s="1"/>
  <c r="J9" i="31"/>
  <c r="R33" i="9" l="1"/>
  <c r="AX33" i="9" s="1"/>
  <c r="R32" i="9"/>
  <c r="AX32" i="9" s="1"/>
  <c r="R29" i="9"/>
  <c r="AX29" i="9" s="1"/>
  <c r="R27" i="9"/>
  <c r="AX27" i="9" s="1"/>
  <c r="R28" i="9"/>
  <c r="AX28" i="9" s="1"/>
  <c r="K8" i="9"/>
  <c r="AS4" i="29"/>
  <c r="AS5" i="29"/>
  <c r="AS3" i="29"/>
  <c r="AS6" i="29"/>
  <c r="AS7" i="29"/>
  <c r="S4" i="29"/>
  <c r="K7" i="9"/>
  <c r="R24" i="9"/>
  <c r="AX24" i="9" s="1"/>
  <c r="R21" i="9"/>
  <c r="AX21" i="9" s="1"/>
  <c r="R26" i="9"/>
  <c r="AX26" i="9" s="1"/>
  <c r="R22" i="9"/>
  <c r="AX22" i="9" s="1"/>
  <c r="R23" i="9"/>
  <c r="AX23" i="9" s="1"/>
  <c r="R25" i="9"/>
  <c r="AX25" i="9" s="1"/>
  <c r="R20" i="9"/>
  <c r="AX20" i="9" s="1"/>
  <c r="T3" i="29"/>
  <c r="S3" i="29"/>
  <c r="K6" i="9"/>
  <c r="R17" i="9"/>
  <c r="AX17" i="9" s="1"/>
  <c r="R18" i="9"/>
  <c r="AX18" i="9" s="1"/>
  <c r="R16" i="9"/>
  <c r="AX16" i="9" s="1"/>
  <c r="R19" i="9"/>
  <c r="AX19" i="9" s="1"/>
  <c r="R11" i="9"/>
  <c r="AX11" i="9" s="1"/>
  <c r="R15" i="9"/>
  <c r="AX15" i="9" s="1"/>
  <c r="R13" i="9"/>
  <c r="AX13" i="9" s="1"/>
  <c r="R12" i="9"/>
  <c r="AX12" i="9" s="1"/>
  <c r="K5" i="9"/>
  <c r="R10" i="9"/>
  <c r="AX10" i="9" s="1"/>
  <c r="R9" i="9"/>
  <c r="AX9" i="9" s="1"/>
  <c r="R4" i="9"/>
  <c r="AX4" i="9" s="1"/>
  <c r="R3" i="9"/>
  <c r="AX3" i="9" s="1"/>
  <c r="K3" i="9"/>
  <c r="R6" i="9"/>
  <c r="AX6" i="9" s="1"/>
  <c r="R8" i="9"/>
  <c r="AX8" i="9" s="1"/>
  <c r="R7" i="9"/>
  <c r="AX7" i="9" s="1"/>
  <c r="J10" i="31"/>
  <c r="AS10" i="29" l="1"/>
  <c r="AS8" i="29"/>
  <c r="AS9" i="29"/>
  <c r="J11" i="31"/>
  <c r="A2" i="26"/>
  <c r="J12" i="31" l="1"/>
  <c r="A3" i="26"/>
  <c r="A4" i="26" s="1"/>
  <c r="A5" i="26" s="1"/>
  <c r="J13" i="31" l="1"/>
  <c r="A6" i="26"/>
  <c r="J14" i="31" l="1"/>
  <c r="A7" i="26"/>
  <c r="D33" i="21"/>
  <c r="C33" i="21"/>
  <c r="D32" i="21"/>
  <c r="C32" i="21"/>
  <c r="J15" i="31" l="1"/>
  <c r="A8" i="26"/>
  <c r="D30" i="21"/>
  <c r="C30" i="21"/>
  <c r="D37" i="21"/>
  <c r="C37" i="21"/>
  <c r="C2" i="21"/>
  <c r="C21" i="21"/>
  <c r="C29" i="21"/>
  <c r="C31" i="21"/>
  <c r="C34" i="21"/>
  <c r="C36" i="21"/>
  <c r="C35" i="21"/>
  <c r="C42" i="21"/>
  <c r="T4" i="25"/>
  <c r="S4" i="25"/>
  <c r="B7" i="25"/>
  <c r="B6" i="25"/>
  <c r="S3" i="25"/>
  <c r="S2" i="25"/>
  <c r="S1" i="25"/>
  <c r="J16" i="31" l="1"/>
  <c r="C43" i="21"/>
  <c r="A9" i="26"/>
  <c r="C8" i="21"/>
  <c r="D8" i="21"/>
  <c r="D2" i="21"/>
  <c r="C3" i="21"/>
  <c r="C5" i="21"/>
  <c r="C6" i="21"/>
  <c r="C7" i="21"/>
  <c r="C10" i="21"/>
  <c r="C24" i="21"/>
  <c r="C25" i="21"/>
  <c r="C26" i="21"/>
  <c r="C38" i="21"/>
  <c r="C40" i="21"/>
  <c r="C27" i="21"/>
  <c r="C41" i="21"/>
  <c r="C28" i="21"/>
  <c r="D21" i="21"/>
  <c r="D29" i="21"/>
  <c r="D34" i="21"/>
  <c r="D36" i="21"/>
  <c r="D35" i="21"/>
  <c r="D27" i="21"/>
  <c r="D28" i="21"/>
  <c r="D26" i="21" l="1"/>
  <c r="D39" i="21"/>
  <c r="E18" i="26"/>
  <c r="E2" i="26"/>
  <c r="E35" i="26"/>
  <c r="E34" i="26"/>
  <c r="E26" i="26"/>
  <c r="E42" i="26"/>
  <c r="E19" i="26"/>
  <c r="E29" i="26"/>
  <c r="E30" i="26"/>
  <c r="E7" i="26"/>
  <c r="F7" i="26" s="1"/>
  <c r="E43" i="26"/>
  <c r="F43" i="26" s="1"/>
  <c r="G43" i="26" s="1"/>
  <c r="H43" i="26" s="1"/>
  <c r="E24" i="26"/>
  <c r="E14" i="26"/>
  <c r="E37" i="26"/>
  <c r="E38" i="26"/>
  <c r="E15" i="26"/>
  <c r="E9" i="26"/>
  <c r="E4" i="26"/>
  <c r="E6" i="26"/>
  <c r="E32" i="26"/>
  <c r="E22" i="26"/>
  <c r="E40" i="26"/>
  <c r="E11" i="26"/>
  <c r="E3" i="26"/>
  <c r="E23" i="26"/>
  <c r="E33" i="26"/>
  <c r="E12" i="26"/>
  <c r="E36" i="26"/>
  <c r="E13" i="26"/>
  <c r="E27" i="26"/>
  <c r="E10" i="26"/>
  <c r="E44" i="26"/>
  <c r="F44" i="26" s="1"/>
  <c r="G44" i="26" s="1"/>
  <c r="H44" i="26" s="1"/>
  <c r="E25" i="26"/>
  <c r="E31" i="26"/>
  <c r="E8" i="26"/>
  <c r="F8" i="26" s="1"/>
  <c r="E20" i="26"/>
  <c r="E17" i="26"/>
  <c r="E41" i="26"/>
  <c r="E39" i="26"/>
  <c r="E16" i="26"/>
  <c r="E28" i="26"/>
  <c r="E5" i="26"/>
  <c r="E21" i="26"/>
  <c r="D31" i="21"/>
  <c r="J17" i="31"/>
  <c r="A10" i="26"/>
  <c r="D42" i="21"/>
  <c r="D43" i="21"/>
  <c r="D25" i="21"/>
  <c r="D41" i="21"/>
  <c r="D7" i="21"/>
  <c r="D10" i="21"/>
  <c r="D6" i="21"/>
  <c r="D40" i="21"/>
  <c r="D24" i="21"/>
  <c r="D3" i="21"/>
  <c r="D38" i="21"/>
  <c r="D5" i="21"/>
  <c r="E1" i="25" l="1"/>
  <c r="B8" i="25" s="1"/>
  <c r="F5" i="26"/>
  <c r="G5" i="26" s="1"/>
  <c r="H5" i="26" s="1"/>
  <c r="F4" i="26"/>
  <c r="G4" i="26" s="1"/>
  <c r="H4" i="26" s="1"/>
  <c r="F6" i="26"/>
  <c r="G6" i="26" s="1"/>
  <c r="H6" i="26" s="1"/>
  <c r="F3" i="26"/>
  <c r="G3" i="26" s="1"/>
  <c r="H3" i="26" s="1"/>
  <c r="F2" i="26"/>
  <c r="G2" i="26" s="1"/>
  <c r="H2" i="26" s="1"/>
  <c r="G7" i="26"/>
  <c r="H7" i="26" s="1"/>
  <c r="G8" i="26"/>
  <c r="H8" i="26" s="1"/>
  <c r="J18" i="31"/>
  <c r="F9" i="26"/>
  <c r="A11" i="26"/>
  <c r="G9" i="26" l="1"/>
  <c r="H9" i="26" s="1"/>
  <c r="J19" i="31"/>
  <c r="F10" i="26"/>
  <c r="A12" i="26"/>
  <c r="G10" i="26" l="1"/>
  <c r="H10" i="26" s="1"/>
  <c r="J20" i="31"/>
  <c r="F11" i="26"/>
  <c r="A13" i="26"/>
  <c r="G11" i="26" l="1"/>
  <c r="H11" i="26" s="1"/>
  <c r="J21" i="31"/>
  <c r="F12" i="26"/>
  <c r="A14" i="26"/>
  <c r="G12" i="26" l="1"/>
  <c r="H12" i="26" s="1"/>
  <c r="J22" i="31"/>
  <c r="F13" i="26"/>
  <c r="A15" i="26"/>
  <c r="G13" i="26" l="1"/>
  <c r="H13" i="26" s="1"/>
  <c r="J23" i="31"/>
  <c r="F14" i="26"/>
  <c r="A16" i="26"/>
  <c r="G14" i="26" l="1"/>
  <c r="H14" i="26" s="1"/>
  <c r="J24" i="31"/>
  <c r="F15" i="26"/>
  <c r="A17" i="26"/>
  <c r="G15" i="26" l="1"/>
  <c r="H15" i="26" s="1"/>
  <c r="J25" i="31"/>
  <c r="F16" i="26"/>
  <c r="A18" i="26"/>
  <c r="G16" i="26" l="1"/>
  <c r="H16" i="26" s="1"/>
  <c r="J26" i="31"/>
  <c r="F17" i="26"/>
  <c r="A19" i="26"/>
  <c r="G17" i="26" l="1"/>
  <c r="H17" i="26" s="1"/>
  <c r="J27" i="31"/>
  <c r="F18" i="26"/>
  <c r="A20" i="26"/>
  <c r="G18" i="26" l="1"/>
  <c r="H18" i="26" s="1"/>
  <c r="J28" i="31"/>
  <c r="F19" i="26"/>
  <c r="A21" i="26"/>
  <c r="G19" i="26" l="1"/>
  <c r="H19" i="26" s="1"/>
  <c r="J29" i="31"/>
  <c r="F20" i="26"/>
  <c r="A22" i="26"/>
  <c r="G20" i="26" l="1"/>
  <c r="H20" i="26" s="1"/>
  <c r="J30" i="31"/>
  <c r="F21" i="26"/>
  <c r="A23" i="26"/>
  <c r="G21" i="26" l="1"/>
  <c r="H21" i="26" s="1"/>
  <c r="J31" i="31"/>
  <c r="F22" i="26"/>
  <c r="A24" i="26"/>
  <c r="E2" i="31"/>
  <c r="G22" i="26" l="1"/>
  <c r="H22" i="26" s="1"/>
  <c r="J32" i="31"/>
  <c r="F23" i="26"/>
  <c r="A25" i="26"/>
  <c r="G23" i="26" l="1"/>
  <c r="H23" i="26" s="1"/>
  <c r="J33" i="31"/>
  <c r="F24" i="26"/>
  <c r="A26" i="26"/>
  <c r="G24" i="26" l="1"/>
  <c r="H24" i="26" s="1"/>
  <c r="J34" i="31"/>
  <c r="F25" i="26"/>
  <c r="A27" i="26"/>
  <c r="G25" i="26" l="1"/>
  <c r="H25" i="26" s="1"/>
  <c r="J35" i="31"/>
  <c r="F26" i="26"/>
  <c r="A28" i="26"/>
  <c r="G26" i="26" l="1"/>
  <c r="H26" i="26" s="1"/>
  <c r="J36" i="31"/>
  <c r="F27" i="26"/>
  <c r="A29" i="26"/>
  <c r="G27" i="26" l="1"/>
  <c r="H27" i="26" s="1"/>
  <c r="J37" i="31"/>
  <c r="F28" i="26"/>
  <c r="A30" i="26"/>
  <c r="G28" i="26" l="1"/>
  <c r="H28" i="26" s="1"/>
  <c r="J38" i="31"/>
  <c r="F29" i="26"/>
  <c r="A31" i="26"/>
  <c r="G29" i="26" l="1"/>
  <c r="H29" i="26" s="1"/>
  <c r="J39" i="31"/>
  <c r="F30" i="26"/>
  <c r="A32" i="26"/>
  <c r="G30" i="26" l="1"/>
  <c r="H30" i="26" s="1"/>
  <c r="J40" i="31"/>
  <c r="F31" i="26"/>
  <c r="A33" i="26"/>
  <c r="G31" i="26" l="1"/>
  <c r="H31" i="26" s="1"/>
  <c r="J41" i="31"/>
  <c r="F32" i="26"/>
  <c r="A34" i="26"/>
  <c r="G32" i="26" l="1"/>
  <c r="H32" i="26" s="1"/>
  <c r="J42" i="31"/>
  <c r="F33" i="26"/>
  <c r="A35" i="26"/>
  <c r="G33" i="26" l="1"/>
  <c r="H33" i="26" s="1"/>
  <c r="J43" i="31"/>
  <c r="F34" i="26"/>
  <c r="A36" i="26"/>
  <c r="G34" i="26" l="1"/>
  <c r="H34" i="26" s="1"/>
  <c r="J44" i="31"/>
  <c r="F35" i="26"/>
  <c r="A37" i="26"/>
  <c r="G35" i="26" l="1"/>
  <c r="H35" i="26" s="1"/>
  <c r="J45" i="31"/>
  <c r="F36" i="26"/>
  <c r="A38" i="26"/>
  <c r="G36" i="26" l="1"/>
  <c r="H36" i="26" s="1"/>
  <c r="J46" i="31"/>
  <c r="F37" i="26"/>
  <c r="A39" i="26"/>
  <c r="G37" i="26" l="1"/>
  <c r="H37" i="26" s="1"/>
  <c r="J47" i="31"/>
  <c r="F38" i="26"/>
  <c r="A40" i="26"/>
  <c r="G38" i="26" l="1"/>
  <c r="H38" i="26" s="1"/>
  <c r="J48" i="31"/>
  <c r="F39" i="26"/>
  <c r="A41" i="26"/>
  <c r="G39" i="26" l="1"/>
  <c r="H39" i="26" s="1"/>
  <c r="J49" i="31"/>
  <c r="F40" i="26"/>
  <c r="A42" i="26"/>
  <c r="A43" i="26" s="1"/>
  <c r="A44" i="26" s="1"/>
  <c r="G40" i="26" l="1"/>
  <c r="H40" i="26" s="1"/>
  <c r="J50" i="31"/>
  <c r="F42" i="26"/>
  <c r="F41" i="26"/>
  <c r="G42" i="26" l="1"/>
  <c r="H42" i="26" s="1"/>
  <c r="G41" i="26"/>
  <c r="H41" i="26" s="1"/>
  <c r="J51" i="31"/>
  <c r="J52" i="31" l="1"/>
  <c r="J53" i="31" l="1"/>
  <c r="J54" i="31" l="1"/>
  <c r="J55" i="31" l="1"/>
  <c r="J56" i="31" l="1"/>
  <c r="J57" i="31" l="1"/>
  <c r="J58" i="31" l="1"/>
  <c r="J59" i="31" l="1"/>
  <c r="J60" i="31" l="1"/>
  <c r="J61" i="31" l="1"/>
  <c r="N5" i="25"/>
  <c r="Q5" i="25"/>
  <c r="E5" i="31"/>
  <c r="F5" i="25"/>
  <c r="D5" i="25"/>
  <c r="O5" i="25"/>
  <c r="C5" i="25"/>
  <c r="M5" i="25"/>
  <c r="E5" i="25"/>
  <c r="J5" i="25"/>
  <c r="I5" i="25"/>
  <c r="K5" i="25"/>
  <c r="B9" i="25"/>
  <c r="P5" i="25"/>
  <c r="H5" i="25"/>
  <c r="L5" i="25"/>
  <c r="G5" i="25"/>
  <c r="K24" i="31" l="1"/>
  <c r="K39" i="31"/>
  <c r="K58" i="31"/>
  <c r="K22" i="31"/>
  <c r="K45" i="31"/>
  <c r="K44" i="31"/>
  <c r="K46" i="31"/>
  <c r="K51" i="31"/>
  <c r="K34" i="31"/>
  <c r="K33" i="31"/>
  <c r="K28" i="31"/>
  <c r="K26" i="31"/>
  <c r="K54" i="31"/>
  <c r="K57" i="31"/>
  <c r="K14" i="31"/>
  <c r="K37" i="31"/>
  <c r="K60" i="31"/>
  <c r="K43" i="31"/>
  <c r="K16" i="31"/>
  <c r="K31" i="31"/>
  <c r="K50" i="31"/>
  <c r="K13" i="31"/>
  <c r="K12" i="31"/>
  <c r="K35" i="31"/>
  <c r="K41" i="31"/>
  <c r="K52" i="31"/>
  <c r="K56" i="31"/>
  <c r="K21" i="31"/>
  <c r="K7" i="31"/>
  <c r="K49" i="31"/>
  <c r="K5" i="31"/>
  <c r="K20" i="31"/>
  <c r="K11" i="31"/>
  <c r="K8" i="31"/>
  <c r="K23" i="31"/>
  <c r="K42" i="31"/>
  <c r="K3" i="31"/>
  <c r="K53" i="31"/>
  <c r="K15" i="31"/>
  <c r="K6" i="31"/>
  <c r="K19" i="31"/>
  <c r="K25" i="31"/>
  <c r="K48" i="31"/>
  <c r="K38" i="31"/>
  <c r="K61" i="31"/>
  <c r="K18" i="31"/>
  <c r="K17" i="31"/>
  <c r="K40" i="31"/>
  <c r="K55" i="31"/>
  <c r="K30" i="31"/>
  <c r="K29" i="31"/>
  <c r="K36" i="31"/>
  <c r="K59" i="31"/>
  <c r="K10" i="31"/>
  <c r="K32" i="31"/>
  <c r="K47" i="31"/>
  <c r="K27" i="31"/>
  <c r="K9" i="31"/>
  <c r="K4" i="31"/>
  <c r="K2" i="31"/>
  <c r="L2" i="31" s="1"/>
  <c r="M2" i="31" s="1"/>
  <c r="R9" i="25"/>
  <c r="J62" i="31"/>
  <c r="K62" i="31" s="1"/>
  <c r="M9" i="25"/>
  <c r="O9" i="25"/>
  <c r="N9" i="25"/>
  <c r="P9" i="25"/>
  <c r="Q9" i="25"/>
  <c r="K9" i="25"/>
  <c r="L9" i="25"/>
  <c r="J9" i="25"/>
  <c r="I9" i="25"/>
  <c r="H9" i="25"/>
  <c r="G9" i="25"/>
  <c r="E9" i="25"/>
  <c r="D9" i="25"/>
  <c r="B10" i="25"/>
  <c r="N2" i="31"/>
  <c r="L17" i="31" l="1"/>
  <c r="M17" i="31" s="1"/>
  <c r="L16" i="31"/>
  <c r="M16" i="31" s="1"/>
  <c r="L15" i="31"/>
  <c r="M15" i="31" s="1"/>
  <c r="L14" i="31"/>
  <c r="M14" i="31" s="1"/>
  <c r="L13" i="31"/>
  <c r="M13" i="31" s="1"/>
  <c r="L12" i="31"/>
  <c r="M12" i="31" s="1"/>
  <c r="L11" i="31"/>
  <c r="M11" i="31" s="1"/>
  <c r="L10" i="31"/>
  <c r="M10" i="31" s="1"/>
  <c r="L9" i="31"/>
  <c r="M9" i="31" s="1"/>
  <c r="L8" i="31"/>
  <c r="M8" i="31" s="1"/>
  <c r="L7" i="31"/>
  <c r="M7" i="31" s="1"/>
  <c r="L6" i="31"/>
  <c r="M6" i="31" s="1"/>
  <c r="L4" i="31"/>
  <c r="M4" i="31" s="1"/>
  <c r="L5" i="31"/>
  <c r="M5" i="31" s="1"/>
  <c r="L3" i="31"/>
  <c r="M3" i="31" s="1"/>
  <c r="O2" i="31"/>
  <c r="R10" i="25"/>
  <c r="L61" i="31"/>
  <c r="M61" i="31" s="1"/>
  <c r="L34" i="31"/>
  <c r="M34" i="31" s="1"/>
  <c r="L51" i="31"/>
  <c r="M51" i="31" s="1"/>
  <c r="L43" i="31"/>
  <c r="M43" i="31" s="1"/>
  <c r="L35" i="31"/>
  <c r="M35" i="31" s="1"/>
  <c r="L27" i="31"/>
  <c r="M27" i="31" s="1"/>
  <c r="L19" i="31"/>
  <c r="M19" i="31" s="1"/>
  <c r="L52" i="31"/>
  <c r="M52" i="31" s="1"/>
  <c r="L44" i="31"/>
  <c r="M44" i="31" s="1"/>
  <c r="L36" i="31"/>
  <c r="M36" i="31" s="1"/>
  <c r="L28" i="31"/>
  <c r="M28" i="31" s="1"/>
  <c r="L20" i="31"/>
  <c r="M20" i="31" s="1"/>
  <c r="L60" i="31"/>
  <c r="M60" i="31" s="1"/>
  <c r="L50" i="31"/>
  <c r="M50" i="31" s="1"/>
  <c r="L18" i="31"/>
  <c r="M18" i="31" s="1"/>
  <c r="L53" i="31"/>
  <c r="M53" i="31" s="1"/>
  <c r="L29" i="31"/>
  <c r="M29" i="31" s="1"/>
  <c r="L46" i="31"/>
  <c r="M46" i="31" s="1"/>
  <c r="L22" i="31"/>
  <c r="M22" i="31" s="1"/>
  <c r="L55" i="31"/>
  <c r="M55" i="31" s="1"/>
  <c r="L47" i="31"/>
  <c r="M47" i="31" s="1"/>
  <c r="L39" i="31"/>
  <c r="M39" i="31" s="1"/>
  <c r="L31" i="31"/>
  <c r="M31" i="31" s="1"/>
  <c r="L23" i="31"/>
  <c r="M23" i="31" s="1"/>
  <c r="L58" i="31"/>
  <c r="M58" i="31" s="1"/>
  <c r="L26" i="31"/>
  <c r="M26" i="31" s="1"/>
  <c r="L45" i="31"/>
  <c r="M45" i="31" s="1"/>
  <c r="L21" i="31"/>
  <c r="M21" i="31" s="1"/>
  <c r="L30" i="31"/>
  <c r="M30" i="31" s="1"/>
  <c r="L56" i="31"/>
  <c r="M56" i="31" s="1"/>
  <c r="L48" i="31"/>
  <c r="M48" i="31" s="1"/>
  <c r="L40" i="31"/>
  <c r="M40" i="31" s="1"/>
  <c r="L32" i="31"/>
  <c r="M32" i="31" s="1"/>
  <c r="L24" i="31"/>
  <c r="M24" i="31" s="1"/>
  <c r="L42" i="31"/>
  <c r="M42" i="31" s="1"/>
  <c r="L59" i="31"/>
  <c r="M59" i="31" s="1"/>
  <c r="L37" i="31"/>
  <c r="M37" i="31" s="1"/>
  <c r="L54" i="31"/>
  <c r="M54" i="31" s="1"/>
  <c r="L38" i="31"/>
  <c r="M38" i="31" s="1"/>
  <c r="L57" i="31"/>
  <c r="M57" i="31" s="1"/>
  <c r="L49" i="31"/>
  <c r="M49" i="31" s="1"/>
  <c r="L41" i="31"/>
  <c r="M41" i="31" s="1"/>
  <c r="L33" i="31"/>
  <c r="M33" i="31" s="1"/>
  <c r="L25" i="31"/>
  <c r="M25" i="31" s="1"/>
  <c r="L62" i="31"/>
  <c r="J63" i="31"/>
  <c r="K63" i="31" s="1"/>
  <c r="M10" i="25"/>
  <c r="N10" i="25"/>
  <c r="Q10" i="25"/>
  <c r="P10" i="25"/>
  <c r="O10" i="25"/>
  <c r="J10" i="25"/>
  <c r="L10" i="25"/>
  <c r="K10" i="25"/>
  <c r="I10" i="25"/>
  <c r="H10" i="25"/>
  <c r="G10" i="25"/>
  <c r="N55" i="31"/>
  <c r="N16" i="31"/>
  <c r="N4" i="31"/>
  <c r="P53" i="31"/>
  <c r="N9" i="31"/>
  <c r="C10" i="25"/>
  <c r="P4" i="31"/>
  <c r="P36" i="31"/>
  <c r="P41" i="31"/>
  <c r="P38" i="31"/>
  <c r="P31" i="31"/>
  <c r="P9" i="31"/>
  <c r="P24" i="31"/>
  <c r="N30" i="31"/>
  <c r="N5" i="31"/>
  <c r="P35" i="31"/>
  <c r="P60" i="31"/>
  <c r="P21" i="31"/>
  <c r="N42" i="31"/>
  <c r="P40" i="31"/>
  <c r="N12" i="31"/>
  <c r="N11" i="31"/>
  <c r="N32" i="31"/>
  <c r="N56" i="31"/>
  <c r="P25" i="31"/>
  <c r="P14" i="31"/>
  <c r="N6" i="31"/>
  <c r="N7" i="31"/>
  <c r="P44" i="31"/>
  <c r="P27" i="31"/>
  <c r="P6" i="31"/>
  <c r="N17" i="31"/>
  <c r="N3" i="31"/>
  <c r="P20" i="31"/>
  <c r="N52" i="31"/>
  <c r="P12" i="31"/>
  <c r="D10" i="25"/>
  <c r="P50" i="31"/>
  <c r="N10" i="31"/>
  <c r="N61" i="31"/>
  <c r="N37" i="31"/>
  <c r="P2" i="31"/>
  <c r="N13" i="31"/>
  <c r="N28" i="31"/>
  <c r="N34" i="31"/>
  <c r="N14" i="31"/>
  <c r="P51" i="31"/>
  <c r="P22" i="31"/>
  <c r="P17" i="31"/>
  <c r="N59" i="31"/>
  <c r="P13" i="31"/>
  <c r="N15" i="31"/>
  <c r="P58" i="31"/>
  <c r="N26" i="31"/>
  <c r="P57" i="31"/>
  <c r="B11" i="25"/>
  <c r="N48" i="31"/>
  <c r="P33" i="31"/>
  <c r="P54" i="31"/>
  <c r="P43" i="31"/>
  <c r="N46" i="31"/>
  <c r="P5" i="31"/>
  <c r="P15" i="31"/>
  <c r="N8" i="31"/>
  <c r="P16" i="31"/>
  <c r="N29" i="31"/>
  <c r="P19" i="31"/>
  <c r="N45" i="31"/>
  <c r="P18" i="31"/>
  <c r="N23" i="31"/>
  <c r="E10" i="25"/>
  <c r="P8" i="31"/>
  <c r="P47" i="31"/>
  <c r="P7" i="31"/>
  <c r="P49" i="31"/>
  <c r="N39" i="31"/>
  <c r="O17" i="31" l="1"/>
  <c r="O15" i="31"/>
  <c r="R3" i="27"/>
  <c r="O12" i="31"/>
  <c r="O6" i="31"/>
  <c r="O3" i="31"/>
  <c r="O10" i="31"/>
  <c r="O16" i="31"/>
  <c r="O8" i="31"/>
  <c r="O14" i="31"/>
  <c r="O4" i="31"/>
  <c r="O7" i="31"/>
  <c r="O5" i="31"/>
  <c r="O9" i="31"/>
  <c r="O13" i="31"/>
  <c r="O11" i="31"/>
  <c r="R11" i="25"/>
  <c r="O42" i="31"/>
  <c r="O55" i="31"/>
  <c r="O52" i="31"/>
  <c r="O34" i="31"/>
  <c r="O56" i="31"/>
  <c r="O48" i="31"/>
  <c r="O45" i="31"/>
  <c r="O23" i="31"/>
  <c r="O26" i="31"/>
  <c r="O32" i="31"/>
  <c r="O37" i="31"/>
  <c r="O39" i="31"/>
  <c r="O59" i="31"/>
  <c r="O29" i="31"/>
  <c r="O30" i="31"/>
  <c r="O46" i="31"/>
  <c r="O28" i="31"/>
  <c r="O61" i="31"/>
  <c r="M62" i="31"/>
  <c r="L63" i="31"/>
  <c r="J64" i="31"/>
  <c r="K64" i="31" s="1"/>
  <c r="P11" i="25"/>
  <c r="M11" i="25"/>
  <c r="N11" i="25"/>
  <c r="O11" i="25"/>
  <c r="Q11" i="25"/>
  <c r="L11" i="25"/>
  <c r="K11" i="25"/>
  <c r="J11" i="25"/>
  <c r="I11" i="25"/>
  <c r="H11" i="25"/>
  <c r="P46" i="31"/>
  <c r="N31" i="31"/>
  <c r="N49" i="31"/>
  <c r="N38" i="31"/>
  <c r="N18" i="31"/>
  <c r="P29" i="31"/>
  <c r="P34" i="31"/>
  <c r="P56" i="31"/>
  <c r="D11" i="25"/>
  <c r="N27" i="31"/>
  <c r="N19" i="31"/>
  <c r="P59" i="31"/>
  <c r="E11" i="25"/>
  <c r="P45" i="31"/>
  <c r="N51" i="31"/>
  <c r="N20" i="31"/>
  <c r="P30" i="31"/>
  <c r="N54" i="31"/>
  <c r="P28" i="31"/>
  <c r="P39" i="31"/>
  <c r="N24" i="31"/>
  <c r="N62" i="31"/>
  <c r="P26" i="31"/>
  <c r="N53" i="31"/>
  <c r="N40" i="31"/>
  <c r="N43" i="31"/>
  <c r="N33" i="31"/>
  <c r="N57" i="31"/>
  <c r="N60" i="31"/>
  <c r="N44" i="31"/>
  <c r="N35" i="31"/>
  <c r="P23" i="31"/>
  <c r="P3" i="31"/>
  <c r="P61" i="31"/>
  <c r="P32" i="31"/>
  <c r="N25" i="31"/>
  <c r="N58" i="31"/>
  <c r="P42" i="31"/>
  <c r="P10" i="31"/>
  <c r="N36" i="31"/>
  <c r="N21" i="31"/>
  <c r="N50" i="31"/>
  <c r="N47" i="31"/>
  <c r="P37" i="31"/>
  <c r="N22" i="31"/>
  <c r="B12" i="25"/>
  <c r="P52" i="31"/>
  <c r="P48" i="31"/>
  <c r="P11" i="31"/>
  <c r="N41" i="31"/>
  <c r="P55" i="31"/>
  <c r="C11" i="25"/>
  <c r="R5" i="27" l="1"/>
  <c r="S12" i="27"/>
  <c r="R18" i="27"/>
  <c r="R17" i="27"/>
  <c r="R16" i="27"/>
  <c r="R15" i="27"/>
  <c r="R14" i="27"/>
  <c r="R13" i="27"/>
  <c r="S11" i="27"/>
  <c r="R10" i="27"/>
  <c r="R9" i="27"/>
  <c r="S8" i="27"/>
  <c r="S7" i="27"/>
  <c r="R6" i="27"/>
  <c r="R4" i="27"/>
  <c r="O21" i="31"/>
  <c r="O60" i="31"/>
  <c r="O35" i="31"/>
  <c r="O19" i="31"/>
  <c r="O18" i="31"/>
  <c r="R20" i="27" s="1"/>
  <c r="O27" i="31"/>
  <c r="O31" i="31"/>
  <c r="O50" i="31"/>
  <c r="O25" i="31"/>
  <c r="O54" i="31"/>
  <c r="O53" i="31"/>
  <c r="O51" i="31"/>
  <c r="O49" i="31"/>
  <c r="O22" i="31"/>
  <c r="R12" i="25"/>
  <c r="O24" i="31"/>
  <c r="O40" i="31"/>
  <c r="O36" i="31"/>
  <c r="O47" i="31"/>
  <c r="O58" i="31"/>
  <c r="O38" i="31"/>
  <c r="O57" i="31"/>
  <c r="O41" i="31"/>
  <c r="O44" i="31"/>
  <c r="O33" i="31"/>
  <c r="O43" i="31"/>
  <c r="O20" i="31"/>
  <c r="O62" i="31"/>
  <c r="M63" i="31"/>
  <c r="L64" i="31"/>
  <c r="J65" i="31"/>
  <c r="K65" i="31" s="1"/>
  <c r="P12" i="25"/>
  <c r="Q12" i="25"/>
  <c r="N12" i="25"/>
  <c r="M12" i="25"/>
  <c r="O12" i="25"/>
  <c r="K12" i="25"/>
  <c r="J12" i="25"/>
  <c r="L12" i="25"/>
  <c r="I12" i="25"/>
  <c r="H12" i="25"/>
  <c r="E12" i="25"/>
  <c r="P62" i="31"/>
  <c r="C12" i="25"/>
  <c r="D12" i="25"/>
  <c r="B13" i="25"/>
  <c r="N63" i="31"/>
  <c r="S22" i="27" l="1"/>
  <c r="R22" i="27"/>
  <c r="S21" i="27"/>
  <c r="R21" i="27"/>
  <c r="S17" i="27"/>
  <c r="S18" i="27"/>
  <c r="S20" i="27"/>
  <c r="R12" i="27"/>
  <c r="R7" i="27"/>
  <c r="R8" i="27"/>
  <c r="R11" i="27"/>
  <c r="R13" i="25"/>
  <c r="O63" i="31"/>
  <c r="M64" i="31"/>
  <c r="L65" i="31"/>
  <c r="J66" i="31"/>
  <c r="K66" i="31" s="1"/>
  <c r="N13" i="25"/>
  <c r="O13" i="25"/>
  <c r="P13" i="25"/>
  <c r="Q13" i="25"/>
  <c r="M13" i="25"/>
  <c r="K13" i="25"/>
  <c r="L13" i="25"/>
  <c r="J13" i="25"/>
  <c r="I13" i="25"/>
  <c r="H13" i="25"/>
  <c r="C13" i="25"/>
  <c r="E13" i="25"/>
  <c r="P64" i="31"/>
  <c r="B14" i="25"/>
  <c r="P63" i="31"/>
  <c r="D13" i="25"/>
  <c r="R14" i="25" l="1"/>
  <c r="M65" i="31"/>
  <c r="L66" i="31"/>
  <c r="J67" i="31"/>
  <c r="K67" i="31" s="1"/>
  <c r="P14" i="25"/>
  <c r="O14" i="25"/>
  <c r="N14" i="25"/>
  <c r="M14" i="25"/>
  <c r="Q14" i="25"/>
  <c r="K14" i="25"/>
  <c r="L14" i="25"/>
  <c r="J14" i="25"/>
  <c r="I14" i="25"/>
  <c r="H14" i="25"/>
  <c r="C14" i="25"/>
  <c r="B15" i="25"/>
  <c r="N65" i="31"/>
  <c r="N64" i="31"/>
  <c r="D14" i="25"/>
  <c r="E14" i="25"/>
  <c r="R15" i="25" l="1"/>
  <c r="O64" i="31"/>
  <c r="O65" i="31"/>
  <c r="M66" i="31"/>
  <c r="L67" i="31"/>
  <c r="J68" i="31"/>
  <c r="K68" i="31" s="1"/>
  <c r="N15" i="25"/>
  <c r="M15" i="25"/>
  <c r="Q15" i="25"/>
  <c r="P15" i="25"/>
  <c r="O15" i="25"/>
  <c r="K15" i="25"/>
  <c r="L15" i="25"/>
  <c r="J15" i="25"/>
  <c r="I15" i="25"/>
  <c r="H15" i="25"/>
  <c r="N66" i="31"/>
  <c r="C15" i="25"/>
  <c r="B16" i="25"/>
  <c r="E15" i="25"/>
  <c r="D15" i="25"/>
  <c r="P65" i="31"/>
  <c r="R16" i="25" l="1"/>
  <c r="O66" i="31"/>
  <c r="M67" i="31"/>
  <c r="L68" i="31"/>
  <c r="J69" i="31"/>
  <c r="K69" i="31" s="1"/>
  <c r="M16" i="25"/>
  <c r="O16" i="25"/>
  <c r="Q16" i="25"/>
  <c r="N16" i="25"/>
  <c r="P16" i="25"/>
  <c r="L16" i="25"/>
  <c r="K16" i="25"/>
  <c r="J16" i="25"/>
  <c r="I16" i="25"/>
  <c r="H16" i="25"/>
  <c r="G16" i="25"/>
  <c r="E16" i="25"/>
  <c r="D16" i="25"/>
  <c r="C16" i="25"/>
  <c r="B17" i="25"/>
  <c r="N67" i="31"/>
  <c r="P66" i="31"/>
  <c r="R17" i="25" l="1"/>
  <c r="O67" i="31"/>
  <c r="M68" i="31"/>
  <c r="L69" i="31"/>
  <c r="J70" i="31"/>
  <c r="K70" i="31" s="1"/>
  <c r="M17" i="25"/>
  <c r="N17" i="25"/>
  <c r="O17" i="25"/>
  <c r="P17" i="25"/>
  <c r="Q17" i="25"/>
  <c r="J17" i="25"/>
  <c r="K17" i="25"/>
  <c r="L17" i="25"/>
  <c r="H17" i="25"/>
  <c r="I17" i="25"/>
  <c r="B18" i="25"/>
  <c r="E17" i="25"/>
  <c r="C17" i="25"/>
  <c r="D17" i="25"/>
  <c r="P67" i="31"/>
  <c r="N68" i="31"/>
  <c r="R18" i="25" l="1"/>
  <c r="O68" i="31"/>
  <c r="M69" i="31"/>
  <c r="L70" i="31"/>
  <c r="J71" i="31"/>
  <c r="K71" i="31" s="1"/>
  <c r="O18" i="25"/>
  <c r="N18" i="25"/>
  <c r="Q18" i="25"/>
  <c r="P18" i="25"/>
  <c r="M18" i="25"/>
  <c r="J18" i="25"/>
  <c r="K18" i="25"/>
  <c r="L18" i="25"/>
  <c r="H18" i="25"/>
  <c r="I18" i="25"/>
  <c r="G18" i="25"/>
  <c r="B19" i="25"/>
  <c r="C18" i="25"/>
  <c r="D18" i="25"/>
  <c r="E18" i="25"/>
  <c r="P68" i="31"/>
  <c r="N69" i="31"/>
  <c r="R19" i="25" l="1"/>
  <c r="O69" i="31"/>
  <c r="M70" i="31"/>
  <c r="L71" i="31"/>
  <c r="J72" i="31"/>
  <c r="K72" i="31" s="1"/>
  <c r="M19" i="25"/>
  <c r="N19" i="25"/>
  <c r="P19" i="25"/>
  <c r="Q19" i="25"/>
  <c r="O19" i="25"/>
  <c r="K19" i="25"/>
  <c r="J19" i="25"/>
  <c r="L19" i="25"/>
  <c r="I19" i="25"/>
  <c r="H19" i="25"/>
  <c r="D19" i="25"/>
  <c r="B20" i="25"/>
  <c r="E19" i="25"/>
  <c r="C19" i="25"/>
  <c r="P69" i="31"/>
  <c r="N70" i="31"/>
  <c r="R20" i="25" l="1"/>
  <c r="O70" i="31"/>
  <c r="M71" i="31"/>
  <c r="L72" i="31"/>
  <c r="J73" i="31"/>
  <c r="K73" i="31" s="1"/>
  <c r="Q20" i="25"/>
  <c r="O20" i="25"/>
  <c r="N20" i="25"/>
  <c r="M20" i="25"/>
  <c r="P20" i="25"/>
  <c r="L20" i="25"/>
  <c r="J20" i="25"/>
  <c r="K20" i="25"/>
  <c r="I20" i="25"/>
  <c r="H20" i="25"/>
  <c r="C20" i="25"/>
  <c r="E20" i="25"/>
  <c r="G20" i="25"/>
  <c r="B21" i="25"/>
  <c r="D20" i="25"/>
  <c r="N71" i="31"/>
  <c r="P70" i="31"/>
  <c r="R21" i="25" l="1"/>
  <c r="O71" i="31"/>
  <c r="M72" i="31"/>
  <c r="L73" i="31"/>
  <c r="J74" i="31"/>
  <c r="K74" i="31" s="1"/>
  <c r="P21" i="25"/>
  <c r="M21" i="25"/>
  <c r="Q21" i="25"/>
  <c r="O21" i="25"/>
  <c r="N21" i="25"/>
  <c r="K21" i="25"/>
  <c r="L21" i="25"/>
  <c r="J21" i="25"/>
  <c r="I21" i="25"/>
  <c r="H21" i="25"/>
  <c r="C21" i="25"/>
  <c r="D21" i="25"/>
  <c r="E21" i="25"/>
  <c r="B22" i="25"/>
  <c r="P71" i="31"/>
  <c r="N72" i="31"/>
  <c r="R22" i="25" l="1"/>
  <c r="O72" i="31"/>
  <c r="M73" i="31"/>
  <c r="L74" i="31"/>
  <c r="J75" i="31"/>
  <c r="K75" i="31" s="1"/>
  <c r="P22" i="25"/>
  <c r="O22" i="25"/>
  <c r="N22" i="25"/>
  <c r="M22" i="25"/>
  <c r="Q22" i="25"/>
  <c r="K22" i="25"/>
  <c r="L22" i="25"/>
  <c r="J22" i="25"/>
  <c r="I22" i="25"/>
  <c r="H22" i="25"/>
  <c r="D22" i="25"/>
  <c r="G22" i="25"/>
  <c r="B23" i="25"/>
  <c r="C22" i="25"/>
  <c r="E22" i="25"/>
  <c r="N73" i="31"/>
  <c r="P72" i="31"/>
  <c r="R23" i="25" l="1"/>
  <c r="O73" i="31"/>
  <c r="M74" i="31"/>
  <c r="L75" i="31"/>
  <c r="J76" i="31"/>
  <c r="K76" i="31" s="1"/>
  <c r="N23" i="25"/>
  <c r="Q23" i="25"/>
  <c r="O23" i="25"/>
  <c r="M23" i="25"/>
  <c r="P23" i="25"/>
  <c r="K23" i="25"/>
  <c r="L23" i="25"/>
  <c r="J23" i="25"/>
  <c r="H23" i="25"/>
  <c r="I23" i="25"/>
  <c r="E23" i="25"/>
  <c r="D23" i="25"/>
  <c r="C23" i="25"/>
  <c r="B24" i="25"/>
  <c r="N74" i="31"/>
  <c r="P73" i="31"/>
  <c r="R24" i="25" l="1"/>
  <c r="O74" i="31"/>
  <c r="M75" i="31"/>
  <c r="L76" i="31"/>
  <c r="J77" i="31"/>
  <c r="K77" i="31" s="1"/>
  <c r="N24" i="25"/>
  <c r="Q24" i="25"/>
  <c r="P24" i="25"/>
  <c r="M24" i="25"/>
  <c r="O24" i="25"/>
  <c r="L24" i="25"/>
  <c r="J24" i="25"/>
  <c r="K24" i="25"/>
  <c r="I24" i="25"/>
  <c r="H24" i="25"/>
  <c r="C24" i="25"/>
  <c r="B25" i="25"/>
  <c r="E24" i="25"/>
  <c r="D24" i="25"/>
  <c r="P74" i="31"/>
  <c r="N75" i="31"/>
  <c r="R25" i="25" l="1"/>
  <c r="O75" i="31"/>
  <c r="M76" i="31"/>
  <c r="L77" i="31"/>
  <c r="J78" i="31"/>
  <c r="K78" i="31" s="1"/>
  <c r="M25" i="25"/>
  <c r="O25" i="25"/>
  <c r="N25" i="25"/>
  <c r="Q25" i="25"/>
  <c r="P25" i="25"/>
  <c r="J25" i="25"/>
  <c r="K25" i="25"/>
  <c r="L25" i="25"/>
  <c r="I25" i="25"/>
  <c r="H25" i="25"/>
  <c r="B26" i="25"/>
  <c r="G25" i="25"/>
  <c r="D25" i="25"/>
  <c r="E25" i="25"/>
  <c r="P75" i="31"/>
  <c r="N76" i="31"/>
  <c r="R26" i="25" l="1"/>
  <c r="O76" i="31"/>
  <c r="M77" i="31"/>
  <c r="L78" i="31"/>
  <c r="J79" i="31"/>
  <c r="K79" i="31" s="1"/>
  <c r="Q26" i="25"/>
  <c r="M26" i="25"/>
  <c r="P26" i="25"/>
  <c r="N26" i="25"/>
  <c r="O26" i="25"/>
  <c r="L26" i="25"/>
  <c r="J26" i="25"/>
  <c r="K26" i="25"/>
  <c r="I26" i="25"/>
  <c r="H26" i="25"/>
  <c r="E26" i="25"/>
  <c r="D26" i="25"/>
  <c r="B27" i="25"/>
  <c r="P76" i="31"/>
  <c r="N77" i="31"/>
  <c r="R27" i="25" l="1"/>
  <c r="O77" i="31"/>
  <c r="M78" i="31"/>
  <c r="L79" i="31"/>
  <c r="J80" i="31"/>
  <c r="K80" i="31" s="1"/>
  <c r="Q27" i="25"/>
  <c r="N27" i="25"/>
  <c r="M27" i="25"/>
  <c r="O27" i="25"/>
  <c r="P27" i="25"/>
  <c r="J27" i="25"/>
  <c r="L27" i="25"/>
  <c r="K27" i="25"/>
  <c r="H27" i="25"/>
  <c r="I27" i="25"/>
  <c r="D27" i="25"/>
  <c r="E27" i="25"/>
  <c r="B28" i="25"/>
  <c r="P77" i="31"/>
  <c r="N78" i="31"/>
  <c r="R28" i="25" l="1"/>
  <c r="O78" i="31"/>
  <c r="M79" i="31"/>
  <c r="L80" i="31"/>
  <c r="J81" i="31"/>
  <c r="K81" i="31" s="1"/>
  <c r="O28" i="25"/>
  <c r="P28" i="25"/>
  <c r="N28" i="25"/>
  <c r="Q28" i="25"/>
  <c r="M28" i="25"/>
  <c r="L28" i="25"/>
  <c r="J28" i="25"/>
  <c r="K28" i="25"/>
  <c r="I28" i="25"/>
  <c r="H28" i="25"/>
  <c r="D28" i="25"/>
  <c r="B29" i="25"/>
  <c r="E28" i="25"/>
  <c r="P78" i="31"/>
  <c r="N79" i="31"/>
  <c r="R29" i="25" l="1"/>
  <c r="O79" i="31"/>
  <c r="M80" i="31"/>
  <c r="L81" i="31"/>
  <c r="J82" i="31"/>
  <c r="K82" i="31" s="1"/>
  <c r="P29" i="25"/>
  <c r="O29" i="25"/>
  <c r="M29" i="25"/>
  <c r="N29" i="25"/>
  <c r="Q29" i="25"/>
  <c r="K29" i="25"/>
  <c r="L29" i="25"/>
  <c r="J29" i="25"/>
  <c r="I29" i="25"/>
  <c r="H29" i="25"/>
  <c r="E29" i="25"/>
  <c r="B30" i="25"/>
  <c r="C29" i="25"/>
  <c r="D29" i="25"/>
  <c r="N80" i="31"/>
  <c r="P79" i="31"/>
  <c r="R30" i="25" l="1"/>
  <c r="O80" i="31"/>
  <c r="M81" i="31"/>
  <c r="L82" i="31"/>
  <c r="J83" i="31"/>
  <c r="K83" i="31" s="1"/>
  <c r="N30" i="25"/>
  <c r="P30" i="25"/>
  <c r="M30" i="25"/>
  <c r="L30" i="25"/>
  <c r="Q30" i="25"/>
  <c r="O30" i="25"/>
  <c r="K30" i="25"/>
  <c r="J30" i="25"/>
  <c r="I30" i="25"/>
  <c r="H30" i="25"/>
  <c r="E30" i="25"/>
  <c r="C30" i="25"/>
  <c r="B31" i="25"/>
  <c r="D30" i="25"/>
  <c r="P80" i="31"/>
  <c r="N81" i="31"/>
  <c r="R31" i="25" l="1"/>
  <c r="O81" i="31"/>
  <c r="M82" i="31"/>
  <c r="L83" i="31"/>
  <c r="J84" i="31"/>
  <c r="K84" i="31" s="1"/>
  <c r="M31" i="25"/>
  <c r="L31" i="25"/>
  <c r="N31" i="25"/>
  <c r="K31" i="25"/>
  <c r="Q31" i="25"/>
  <c r="P31" i="25"/>
  <c r="J31" i="25"/>
  <c r="O31" i="25"/>
  <c r="H31" i="25"/>
  <c r="I31" i="25"/>
  <c r="C31" i="25"/>
  <c r="D31" i="25"/>
  <c r="B32" i="25"/>
  <c r="E31" i="25"/>
  <c r="P81" i="31"/>
  <c r="N82" i="31"/>
  <c r="R32" i="25" l="1"/>
  <c r="O82" i="31"/>
  <c r="M83" i="31"/>
  <c r="L84" i="31"/>
  <c r="J85" i="31"/>
  <c r="K85" i="31" s="1"/>
  <c r="N32" i="25"/>
  <c r="J32" i="25"/>
  <c r="L32" i="25"/>
  <c r="P32" i="25"/>
  <c r="M32" i="25"/>
  <c r="K32" i="25"/>
  <c r="O32" i="25"/>
  <c r="Q32" i="25"/>
  <c r="H32" i="25"/>
  <c r="I32" i="25"/>
  <c r="D32" i="25"/>
  <c r="E32" i="25"/>
  <c r="C32" i="25"/>
  <c r="B33" i="25"/>
  <c r="N83" i="31"/>
  <c r="P82" i="31"/>
  <c r="R33" i="25" l="1"/>
  <c r="O83" i="31"/>
  <c r="M84" i="31"/>
  <c r="L85" i="31"/>
  <c r="J86" i="31"/>
  <c r="K86" i="31" s="1"/>
  <c r="L33" i="25"/>
  <c r="P33" i="25"/>
  <c r="O33" i="25"/>
  <c r="M33" i="25"/>
  <c r="K33" i="25"/>
  <c r="Q33" i="25"/>
  <c r="N33" i="25"/>
  <c r="J33" i="25"/>
  <c r="H33" i="25"/>
  <c r="I33" i="25"/>
  <c r="C25" i="25"/>
  <c r="E33" i="25"/>
  <c r="D33" i="25"/>
  <c r="B34" i="25"/>
  <c r="C33" i="25"/>
  <c r="P83" i="31"/>
  <c r="N84" i="31"/>
  <c r="R34" i="25" l="1"/>
  <c r="O84" i="31"/>
  <c r="M85" i="31"/>
  <c r="L86" i="31"/>
  <c r="J87" i="31"/>
  <c r="K87" i="31" s="1"/>
  <c r="J34" i="25"/>
  <c r="N34" i="25"/>
  <c r="L34" i="25"/>
  <c r="M34" i="25"/>
  <c r="Q34" i="25"/>
  <c r="O34" i="25"/>
  <c r="K34" i="25"/>
  <c r="P34" i="25"/>
  <c r="I34" i="25"/>
  <c r="H34" i="25"/>
  <c r="D34" i="25"/>
  <c r="E34" i="25"/>
  <c r="C26" i="25"/>
  <c r="C34" i="25"/>
  <c r="B35" i="25"/>
  <c r="P84" i="31"/>
  <c r="N85" i="31"/>
  <c r="R35" i="25" l="1"/>
  <c r="O85" i="31"/>
  <c r="M86" i="31"/>
  <c r="L87" i="31"/>
  <c r="J88" i="31"/>
  <c r="K88" i="31" s="1"/>
  <c r="P35" i="25"/>
  <c r="M35" i="25"/>
  <c r="I35" i="25"/>
  <c r="H35" i="25"/>
  <c r="L35" i="25"/>
  <c r="J35" i="25"/>
  <c r="N35" i="25"/>
  <c r="Q35" i="25"/>
  <c r="O35" i="25"/>
  <c r="K35" i="25"/>
  <c r="E35" i="25"/>
  <c r="C35" i="25"/>
  <c r="D35" i="25"/>
  <c r="C28" i="25"/>
  <c r="C27" i="25"/>
  <c r="B36" i="25"/>
  <c r="P85" i="31"/>
  <c r="N86" i="31"/>
  <c r="R36" i="25" l="1"/>
  <c r="O86" i="31"/>
  <c r="M87" i="31"/>
  <c r="L88" i="31"/>
  <c r="J89" i="31"/>
  <c r="K89" i="31" s="1"/>
  <c r="O36" i="25"/>
  <c r="K36" i="25"/>
  <c r="N36" i="25"/>
  <c r="L36" i="25"/>
  <c r="H36" i="25"/>
  <c r="P36" i="25"/>
  <c r="Q36" i="25"/>
  <c r="I36" i="25"/>
  <c r="M36" i="25"/>
  <c r="J36" i="25"/>
  <c r="B37" i="25"/>
  <c r="C36" i="25"/>
  <c r="D36" i="25"/>
  <c r="E36" i="25"/>
  <c r="P86" i="31"/>
  <c r="N87" i="31"/>
  <c r="R37" i="25" l="1"/>
  <c r="O87" i="31"/>
  <c r="M88" i="31"/>
  <c r="L89" i="31"/>
  <c r="J90" i="31"/>
  <c r="K90" i="31" s="1"/>
  <c r="H37" i="25"/>
  <c r="Q37" i="25"/>
  <c r="N37" i="25"/>
  <c r="O37" i="25"/>
  <c r="L37" i="25"/>
  <c r="J37" i="25"/>
  <c r="M37" i="25"/>
  <c r="I37" i="25"/>
  <c r="K37" i="25"/>
  <c r="P37" i="25"/>
  <c r="B38" i="25"/>
  <c r="C37" i="25"/>
  <c r="D37" i="25"/>
  <c r="E37" i="25"/>
  <c r="P87" i="31"/>
  <c r="N88" i="31"/>
  <c r="R38" i="25" l="1"/>
  <c r="O88" i="31"/>
  <c r="M89" i="31"/>
  <c r="L90" i="31"/>
  <c r="J91" i="31"/>
  <c r="K91" i="31" s="1"/>
  <c r="H38" i="25"/>
  <c r="N38" i="25"/>
  <c r="J38" i="25"/>
  <c r="Q38" i="25"/>
  <c r="K38" i="25"/>
  <c r="P38" i="25"/>
  <c r="O38" i="25"/>
  <c r="I38" i="25"/>
  <c r="M38" i="25"/>
  <c r="L38" i="25"/>
  <c r="B39" i="25"/>
  <c r="D38" i="25"/>
  <c r="E38" i="25"/>
  <c r="C38" i="25"/>
  <c r="N89" i="31"/>
  <c r="P88" i="31"/>
  <c r="R39" i="25" l="1"/>
  <c r="O89" i="31"/>
  <c r="M90" i="31"/>
  <c r="L91" i="31"/>
  <c r="J92" i="31"/>
  <c r="K92" i="31" s="1"/>
  <c r="N39" i="25"/>
  <c r="P39" i="25"/>
  <c r="Q39" i="25"/>
  <c r="O39" i="25"/>
  <c r="H39" i="25"/>
  <c r="L39" i="25"/>
  <c r="I39" i="25"/>
  <c r="M39" i="25"/>
  <c r="K39" i="25"/>
  <c r="J39" i="25"/>
  <c r="C39" i="25"/>
  <c r="D39" i="25"/>
  <c r="E39" i="25"/>
  <c r="B40" i="25"/>
  <c r="P89" i="31"/>
  <c r="N90" i="31"/>
  <c r="R40" i="25" l="1"/>
  <c r="O90" i="31"/>
  <c r="M91" i="31"/>
  <c r="L92" i="31"/>
  <c r="J93" i="31"/>
  <c r="K93" i="31" s="1"/>
  <c r="E40" i="25"/>
  <c r="D40" i="25"/>
  <c r="Q40" i="25"/>
  <c r="H40" i="25"/>
  <c r="K40" i="25"/>
  <c r="L40" i="25"/>
  <c r="B41" i="25"/>
  <c r="P40" i="25"/>
  <c r="O40" i="25"/>
  <c r="M40" i="25"/>
  <c r="J40" i="25"/>
  <c r="C40" i="25"/>
  <c r="N40" i="25"/>
  <c r="I40" i="25"/>
  <c r="P90" i="31"/>
  <c r="N91" i="31"/>
  <c r="R41" i="25" l="1"/>
  <c r="O91" i="31"/>
  <c r="M92" i="31"/>
  <c r="L93" i="31"/>
  <c r="J94" i="31"/>
  <c r="K94" i="31" s="1"/>
  <c r="N41" i="25"/>
  <c r="I41" i="25"/>
  <c r="C41" i="25"/>
  <c r="E41" i="25"/>
  <c r="P41" i="25"/>
  <c r="J41" i="25"/>
  <c r="L41" i="25"/>
  <c r="Q41" i="25"/>
  <c r="H41" i="25"/>
  <c r="M41" i="25"/>
  <c r="D41" i="25"/>
  <c r="K41" i="25"/>
  <c r="O41" i="25"/>
  <c r="B42" i="25"/>
  <c r="P91" i="31"/>
  <c r="N92" i="31"/>
  <c r="R42" i="25" l="1"/>
  <c r="O92" i="31"/>
  <c r="M93" i="31"/>
  <c r="L94" i="31"/>
  <c r="J95" i="31"/>
  <c r="K95" i="31" s="1"/>
  <c r="E42" i="25"/>
  <c r="L42" i="25"/>
  <c r="C42" i="25"/>
  <c r="B43" i="25"/>
  <c r="K42" i="25"/>
  <c r="Q42" i="25"/>
  <c r="H42" i="25"/>
  <c r="M42" i="25"/>
  <c r="J42" i="25"/>
  <c r="I42" i="25"/>
  <c r="O42" i="25"/>
  <c r="N42" i="25"/>
  <c r="D42" i="25"/>
  <c r="P42" i="25"/>
  <c r="P92" i="31"/>
  <c r="N93" i="31"/>
  <c r="R43" i="25" l="1"/>
  <c r="O93" i="31"/>
  <c r="M94" i="31"/>
  <c r="L95" i="31"/>
  <c r="J96" i="31"/>
  <c r="K96" i="31" s="1"/>
  <c r="J43" i="25"/>
  <c r="N43" i="25"/>
  <c r="P43" i="25"/>
  <c r="O43" i="25"/>
  <c r="B44" i="25"/>
  <c r="K43" i="25"/>
  <c r="C43" i="25"/>
  <c r="H43" i="25"/>
  <c r="E43" i="25"/>
  <c r="M43" i="25"/>
  <c r="Q43" i="25"/>
  <c r="D43" i="25"/>
  <c r="I43" i="25"/>
  <c r="L43" i="25"/>
  <c r="P93" i="31"/>
  <c r="N94" i="31"/>
  <c r="R44" i="25" l="1"/>
  <c r="O94" i="31"/>
  <c r="M95" i="31"/>
  <c r="L96" i="31"/>
  <c r="J97" i="31"/>
  <c r="K97" i="31" s="1"/>
  <c r="O44" i="25"/>
  <c r="P44" i="25"/>
  <c r="L44" i="25"/>
  <c r="N44" i="25"/>
  <c r="D44" i="25"/>
  <c r="J44" i="25"/>
  <c r="E44" i="25"/>
  <c r="M44" i="25"/>
  <c r="H44" i="25"/>
  <c r="C44" i="25"/>
  <c r="K44" i="25"/>
  <c r="Q44" i="25"/>
  <c r="I44" i="25"/>
  <c r="B45" i="25"/>
  <c r="P94" i="31"/>
  <c r="N95" i="31"/>
  <c r="R45" i="25" l="1"/>
  <c r="O95" i="31"/>
  <c r="M96" i="31"/>
  <c r="L97" i="31"/>
  <c r="J98" i="31"/>
  <c r="K98" i="31" s="1"/>
  <c r="C45" i="25"/>
  <c r="K45" i="25"/>
  <c r="N45" i="25"/>
  <c r="M45" i="25"/>
  <c r="E45" i="25"/>
  <c r="H45" i="25"/>
  <c r="I45" i="25"/>
  <c r="B46" i="25"/>
  <c r="P45" i="25"/>
  <c r="L45" i="25"/>
  <c r="O45" i="25"/>
  <c r="J45" i="25"/>
  <c r="D45" i="25"/>
  <c r="Q45" i="25"/>
  <c r="P95" i="31"/>
  <c r="N96" i="31"/>
  <c r="R46" i="25" l="1"/>
  <c r="O96" i="31"/>
  <c r="M97" i="31"/>
  <c r="L98" i="31"/>
  <c r="J99" i="31"/>
  <c r="K99" i="31" s="1"/>
  <c r="C46" i="25"/>
  <c r="Q46" i="25"/>
  <c r="N46" i="25"/>
  <c r="L46" i="25"/>
  <c r="M46" i="25"/>
  <c r="I46" i="25"/>
  <c r="O46" i="25"/>
  <c r="P46" i="25"/>
  <c r="D46" i="25"/>
  <c r="K46" i="25"/>
  <c r="B47" i="25"/>
  <c r="J46" i="25"/>
  <c r="E46" i="25"/>
  <c r="H46" i="25"/>
  <c r="P96" i="31"/>
  <c r="N97" i="31"/>
  <c r="R47" i="25" l="1"/>
  <c r="O97" i="31"/>
  <c r="M98" i="31"/>
  <c r="L99" i="31"/>
  <c r="J100" i="31"/>
  <c r="K100" i="31" s="1"/>
  <c r="N47" i="25"/>
  <c r="J47" i="25"/>
  <c r="K47" i="25"/>
  <c r="Q47" i="25"/>
  <c r="O47" i="25"/>
  <c r="M47" i="25"/>
  <c r="D47" i="25"/>
  <c r="L47" i="25"/>
  <c r="B48" i="25"/>
  <c r="E47" i="25"/>
  <c r="P47" i="25"/>
  <c r="C47" i="25"/>
  <c r="I47" i="25"/>
  <c r="H47" i="25"/>
  <c r="P97" i="31"/>
  <c r="N98" i="31"/>
  <c r="R48" i="25" l="1"/>
  <c r="O98" i="31"/>
  <c r="M99" i="31"/>
  <c r="L100" i="31"/>
  <c r="J101" i="31"/>
  <c r="K101" i="31" s="1"/>
  <c r="D48" i="25"/>
  <c r="E48" i="25"/>
  <c r="K48" i="25"/>
  <c r="M48" i="25"/>
  <c r="N48" i="25"/>
  <c r="J48" i="25"/>
  <c r="Q48" i="25"/>
  <c r="H48" i="25"/>
  <c r="L48" i="25"/>
  <c r="P48" i="25"/>
  <c r="O48" i="25"/>
  <c r="I48" i="25"/>
  <c r="C48" i="25"/>
  <c r="B49" i="25"/>
  <c r="P98" i="31"/>
  <c r="N99" i="31"/>
  <c r="R49" i="25" l="1"/>
  <c r="O99" i="31"/>
  <c r="M100" i="31"/>
  <c r="L101" i="31"/>
  <c r="J102" i="31"/>
  <c r="K102" i="31" s="1"/>
  <c r="P49" i="25"/>
  <c r="N49" i="25"/>
  <c r="Q49" i="25"/>
  <c r="O49" i="25"/>
  <c r="J49" i="25"/>
  <c r="L49" i="25"/>
  <c r="M49" i="25"/>
  <c r="K49" i="25"/>
  <c r="I49" i="25"/>
  <c r="H49" i="25"/>
  <c r="E49" i="25"/>
  <c r="D49" i="25"/>
  <c r="B50" i="25"/>
  <c r="C49" i="25"/>
  <c r="N100" i="31"/>
  <c r="P99" i="31"/>
  <c r="K50" i="25" l="1"/>
  <c r="R50" i="25"/>
  <c r="M50" i="25"/>
  <c r="P50" i="25"/>
  <c r="N50" i="25"/>
  <c r="O50" i="25"/>
  <c r="Q50" i="25"/>
  <c r="J50" i="25"/>
  <c r="L50" i="25"/>
  <c r="O100" i="31"/>
  <c r="M101" i="31"/>
  <c r="L102" i="31"/>
  <c r="J103" i="31"/>
  <c r="K103" i="31" s="1"/>
  <c r="I50" i="25"/>
  <c r="H50" i="25"/>
  <c r="B51" i="25"/>
  <c r="E50" i="25"/>
  <c r="D50" i="25"/>
  <c r="C50" i="25"/>
  <c r="P100" i="31"/>
  <c r="N101" i="31"/>
  <c r="L51" i="25" l="1"/>
  <c r="O51" i="25"/>
  <c r="M51" i="25"/>
  <c r="Q51" i="25"/>
  <c r="J51" i="25"/>
  <c r="P51" i="25"/>
  <c r="K51" i="25"/>
  <c r="N51" i="25"/>
  <c r="R51" i="25"/>
  <c r="O101" i="31"/>
  <c r="M102" i="31"/>
  <c r="L103" i="31"/>
  <c r="J104" i="31"/>
  <c r="K104" i="31" s="1"/>
  <c r="I51" i="25"/>
  <c r="H51" i="25"/>
  <c r="B52" i="25"/>
  <c r="D51" i="25"/>
  <c r="E51" i="25"/>
  <c r="C51" i="25"/>
  <c r="P101" i="31"/>
  <c r="N102" i="31"/>
  <c r="K52" i="25" l="1"/>
  <c r="L52" i="25"/>
  <c r="J52" i="25"/>
  <c r="Q52" i="25"/>
  <c r="M52" i="25"/>
  <c r="P52" i="25"/>
  <c r="O52" i="25"/>
  <c r="N52" i="25"/>
  <c r="R52" i="25"/>
  <c r="O102" i="31"/>
  <c r="M103" i="31"/>
  <c r="L104" i="31"/>
  <c r="J105" i="31"/>
  <c r="K105" i="31" s="1"/>
  <c r="I52" i="25"/>
  <c r="H52" i="25"/>
  <c r="E52" i="25"/>
  <c r="C52" i="25"/>
  <c r="D52" i="25"/>
  <c r="B53" i="25"/>
  <c r="N103" i="31"/>
  <c r="P102" i="31"/>
  <c r="O53" i="25" l="1"/>
  <c r="P53" i="25"/>
  <c r="Q53" i="25"/>
  <c r="J53" i="25"/>
  <c r="L53" i="25"/>
  <c r="K53" i="25"/>
  <c r="N53" i="25"/>
  <c r="M53" i="25"/>
  <c r="R53" i="25"/>
  <c r="O103" i="31"/>
  <c r="M104" i="31"/>
  <c r="L105" i="31"/>
  <c r="J106" i="31"/>
  <c r="K106" i="31" s="1"/>
  <c r="H53" i="25"/>
  <c r="I53" i="25"/>
  <c r="B54" i="25"/>
  <c r="C53" i="25"/>
  <c r="D53" i="25"/>
  <c r="E53" i="25"/>
  <c r="P103" i="31"/>
  <c r="N104" i="31"/>
  <c r="P54" i="25" l="1"/>
  <c r="N54" i="25"/>
  <c r="K54" i="25"/>
  <c r="M54" i="25"/>
  <c r="O54" i="25"/>
  <c r="J54" i="25"/>
  <c r="Q54" i="25"/>
  <c r="L54" i="25"/>
  <c r="R54" i="25"/>
  <c r="O104" i="31"/>
  <c r="M105" i="31"/>
  <c r="L106" i="31"/>
  <c r="J107" i="31"/>
  <c r="K107" i="31" s="1"/>
  <c r="I54" i="25"/>
  <c r="H54" i="25"/>
  <c r="C54" i="25"/>
  <c r="G54" i="25"/>
  <c r="E54" i="25"/>
  <c r="D54" i="25"/>
  <c r="B55" i="25"/>
  <c r="N105" i="31"/>
  <c r="P104" i="31"/>
  <c r="N55" i="25" l="1"/>
  <c r="J55" i="25"/>
  <c r="P55" i="25"/>
  <c r="L55" i="25"/>
  <c r="Q55" i="25"/>
  <c r="O55" i="25"/>
  <c r="M55" i="25"/>
  <c r="K55" i="25"/>
  <c r="R55" i="25"/>
  <c r="O105" i="31"/>
  <c r="M106" i="31"/>
  <c r="L107" i="31"/>
  <c r="J108" i="31"/>
  <c r="K108" i="31" s="1"/>
  <c r="H55" i="25"/>
  <c r="I55" i="25"/>
  <c r="C55" i="25"/>
  <c r="E55" i="25"/>
  <c r="D55" i="25"/>
  <c r="B56" i="25"/>
  <c r="N106" i="31"/>
  <c r="P105" i="31"/>
  <c r="Q56" i="25" l="1"/>
  <c r="P56" i="25"/>
  <c r="O56" i="25"/>
  <c r="N56" i="25"/>
  <c r="M56" i="25"/>
  <c r="K56" i="25"/>
  <c r="L56" i="25"/>
  <c r="J56" i="25"/>
  <c r="R56" i="25"/>
  <c r="O106" i="31"/>
  <c r="M107" i="31"/>
  <c r="L108" i="31"/>
  <c r="J109" i="31"/>
  <c r="K109" i="31" s="1"/>
  <c r="I56" i="25"/>
  <c r="H56" i="25"/>
  <c r="C56" i="25"/>
  <c r="D56" i="25"/>
  <c r="E56" i="25"/>
  <c r="B57" i="25"/>
  <c r="P106" i="31"/>
  <c r="N107" i="31"/>
  <c r="K57" i="25" l="1"/>
  <c r="O57" i="25"/>
  <c r="J57" i="25"/>
  <c r="Q57" i="25"/>
  <c r="P57" i="25"/>
  <c r="M57" i="25"/>
  <c r="L57" i="25"/>
  <c r="N57" i="25"/>
  <c r="R57" i="25"/>
  <c r="O107" i="31"/>
  <c r="M108" i="31"/>
  <c r="L109" i="31"/>
  <c r="J110" i="31"/>
  <c r="K110" i="31" s="1"/>
  <c r="I57" i="25"/>
  <c r="H57" i="25"/>
  <c r="C57" i="25"/>
  <c r="E57" i="25"/>
  <c r="D57" i="25"/>
  <c r="B58" i="25"/>
  <c r="P107" i="31"/>
  <c r="N108" i="31"/>
  <c r="J58" i="25" l="1"/>
  <c r="K58" i="25"/>
  <c r="P58" i="25"/>
  <c r="O58" i="25"/>
  <c r="N58" i="25"/>
  <c r="L58" i="25"/>
  <c r="M58" i="25"/>
  <c r="Q58" i="25"/>
  <c r="R58" i="25"/>
  <c r="O108" i="31"/>
  <c r="M109" i="31"/>
  <c r="L110" i="31"/>
  <c r="J111" i="31"/>
  <c r="K111" i="31" s="1"/>
  <c r="H58" i="25"/>
  <c r="I58" i="25"/>
  <c r="B59" i="25"/>
  <c r="D58" i="25"/>
  <c r="E58" i="25"/>
  <c r="C58" i="25"/>
  <c r="P108" i="31"/>
  <c r="N109" i="31"/>
  <c r="N59" i="25" l="1"/>
  <c r="K59" i="25"/>
  <c r="L59" i="25"/>
  <c r="J59" i="25"/>
  <c r="Q59" i="25"/>
  <c r="O59" i="25"/>
  <c r="M59" i="25"/>
  <c r="P59" i="25"/>
  <c r="R59" i="25"/>
  <c r="O109" i="31"/>
  <c r="M110" i="31"/>
  <c r="L111" i="31"/>
  <c r="J112" i="31"/>
  <c r="K112" i="31" s="1"/>
  <c r="I59" i="25"/>
  <c r="H59" i="25"/>
  <c r="B60" i="25"/>
  <c r="E59" i="25"/>
  <c r="D59" i="25"/>
  <c r="C59" i="25"/>
  <c r="N110" i="31"/>
  <c r="P109" i="31"/>
  <c r="N60" i="25" l="1"/>
  <c r="M60" i="25"/>
  <c r="L60" i="25"/>
  <c r="Q60" i="25"/>
  <c r="P60" i="25"/>
  <c r="J60" i="25"/>
  <c r="K60" i="25"/>
  <c r="O60" i="25"/>
  <c r="R60" i="25"/>
  <c r="O110" i="31"/>
  <c r="M111" i="31"/>
  <c r="L112" i="31"/>
  <c r="J113" i="31"/>
  <c r="K113" i="31" s="1"/>
  <c r="H60" i="25"/>
  <c r="I60" i="25"/>
  <c r="E60" i="25"/>
  <c r="D60" i="25"/>
  <c r="C60" i="25"/>
  <c r="B61" i="25"/>
  <c r="P110" i="31"/>
  <c r="N111" i="31"/>
  <c r="M61" i="25" l="1"/>
  <c r="O61" i="25"/>
  <c r="K61" i="25"/>
  <c r="P61" i="25"/>
  <c r="L61" i="25"/>
  <c r="J61" i="25"/>
  <c r="N61" i="25"/>
  <c r="Q61" i="25"/>
  <c r="R61" i="25"/>
  <c r="O111" i="31"/>
  <c r="M112" i="31"/>
  <c r="L113" i="31"/>
  <c r="J114" i="31"/>
  <c r="K114" i="31" s="1"/>
  <c r="I61" i="25"/>
  <c r="H61" i="25"/>
  <c r="F61" i="25"/>
  <c r="D61" i="25"/>
  <c r="B62" i="25"/>
  <c r="E61" i="25"/>
  <c r="C61" i="25"/>
  <c r="P111" i="31"/>
  <c r="N112" i="31"/>
  <c r="M62" i="25" l="1"/>
  <c r="K62" i="25"/>
  <c r="P62" i="25"/>
  <c r="N62" i="25"/>
  <c r="Q62" i="25"/>
  <c r="L62" i="25"/>
  <c r="J62" i="25"/>
  <c r="O62" i="25"/>
  <c r="R62" i="25"/>
  <c r="O112" i="31"/>
  <c r="M113" i="31"/>
  <c r="L114" i="31"/>
  <c r="J115" i="31"/>
  <c r="K115" i="31" s="1"/>
  <c r="I62" i="25"/>
  <c r="H62" i="25"/>
  <c r="G62" i="25"/>
  <c r="E62" i="25"/>
  <c r="F62" i="25"/>
  <c r="C62" i="25"/>
  <c r="D62" i="25"/>
  <c r="B63" i="25"/>
  <c r="N113" i="31"/>
  <c r="P112" i="31"/>
  <c r="M63" i="25" l="1"/>
  <c r="L63" i="25"/>
  <c r="K63" i="25"/>
  <c r="J63" i="25"/>
  <c r="P63" i="25"/>
  <c r="N63" i="25"/>
  <c r="Q63" i="25"/>
  <c r="O63" i="25"/>
  <c r="R63" i="25"/>
  <c r="O113" i="31"/>
  <c r="M114" i="31"/>
  <c r="L115" i="31"/>
  <c r="J116" i="31"/>
  <c r="K116" i="31" s="1"/>
  <c r="I63" i="25"/>
  <c r="H63" i="25"/>
  <c r="F63" i="25"/>
  <c r="D63" i="25"/>
  <c r="E63" i="25"/>
  <c r="B64" i="25"/>
  <c r="C63" i="25"/>
  <c r="G63" i="25"/>
  <c r="P113" i="31"/>
  <c r="N114" i="31"/>
  <c r="L64" i="25" l="1"/>
  <c r="P64" i="25"/>
  <c r="K64" i="25"/>
  <c r="J64" i="25"/>
  <c r="Q64" i="25"/>
  <c r="N64" i="25"/>
  <c r="M64" i="25"/>
  <c r="O64" i="25"/>
  <c r="R64" i="25"/>
  <c r="O114" i="31"/>
  <c r="M115" i="31"/>
  <c r="L116" i="31"/>
  <c r="J117" i="31"/>
  <c r="K117" i="31" s="1"/>
  <c r="I64" i="25"/>
  <c r="H64" i="25"/>
  <c r="C64" i="25"/>
  <c r="D64" i="25"/>
  <c r="B65" i="25"/>
  <c r="G64" i="25"/>
  <c r="F64" i="25"/>
  <c r="E64" i="25"/>
  <c r="N115" i="31"/>
  <c r="P114" i="31"/>
  <c r="M65" i="25" l="1"/>
  <c r="J65" i="25"/>
  <c r="L65" i="25"/>
  <c r="N65" i="25"/>
  <c r="K65" i="25"/>
  <c r="Q65" i="25"/>
  <c r="P65" i="25"/>
  <c r="O65" i="25"/>
  <c r="R65" i="25"/>
  <c r="O115" i="31"/>
  <c r="M116" i="31"/>
  <c r="L117" i="31"/>
  <c r="J118" i="31"/>
  <c r="K118" i="31" s="1"/>
  <c r="H65" i="25"/>
  <c r="I65" i="25"/>
  <c r="D65" i="25"/>
  <c r="E65" i="25"/>
  <c r="G65" i="25"/>
  <c r="B66" i="25"/>
  <c r="C65" i="25"/>
  <c r="F65" i="25"/>
  <c r="P115" i="31"/>
  <c r="N116" i="31"/>
  <c r="O66" i="25" l="1"/>
  <c r="P66" i="25"/>
  <c r="N66" i="25"/>
  <c r="K66" i="25"/>
  <c r="L66" i="25"/>
  <c r="Q66" i="25"/>
  <c r="M66" i="25"/>
  <c r="J66" i="25"/>
  <c r="R66" i="25"/>
  <c r="O116" i="31"/>
  <c r="M117" i="31"/>
  <c r="L118" i="31"/>
  <c r="J119" i="31"/>
  <c r="K119" i="31" s="1"/>
  <c r="I66" i="25"/>
  <c r="H66" i="25"/>
  <c r="E66" i="25"/>
  <c r="C66" i="25"/>
  <c r="D66" i="25"/>
  <c r="B67" i="25"/>
  <c r="G66" i="25"/>
  <c r="F66" i="25"/>
  <c r="P116" i="31"/>
  <c r="N117" i="31"/>
  <c r="L67" i="25" l="1"/>
  <c r="J67" i="25"/>
  <c r="P67" i="25"/>
  <c r="K67" i="25"/>
  <c r="Q67" i="25"/>
  <c r="N67" i="25"/>
  <c r="O67" i="25"/>
  <c r="M67" i="25"/>
  <c r="R67" i="25"/>
  <c r="O117" i="31"/>
  <c r="M118" i="31"/>
  <c r="L119" i="31"/>
  <c r="J120" i="31"/>
  <c r="K120" i="31" s="1"/>
  <c r="I67" i="25"/>
  <c r="H67" i="25"/>
  <c r="D67" i="25"/>
  <c r="F67" i="25"/>
  <c r="C67" i="25"/>
  <c r="B68" i="25"/>
  <c r="E67" i="25"/>
  <c r="G67" i="25"/>
  <c r="P117" i="31"/>
  <c r="N118" i="31"/>
  <c r="O68" i="25" l="1"/>
  <c r="N68" i="25"/>
  <c r="K68" i="25"/>
  <c r="Q68" i="25"/>
  <c r="M68" i="25"/>
  <c r="J68" i="25"/>
  <c r="L68" i="25"/>
  <c r="P68" i="25"/>
  <c r="R68" i="25"/>
  <c r="O118" i="31"/>
  <c r="M119" i="31"/>
  <c r="L120" i="31"/>
  <c r="J121" i="31"/>
  <c r="K121" i="31" s="1"/>
  <c r="I68" i="25"/>
  <c r="H68" i="25"/>
  <c r="E68" i="25"/>
  <c r="G68" i="25"/>
  <c r="D68" i="25"/>
  <c r="C68" i="25"/>
  <c r="B69" i="25"/>
  <c r="F68" i="25"/>
  <c r="P118" i="31"/>
  <c r="N119" i="31"/>
  <c r="J69" i="25" l="1"/>
  <c r="O69" i="25"/>
  <c r="N69" i="25"/>
  <c r="Q69" i="25"/>
  <c r="P69" i="25"/>
  <c r="M69" i="25"/>
  <c r="K69" i="25"/>
  <c r="L69" i="25"/>
  <c r="R69" i="25"/>
  <c r="O119" i="31"/>
  <c r="M120" i="31"/>
  <c r="L121" i="31"/>
  <c r="J122" i="31"/>
  <c r="K122" i="31" s="1"/>
  <c r="H69" i="25"/>
  <c r="I69" i="25"/>
  <c r="G69" i="25"/>
  <c r="B70" i="25"/>
  <c r="D69" i="25"/>
  <c r="F69" i="25"/>
  <c r="C69" i="25"/>
  <c r="E69" i="25"/>
  <c r="P119" i="31"/>
  <c r="N120" i="31"/>
  <c r="N70" i="25" l="1"/>
  <c r="M70" i="25"/>
  <c r="P70" i="25"/>
  <c r="Q70" i="25"/>
  <c r="J70" i="25"/>
  <c r="L70" i="25"/>
  <c r="K70" i="25"/>
  <c r="O70" i="25"/>
  <c r="R70" i="25"/>
  <c r="O120" i="31"/>
  <c r="M121" i="31"/>
  <c r="L122" i="31"/>
  <c r="J123" i="31"/>
  <c r="K123" i="31" s="1"/>
  <c r="I70" i="25"/>
  <c r="H70" i="25"/>
  <c r="G70" i="25"/>
  <c r="D70" i="25"/>
  <c r="B71" i="25"/>
  <c r="F70" i="25"/>
  <c r="E70" i="25"/>
  <c r="C70" i="25"/>
  <c r="P120" i="31"/>
  <c r="N121" i="31"/>
  <c r="P71" i="25" l="1"/>
  <c r="J71" i="25"/>
  <c r="N71" i="25"/>
  <c r="L71" i="25"/>
  <c r="O71" i="25"/>
  <c r="K71" i="25"/>
  <c r="M71" i="25"/>
  <c r="Q71" i="25"/>
  <c r="R71" i="25"/>
  <c r="O121" i="31"/>
  <c r="M122" i="31"/>
  <c r="L123" i="31"/>
  <c r="J124" i="31"/>
  <c r="K124" i="31" s="1"/>
  <c r="H71" i="25"/>
  <c r="I71" i="25"/>
  <c r="C71" i="25"/>
  <c r="D71" i="25"/>
  <c r="B72" i="25"/>
  <c r="G71" i="25"/>
  <c r="E71" i="25"/>
  <c r="F71" i="25"/>
  <c r="P121" i="31"/>
  <c r="N122" i="31"/>
  <c r="N72" i="25" l="1"/>
  <c r="L72" i="25"/>
  <c r="K72" i="25"/>
  <c r="J72" i="25"/>
  <c r="Q72" i="25"/>
  <c r="P72" i="25"/>
  <c r="O72" i="25"/>
  <c r="M72" i="25"/>
  <c r="R72" i="25"/>
  <c r="O122" i="31"/>
  <c r="M123" i="31"/>
  <c r="L124" i="31"/>
  <c r="J125" i="31"/>
  <c r="K125" i="31" s="1"/>
  <c r="I72" i="25"/>
  <c r="H72" i="25"/>
  <c r="D72" i="25"/>
  <c r="C72" i="25"/>
  <c r="B73" i="25"/>
  <c r="E72" i="25"/>
  <c r="G72" i="25"/>
  <c r="F72" i="25"/>
  <c r="P122" i="31"/>
  <c r="N123" i="31"/>
  <c r="L73" i="25" l="1"/>
  <c r="K73" i="25"/>
  <c r="J73" i="25"/>
  <c r="Q73" i="25"/>
  <c r="P73" i="25"/>
  <c r="O73" i="25"/>
  <c r="N73" i="25"/>
  <c r="M73" i="25"/>
  <c r="R73" i="25"/>
  <c r="O123" i="31"/>
  <c r="M124" i="31"/>
  <c r="L125" i="31"/>
  <c r="J126" i="31"/>
  <c r="K126" i="31" s="1"/>
  <c r="H73" i="25"/>
  <c r="I73" i="25"/>
  <c r="D73" i="25"/>
  <c r="C73" i="25"/>
  <c r="E73" i="25"/>
  <c r="G73" i="25"/>
  <c r="B74" i="25"/>
  <c r="F73" i="25"/>
  <c r="N124" i="31"/>
  <c r="P123" i="31"/>
  <c r="N74" i="25" l="1"/>
  <c r="M74" i="25"/>
  <c r="Q74" i="25"/>
  <c r="L74" i="25"/>
  <c r="P74" i="25"/>
  <c r="O74" i="25"/>
  <c r="J74" i="25"/>
  <c r="K74" i="25"/>
  <c r="R74" i="25"/>
  <c r="O124" i="31"/>
  <c r="M125" i="31"/>
  <c r="L126" i="31"/>
  <c r="J127" i="31"/>
  <c r="K127" i="31" s="1"/>
  <c r="H74" i="25"/>
  <c r="I74" i="25"/>
  <c r="G74" i="25"/>
  <c r="F74" i="25"/>
  <c r="B75" i="25"/>
  <c r="D74" i="25"/>
  <c r="E74" i="25"/>
  <c r="C74" i="25"/>
  <c r="N125" i="31"/>
  <c r="P124" i="31"/>
  <c r="P75" i="25" l="1"/>
  <c r="N75" i="25"/>
  <c r="L75" i="25"/>
  <c r="J75" i="25"/>
  <c r="K75" i="25"/>
  <c r="Q75" i="25"/>
  <c r="O75" i="25"/>
  <c r="M75" i="25"/>
  <c r="R75" i="25"/>
  <c r="O125" i="31"/>
  <c r="M126" i="31"/>
  <c r="L127" i="31"/>
  <c r="J128" i="31"/>
  <c r="K128" i="31" s="1"/>
  <c r="I75" i="25"/>
  <c r="H75" i="25"/>
  <c r="B76" i="25"/>
  <c r="D75" i="25"/>
  <c r="F75" i="25"/>
  <c r="G75" i="25"/>
  <c r="C75" i="25"/>
  <c r="E75" i="25"/>
  <c r="N126" i="31"/>
  <c r="P125" i="31"/>
  <c r="O76" i="25" l="1"/>
  <c r="N76" i="25"/>
  <c r="M76" i="25"/>
  <c r="L76" i="25"/>
  <c r="J76" i="25"/>
  <c r="K76" i="25"/>
  <c r="Q76" i="25"/>
  <c r="P76" i="25"/>
  <c r="R76" i="25"/>
  <c r="O126" i="31"/>
  <c r="M127" i="31"/>
  <c r="L128" i="31"/>
  <c r="J129" i="31"/>
  <c r="K129" i="31" s="1"/>
  <c r="H76" i="25"/>
  <c r="I76" i="25"/>
  <c r="B77" i="25"/>
  <c r="D76" i="25"/>
  <c r="E76" i="25"/>
  <c r="G76" i="25"/>
  <c r="C76" i="25"/>
  <c r="F76" i="25"/>
  <c r="P126" i="31"/>
  <c r="N127" i="31"/>
  <c r="J77" i="25" l="1"/>
  <c r="K77" i="25"/>
  <c r="P77" i="25"/>
  <c r="Q77" i="25"/>
  <c r="L77" i="25"/>
  <c r="O77" i="25"/>
  <c r="M77" i="25"/>
  <c r="N77" i="25"/>
  <c r="R77" i="25"/>
  <c r="O127" i="31"/>
  <c r="M128" i="31"/>
  <c r="L129" i="31"/>
  <c r="J130" i="31"/>
  <c r="K130" i="31" s="1"/>
  <c r="H77" i="25"/>
  <c r="I77" i="25"/>
  <c r="G77" i="25"/>
  <c r="E77" i="25"/>
  <c r="F77" i="25"/>
  <c r="B78" i="25"/>
  <c r="C77" i="25"/>
  <c r="D77" i="25"/>
  <c r="P127" i="31"/>
  <c r="N128" i="31"/>
  <c r="N78" i="25" l="1"/>
  <c r="Q78" i="25"/>
  <c r="M78" i="25"/>
  <c r="K78" i="25"/>
  <c r="L78" i="25"/>
  <c r="J78" i="25"/>
  <c r="O78" i="25"/>
  <c r="P78" i="25"/>
  <c r="R78" i="25"/>
  <c r="O128" i="31"/>
  <c r="M129" i="31"/>
  <c r="L130" i="31"/>
  <c r="J131" i="31"/>
  <c r="K131" i="31" s="1"/>
  <c r="H78" i="25"/>
  <c r="I78" i="25"/>
  <c r="D78" i="25"/>
  <c r="B79" i="25"/>
  <c r="C78" i="25"/>
  <c r="F78" i="25"/>
  <c r="E78" i="25"/>
  <c r="G78" i="25"/>
  <c r="P128" i="31"/>
  <c r="N129" i="31"/>
  <c r="M79" i="25" l="1"/>
  <c r="K79" i="25"/>
  <c r="N79" i="25"/>
  <c r="L79" i="25"/>
  <c r="O79" i="25"/>
  <c r="J79" i="25"/>
  <c r="P79" i="25"/>
  <c r="Q79" i="25"/>
  <c r="R79" i="25"/>
  <c r="O129" i="31"/>
  <c r="M130" i="31"/>
  <c r="L131" i="31"/>
  <c r="J132" i="31"/>
  <c r="K132" i="31" s="1"/>
  <c r="H79" i="25"/>
  <c r="I79" i="25"/>
  <c r="B80" i="25"/>
  <c r="D79" i="25"/>
  <c r="F79" i="25"/>
  <c r="G79" i="25"/>
  <c r="C79" i="25"/>
  <c r="E79" i="25"/>
  <c r="N130" i="31"/>
  <c r="P129" i="31"/>
  <c r="M80" i="25" l="1"/>
  <c r="J80" i="25"/>
  <c r="Q80" i="25"/>
  <c r="L80" i="25"/>
  <c r="K80" i="25"/>
  <c r="P80" i="25"/>
  <c r="O80" i="25"/>
  <c r="N80" i="25"/>
  <c r="R80" i="25"/>
  <c r="O130" i="31"/>
  <c r="M131" i="31"/>
  <c r="L132" i="31"/>
  <c r="J133" i="31"/>
  <c r="K133" i="31" s="1"/>
  <c r="I80" i="25"/>
  <c r="H80" i="25"/>
  <c r="D80" i="25"/>
  <c r="F80" i="25"/>
  <c r="C80" i="25"/>
  <c r="E80" i="25"/>
  <c r="B81" i="25"/>
  <c r="G80" i="25"/>
  <c r="P130" i="31"/>
  <c r="N131" i="31"/>
  <c r="N81" i="25" l="1"/>
  <c r="P81" i="25"/>
  <c r="M81" i="25"/>
  <c r="O81" i="25"/>
  <c r="L81" i="25"/>
  <c r="K81" i="25"/>
  <c r="J81" i="25"/>
  <c r="Q81" i="25"/>
  <c r="R81" i="25"/>
  <c r="O131" i="31"/>
  <c r="M132" i="31"/>
  <c r="L133" i="31"/>
  <c r="J134" i="31"/>
  <c r="K134" i="31" s="1"/>
  <c r="H81" i="25"/>
  <c r="I81" i="25"/>
  <c r="G81" i="25"/>
  <c r="F81" i="25"/>
  <c r="C81" i="25"/>
  <c r="E81" i="25"/>
  <c r="B82" i="25"/>
  <c r="D81" i="25"/>
  <c r="N132" i="31"/>
  <c r="P131" i="31"/>
  <c r="P82" i="25" l="1"/>
  <c r="Q82" i="25"/>
  <c r="J82" i="25"/>
  <c r="O82" i="25"/>
  <c r="N82" i="25"/>
  <c r="M82" i="25"/>
  <c r="K82" i="25"/>
  <c r="L82" i="25"/>
  <c r="R82" i="25"/>
  <c r="O132" i="31"/>
  <c r="M133" i="31"/>
  <c r="L134" i="31"/>
  <c r="J135" i="31"/>
  <c r="K135" i="31" s="1"/>
  <c r="I82" i="25"/>
  <c r="H82" i="25"/>
  <c r="G82" i="25"/>
  <c r="F82" i="25"/>
  <c r="E82" i="25"/>
  <c r="B83" i="25"/>
  <c r="C82" i="25"/>
  <c r="D82" i="25"/>
  <c r="P132" i="31"/>
  <c r="N133" i="31"/>
  <c r="M83" i="25" l="1"/>
  <c r="J83" i="25"/>
  <c r="P83" i="25"/>
  <c r="N83" i="25"/>
  <c r="L83" i="25"/>
  <c r="K83" i="25"/>
  <c r="Q83" i="25"/>
  <c r="O83" i="25"/>
  <c r="R83" i="25"/>
  <c r="O133" i="31"/>
  <c r="M134" i="31"/>
  <c r="L135" i="31"/>
  <c r="J136" i="31"/>
  <c r="K136" i="31" s="1"/>
  <c r="I83" i="25"/>
  <c r="H83" i="25"/>
  <c r="C83" i="25"/>
  <c r="E83" i="25"/>
  <c r="F83" i="25"/>
  <c r="D83" i="25"/>
  <c r="B84" i="25"/>
  <c r="G83" i="25"/>
  <c r="P133" i="31"/>
  <c r="N134" i="31"/>
  <c r="P84" i="25" l="1"/>
  <c r="K84" i="25"/>
  <c r="O84" i="25"/>
  <c r="N84" i="25"/>
  <c r="J84" i="25"/>
  <c r="Q84" i="25"/>
  <c r="M84" i="25"/>
  <c r="L84" i="25"/>
  <c r="R84" i="25"/>
  <c r="O134" i="31"/>
  <c r="M135" i="31"/>
  <c r="L136" i="31"/>
  <c r="J137" i="31"/>
  <c r="K137" i="31" s="1"/>
  <c r="H84" i="25"/>
  <c r="I84" i="25"/>
  <c r="D84" i="25"/>
  <c r="G84" i="25"/>
  <c r="C84" i="25"/>
  <c r="F84" i="25"/>
  <c r="B85" i="25"/>
  <c r="E84" i="25"/>
  <c r="N135" i="31"/>
  <c r="P134" i="31"/>
  <c r="K85" i="25" l="1"/>
  <c r="L85" i="25"/>
  <c r="J85" i="25"/>
  <c r="Q85" i="25"/>
  <c r="M85" i="25"/>
  <c r="P85" i="25"/>
  <c r="N85" i="25"/>
  <c r="O85" i="25"/>
  <c r="R85" i="25"/>
  <c r="O135" i="31"/>
  <c r="M136" i="31"/>
  <c r="L137" i="31"/>
  <c r="J138" i="31"/>
  <c r="K138" i="31" s="1"/>
  <c r="I85" i="25"/>
  <c r="H85" i="25"/>
  <c r="B86" i="25"/>
  <c r="E85" i="25"/>
  <c r="D85" i="25"/>
  <c r="G85" i="25"/>
  <c r="F85" i="25"/>
  <c r="C85" i="25"/>
  <c r="N136" i="31"/>
  <c r="P135" i="31"/>
  <c r="Q86" i="25" l="1"/>
  <c r="O86" i="25"/>
  <c r="M86" i="25"/>
  <c r="K86" i="25"/>
  <c r="N86" i="25"/>
  <c r="L86" i="25"/>
  <c r="P86" i="25"/>
  <c r="J86" i="25"/>
  <c r="R86" i="25"/>
  <c r="O136" i="31"/>
  <c r="M137" i="31"/>
  <c r="L138" i="31"/>
  <c r="J139" i="31"/>
  <c r="K139" i="31" s="1"/>
  <c r="H86" i="25"/>
  <c r="I86" i="25"/>
  <c r="G86" i="25"/>
  <c r="C86" i="25"/>
  <c r="D86" i="25"/>
  <c r="B87" i="25"/>
  <c r="E86" i="25"/>
  <c r="F86" i="25"/>
  <c r="P136" i="31"/>
  <c r="N137" i="31"/>
  <c r="M87" i="25" l="1"/>
  <c r="N87" i="25"/>
  <c r="Q87" i="25"/>
  <c r="P87" i="25"/>
  <c r="J87" i="25"/>
  <c r="L87" i="25"/>
  <c r="K87" i="25"/>
  <c r="O87" i="25"/>
  <c r="R87" i="25"/>
  <c r="O137" i="31"/>
  <c r="M138" i="31"/>
  <c r="L139" i="31"/>
  <c r="J140" i="31"/>
  <c r="K140" i="31" s="1"/>
  <c r="I87" i="25"/>
  <c r="H87" i="25"/>
  <c r="B88" i="25"/>
  <c r="G87" i="25"/>
  <c r="C87" i="25"/>
  <c r="E87" i="25"/>
  <c r="F87" i="25"/>
  <c r="D87" i="25"/>
  <c r="N138" i="31"/>
  <c r="P137" i="31"/>
  <c r="N88" i="25" l="1"/>
  <c r="M88" i="25"/>
  <c r="Q88" i="25"/>
  <c r="L88" i="25"/>
  <c r="O88" i="25"/>
  <c r="K88" i="25"/>
  <c r="J88" i="25"/>
  <c r="P88" i="25"/>
  <c r="R88" i="25"/>
  <c r="O138" i="31"/>
  <c r="M139" i="31"/>
  <c r="L140" i="31"/>
  <c r="J141" i="31"/>
  <c r="K141" i="31" s="1"/>
  <c r="H88" i="25"/>
  <c r="I88" i="25"/>
  <c r="F88" i="25"/>
  <c r="E88" i="25"/>
  <c r="G88" i="25"/>
  <c r="C88" i="25"/>
  <c r="B89" i="25"/>
  <c r="D88" i="25"/>
  <c r="P138" i="31"/>
  <c r="N139" i="31"/>
  <c r="N89" i="25" l="1"/>
  <c r="Q89" i="25"/>
  <c r="M89" i="25"/>
  <c r="L89" i="25"/>
  <c r="O89" i="25"/>
  <c r="K89" i="25"/>
  <c r="J89" i="25"/>
  <c r="P89" i="25"/>
  <c r="R89" i="25"/>
  <c r="O139" i="31"/>
  <c r="M140" i="31"/>
  <c r="L141" i="31"/>
  <c r="J142" i="31"/>
  <c r="K142" i="31" s="1"/>
  <c r="I89" i="25"/>
  <c r="H89" i="25"/>
  <c r="B90" i="25"/>
  <c r="C89" i="25"/>
  <c r="E89" i="25"/>
  <c r="D89" i="25"/>
  <c r="F89" i="25"/>
  <c r="G89" i="25"/>
  <c r="P139" i="31"/>
  <c r="N140" i="31"/>
  <c r="O90" i="25" l="1"/>
  <c r="M90" i="25"/>
  <c r="N90" i="25"/>
  <c r="L90" i="25"/>
  <c r="J90" i="25"/>
  <c r="K90" i="25"/>
  <c r="Q90" i="25"/>
  <c r="P90" i="25"/>
  <c r="R90" i="25"/>
  <c r="O140" i="31"/>
  <c r="M141" i="31"/>
  <c r="L142" i="31"/>
  <c r="J143" i="31"/>
  <c r="K143" i="31" s="1"/>
  <c r="I90" i="25"/>
  <c r="H90" i="25"/>
  <c r="C90" i="25"/>
  <c r="G90" i="25"/>
  <c r="B91" i="25"/>
  <c r="D90" i="25"/>
  <c r="E90" i="25"/>
  <c r="F90" i="25"/>
  <c r="P140" i="31"/>
  <c r="N141" i="31"/>
  <c r="N91" i="25" l="1"/>
  <c r="Q91" i="25"/>
  <c r="O91" i="25"/>
  <c r="L91" i="25"/>
  <c r="M91" i="25"/>
  <c r="K91" i="25"/>
  <c r="J91" i="25"/>
  <c r="P91" i="25"/>
  <c r="R91" i="25"/>
  <c r="O141" i="31"/>
  <c r="M142" i="31"/>
  <c r="L143" i="31"/>
  <c r="J144" i="31"/>
  <c r="K144" i="31" s="1"/>
  <c r="H91" i="25"/>
  <c r="I91" i="25"/>
  <c r="C91" i="25"/>
  <c r="G91" i="25"/>
  <c r="E91" i="25"/>
  <c r="B92" i="25"/>
  <c r="F91" i="25"/>
  <c r="D91" i="25"/>
  <c r="N142" i="31"/>
  <c r="P141" i="31"/>
  <c r="O92" i="25" l="1"/>
  <c r="L92" i="25"/>
  <c r="P92" i="25"/>
  <c r="N92" i="25"/>
  <c r="M92" i="25"/>
  <c r="K92" i="25"/>
  <c r="Q92" i="25"/>
  <c r="J92" i="25"/>
  <c r="R92" i="25"/>
  <c r="O142" i="31"/>
  <c r="M143" i="31"/>
  <c r="L144" i="31"/>
  <c r="J145" i="31"/>
  <c r="K145" i="31" s="1"/>
  <c r="H92" i="25"/>
  <c r="I92" i="25"/>
  <c r="F92" i="25"/>
  <c r="D92" i="25"/>
  <c r="B93" i="25"/>
  <c r="C92" i="25"/>
  <c r="G92" i="25"/>
  <c r="E92" i="25"/>
  <c r="N143" i="31"/>
  <c r="P142" i="31"/>
  <c r="O93" i="25" l="1"/>
  <c r="N93" i="25"/>
  <c r="M93" i="25"/>
  <c r="P93" i="25"/>
  <c r="K93" i="25"/>
  <c r="Q93" i="25"/>
  <c r="L93" i="25"/>
  <c r="J93" i="25"/>
  <c r="R93" i="25"/>
  <c r="O143" i="31"/>
  <c r="M144" i="31"/>
  <c r="L145" i="31"/>
  <c r="J146" i="31"/>
  <c r="K146" i="31" s="1"/>
  <c r="I93" i="25"/>
  <c r="H93" i="25"/>
  <c r="D93" i="25"/>
  <c r="G93" i="25"/>
  <c r="C93" i="25"/>
  <c r="B94" i="25"/>
  <c r="F93" i="25"/>
  <c r="E93" i="25"/>
  <c r="N144" i="31"/>
  <c r="P143" i="31"/>
  <c r="K94" i="25" l="1"/>
  <c r="J94" i="25"/>
  <c r="Q94" i="25"/>
  <c r="N94" i="25"/>
  <c r="O94" i="25"/>
  <c r="M94" i="25"/>
  <c r="P94" i="25"/>
  <c r="L94" i="25"/>
  <c r="R94" i="25"/>
  <c r="O144" i="31"/>
  <c r="M145" i="31"/>
  <c r="L146" i="31"/>
  <c r="J147" i="31"/>
  <c r="K147" i="31" s="1"/>
  <c r="I94" i="25"/>
  <c r="H94" i="25"/>
  <c r="G94" i="25"/>
  <c r="B95" i="25"/>
  <c r="C94" i="25"/>
  <c r="F94" i="25"/>
  <c r="E94" i="25"/>
  <c r="D94" i="25"/>
  <c r="P144" i="31"/>
  <c r="N145" i="31"/>
  <c r="Q95" i="25" l="1"/>
  <c r="L95" i="25"/>
  <c r="K95" i="25"/>
  <c r="J95" i="25"/>
  <c r="N95" i="25"/>
  <c r="P95" i="25"/>
  <c r="O95" i="25"/>
  <c r="M95" i="25"/>
  <c r="R95" i="25"/>
  <c r="O145" i="31"/>
  <c r="M146" i="31"/>
  <c r="L147" i="31"/>
  <c r="J148" i="31"/>
  <c r="K148" i="31" s="1"/>
  <c r="C95" i="25"/>
  <c r="H95" i="25"/>
  <c r="I95" i="25"/>
  <c r="F95" i="25"/>
  <c r="B96" i="25"/>
  <c r="G95" i="25"/>
  <c r="D95" i="25"/>
  <c r="E95" i="25"/>
  <c r="N146" i="31"/>
  <c r="P145" i="31"/>
  <c r="M96" i="25" l="1"/>
  <c r="L96" i="25"/>
  <c r="J96" i="25"/>
  <c r="O96" i="25"/>
  <c r="N96" i="25"/>
  <c r="K96" i="25"/>
  <c r="Q96" i="25"/>
  <c r="P96" i="25"/>
  <c r="R96" i="25"/>
  <c r="O146" i="31"/>
  <c r="M147" i="31"/>
  <c r="L148" i="31"/>
  <c r="J149" i="31"/>
  <c r="K149" i="31" s="1"/>
  <c r="D96" i="25"/>
  <c r="C96" i="25"/>
  <c r="I96" i="25"/>
  <c r="G96" i="25"/>
  <c r="B97" i="25"/>
  <c r="E96" i="25"/>
  <c r="F96" i="25"/>
  <c r="H96" i="25"/>
  <c r="P146" i="31"/>
  <c r="P147" i="31"/>
  <c r="M97" i="25" l="1"/>
  <c r="L97" i="25"/>
  <c r="K97" i="25"/>
  <c r="J97" i="25"/>
  <c r="O97" i="25"/>
  <c r="N97" i="25"/>
  <c r="Q97" i="25"/>
  <c r="P97" i="25"/>
  <c r="R97" i="25"/>
  <c r="M148" i="31"/>
  <c r="L149" i="31"/>
  <c r="J150" i="31"/>
  <c r="K150" i="31" s="1"/>
  <c r="E97" i="25"/>
  <c r="H97" i="25"/>
  <c r="I97" i="25"/>
  <c r="G97" i="25"/>
  <c r="B98" i="25"/>
  <c r="F97" i="25"/>
  <c r="C97" i="25"/>
  <c r="D97" i="25"/>
  <c r="N147" i="31"/>
  <c r="N148" i="31"/>
  <c r="L98" i="25" l="1"/>
  <c r="Q98" i="25"/>
  <c r="K98" i="25"/>
  <c r="P98" i="25"/>
  <c r="O98" i="25"/>
  <c r="N98" i="25"/>
  <c r="M98" i="25"/>
  <c r="J98" i="25"/>
  <c r="R98" i="25"/>
  <c r="O147" i="31"/>
  <c r="O148" i="31"/>
  <c r="M149" i="31"/>
  <c r="L150" i="31"/>
  <c r="J151" i="31"/>
  <c r="K151" i="31" s="1"/>
  <c r="D98" i="25"/>
  <c r="G98" i="25"/>
  <c r="F98" i="25"/>
  <c r="I98" i="25"/>
  <c r="B99" i="25"/>
  <c r="E98" i="25"/>
  <c r="C98" i="25"/>
  <c r="H98" i="25"/>
  <c r="P148" i="31"/>
  <c r="N149" i="31"/>
  <c r="Q99" i="25" l="1"/>
  <c r="L99" i="25"/>
  <c r="J99" i="25"/>
  <c r="P99" i="25"/>
  <c r="M99" i="25"/>
  <c r="K99" i="25"/>
  <c r="N99" i="25"/>
  <c r="O99" i="25"/>
  <c r="R99" i="25"/>
  <c r="O149" i="31"/>
  <c r="M150" i="31"/>
  <c r="L151" i="31"/>
  <c r="J152" i="31"/>
  <c r="K152" i="31" s="1"/>
  <c r="G99" i="25"/>
  <c r="D99" i="25"/>
  <c r="C99" i="25"/>
  <c r="E99" i="25"/>
  <c r="H99" i="25"/>
  <c r="F99" i="25"/>
  <c r="B100" i="25"/>
  <c r="I99" i="25"/>
  <c r="N150" i="31"/>
  <c r="P149" i="31"/>
  <c r="O100" i="25" l="1"/>
  <c r="J100" i="25"/>
  <c r="K100" i="25"/>
  <c r="Q100" i="25"/>
  <c r="P100" i="25"/>
  <c r="N100" i="25"/>
  <c r="M100" i="25"/>
  <c r="L100" i="25"/>
  <c r="R100" i="25"/>
  <c r="O150" i="31"/>
  <c r="M151" i="31"/>
  <c r="L152" i="31"/>
  <c r="J153" i="31"/>
  <c r="K153" i="31" s="1"/>
  <c r="H100" i="25"/>
  <c r="F100" i="25"/>
  <c r="G100" i="25"/>
  <c r="C100" i="25"/>
  <c r="E100" i="25"/>
  <c r="I100" i="25"/>
  <c r="D100" i="25"/>
  <c r="B101" i="25"/>
  <c r="N151" i="31"/>
  <c r="P150" i="31"/>
  <c r="O101" i="25" l="1"/>
  <c r="N101" i="25"/>
  <c r="L101" i="25"/>
  <c r="Q101" i="25"/>
  <c r="M101" i="25"/>
  <c r="P101" i="25"/>
  <c r="K101" i="25"/>
  <c r="J101" i="25"/>
  <c r="R101" i="25"/>
  <c r="O151" i="31"/>
  <c r="M152" i="31"/>
  <c r="L153" i="31"/>
  <c r="J154" i="31"/>
  <c r="K154" i="31" s="1"/>
  <c r="C101" i="25"/>
  <c r="I101" i="25"/>
  <c r="H101" i="25"/>
  <c r="F101" i="25"/>
  <c r="B102" i="25"/>
  <c r="D101" i="25"/>
  <c r="E101" i="25"/>
  <c r="G101" i="25"/>
  <c r="P151" i="31"/>
  <c r="N152" i="31"/>
  <c r="O102" i="25" l="1"/>
  <c r="J102" i="25"/>
  <c r="M102" i="25"/>
  <c r="L102" i="25"/>
  <c r="P102" i="25"/>
  <c r="N102" i="25"/>
  <c r="K102" i="25"/>
  <c r="Q102" i="25"/>
  <c r="R102" i="25"/>
  <c r="O152" i="31"/>
  <c r="M153" i="31"/>
  <c r="L154" i="31"/>
  <c r="J155" i="31"/>
  <c r="K155" i="31" s="1"/>
  <c r="D102" i="25"/>
  <c r="H102" i="25"/>
  <c r="B103" i="25"/>
  <c r="G102" i="25"/>
  <c r="F102" i="25"/>
  <c r="E102" i="25"/>
  <c r="I102" i="25"/>
  <c r="C102" i="25"/>
  <c r="N153" i="31"/>
  <c r="P152" i="31"/>
  <c r="O103" i="25" l="1"/>
  <c r="J103" i="25"/>
  <c r="N103" i="25"/>
  <c r="L103" i="25"/>
  <c r="Q103" i="25"/>
  <c r="K103" i="25"/>
  <c r="P103" i="25"/>
  <c r="M103" i="25"/>
  <c r="R103" i="25"/>
  <c r="O153" i="31"/>
  <c r="M154" i="31"/>
  <c r="L155" i="31"/>
  <c r="J156" i="31"/>
  <c r="K156" i="31" s="1"/>
  <c r="F103" i="25"/>
  <c r="G103" i="25"/>
  <c r="E103" i="25"/>
  <c r="C103" i="25"/>
  <c r="D103" i="25"/>
  <c r="H103" i="25"/>
  <c r="I103" i="25"/>
  <c r="B104" i="25"/>
  <c r="P153" i="31"/>
  <c r="N154" i="31"/>
  <c r="M104" i="25" l="1"/>
  <c r="L104" i="25"/>
  <c r="K104" i="25"/>
  <c r="J104" i="25"/>
  <c r="Q104" i="25"/>
  <c r="P104" i="25"/>
  <c r="O104" i="25"/>
  <c r="N104" i="25"/>
  <c r="R104" i="25"/>
  <c r="O154" i="31"/>
  <c r="M155" i="31"/>
  <c r="L156" i="31"/>
  <c r="J157" i="31"/>
  <c r="K157" i="31" s="1"/>
  <c r="G104" i="25"/>
  <c r="E104" i="25"/>
  <c r="I104" i="25"/>
  <c r="F104" i="25"/>
  <c r="B105" i="25"/>
  <c r="D104" i="25"/>
  <c r="H104" i="25"/>
  <c r="C104" i="25"/>
  <c r="N155" i="31"/>
  <c r="P154" i="31"/>
  <c r="M105" i="25" l="1"/>
  <c r="L105" i="25"/>
  <c r="K105" i="25"/>
  <c r="J105" i="25"/>
  <c r="Q105" i="25"/>
  <c r="P105" i="25"/>
  <c r="N105" i="25"/>
  <c r="O105" i="25"/>
  <c r="R105" i="25"/>
  <c r="O155" i="31"/>
  <c r="M156" i="31"/>
  <c r="L157" i="31"/>
  <c r="J158" i="31"/>
  <c r="K158" i="31" s="1"/>
  <c r="B106" i="25"/>
  <c r="H105" i="25"/>
  <c r="E105" i="25"/>
  <c r="G105" i="25"/>
  <c r="I105" i="25"/>
  <c r="C105" i="25"/>
  <c r="F105" i="25"/>
  <c r="D105" i="25"/>
  <c r="N156" i="31"/>
  <c r="P155" i="31"/>
  <c r="P106" i="25" l="1"/>
  <c r="O106" i="25"/>
  <c r="M106" i="25"/>
  <c r="Q106" i="25"/>
  <c r="K106" i="25"/>
  <c r="L106" i="25"/>
  <c r="N106" i="25"/>
  <c r="J106" i="25"/>
  <c r="R106" i="25"/>
  <c r="O156" i="31"/>
  <c r="M157" i="31"/>
  <c r="L158" i="31"/>
  <c r="J159" i="31"/>
  <c r="K159" i="31" s="1"/>
  <c r="E106" i="25"/>
  <c r="H106" i="25"/>
  <c r="D106" i="25"/>
  <c r="C106" i="25"/>
  <c r="F106" i="25"/>
  <c r="I106" i="25"/>
  <c r="G106" i="25"/>
  <c r="B107" i="25"/>
  <c r="P156" i="31"/>
  <c r="N157" i="31"/>
  <c r="F107" i="25" l="1"/>
  <c r="N107" i="25"/>
  <c r="L107" i="25"/>
  <c r="B108" i="25"/>
  <c r="K107" i="25"/>
  <c r="I107" i="25"/>
  <c r="E107" i="25"/>
  <c r="C107" i="25"/>
  <c r="D107" i="25"/>
  <c r="H107" i="25"/>
  <c r="M107" i="25"/>
  <c r="J107" i="25"/>
  <c r="Q107" i="25"/>
  <c r="O107" i="25"/>
  <c r="G107" i="25"/>
  <c r="P107" i="25"/>
  <c r="R107" i="25"/>
  <c r="O157" i="31"/>
  <c r="M158" i="31"/>
  <c r="L159" i="31"/>
  <c r="J160" i="31"/>
  <c r="K160" i="31" s="1"/>
  <c r="P157" i="31"/>
  <c r="N158" i="31"/>
  <c r="F108" i="25" l="1"/>
  <c r="Q108" i="25"/>
  <c r="C108" i="25"/>
  <c r="O108" i="25"/>
  <c r="B109" i="25"/>
  <c r="N108" i="25"/>
  <c r="M108" i="25"/>
  <c r="D108" i="25"/>
  <c r="P108" i="25"/>
  <c r="L108" i="25"/>
  <c r="K108" i="25"/>
  <c r="J108" i="25"/>
  <c r="E108" i="25"/>
  <c r="H108" i="25"/>
  <c r="I108" i="25"/>
  <c r="G108" i="25"/>
  <c r="R108" i="25"/>
  <c r="O158" i="31"/>
  <c r="M159" i="31"/>
  <c r="L160" i="31"/>
  <c r="J161" i="31"/>
  <c r="K161" i="31" s="1"/>
  <c r="N159" i="31"/>
  <c r="P158" i="31"/>
  <c r="H109" i="25" l="1"/>
  <c r="O109" i="25"/>
  <c r="G109" i="25"/>
  <c r="D109" i="25"/>
  <c r="M109" i="25"/>
  <c r="I109" i="25"/>
  <c r="E109" i="25"/>
  <c r="K109" i="25"/>
  <c r="N109" i="25"/>
  <c r="J109" i="25"/>
  <c r="P109" i="25"/>
  <c r="C109" i="25"/>
  <c r="Q109" i="25"/>
  <c r="F109" i="25"/>
  <c r="L109" i="25"/>
  <c r="B110" i="25"/>
  <c r="R109" i="25"/>
  <c r="O159" i="31"/>
  <c r="M160" i="31"/>
  <c r="L161" i="31"/>
  <c r="J162" i="31"/>
  <c r="K162" i="31" s="1"/>
  <c r="P159" i="31"/>
  <c r="N160" i="31"/>
  <c r="H110" i="25" l="1"/>
  <c r="C110" i="25"/>
  <c r="N110" i="25"/>
  <c r="D110" i="25"/>
  <c r="K110" i="25"/>
  <c r="B111" i="25"/>
  <c r="F110" i="25"/>
  <c r="E110" i="25"/>
  <c r="O110" i="25"/>
  <c r="Q110" i="25"/>
  <c r="L110" i="25"/>
  <c r="M110" i="25"/>
  <c r="J110" i="25"/>
  <c r="P110" i="25"/>
  <c r="I110" i="25"/>
  <c r="G110" i="25"/>
  <c r="R110" i="25"/>
  <c r="O160" i="31"/>
  <c r="M161" i="31"/>
  <c r="L162" i="31"/>
  <c r="J163" i="31"/>
  <c r="K163" i="31" s="1"/>
  <c r="P160" i="31"/>
  <c r="N161" i="31"/>
  <c r="F111" i="25" l="1"/>
  <c r="M111" i="25"/>
  <c r="L111" i="25"/>
  <c r="K111" i="25"/>
  <c r="E111" i="25"/>
  <c r="C111" i="25"/>
  <c r="I111" i="25"/>
  <c r="P111" i="25"/>
  <c r="J111" i="25"/>
  <c r="Q111" i="25"/>
  <c r="H111" i="25"/>
  <c r="N111" i="25"/>
  <c r="G111" i="25"/>
  <c r="O111" i="25"/>
  <c r="D111" i="25"/>
  <c r="B112" i="25"/>
  <c r="R111" i="25"/>
  <c r="O161" i="31"/>
  <c r="M162" i="31"/>
  <c r="L163" i="31"/>
  <c r="J164" i="31"/>
  <c r="K164" i="31" s="1"/>
  <c r="P161" i="31"/>
  <c r="N162" i="31"/>
  <c r="F112" i="25" l="1"/>
  <c r="M112" i="25"/>
  <c r="K112" i="25"/>
  <c r="Q112" i="25"/>
  <c r="I112" i="25"/>
  <c r="P112" i="25"/>
  <c r="J112" i="25"/>
  <c r="H112" i="25"/>
  <c r="O112" i="25"/>
  <c r="G112" i="25"/>
  <c r="N112" i="25"/>
  <c r="E112" i="25"/>
  <c r="C112" i="25"/>
  <c r="D112" i="25"/>
  <c r="L112" i="25"/>
  <c r="B113" i="25"/>
  <c r="R112" i="25"/>
  <c r="O162" i="31"/>
  <c r="M163" i="31"/>
  <c r="L164" i="31"/>
  <c r="J165" i="31"/>
  <c r="K165" i="31" s="1"/>
  <c r="P162" i="31"/>
  <c r="N163" i="31"/>
  <c r="E113" i="25" l="1"/>
  <c r="M113" i="25"/>
  <c r="H113" i="25"/>
  <c r="D113" i="25"/>
  <c r="L113" i="25"/>
  <c r="P113" i="25"/>
  <c r="G113" i="25"/>
  <c r="O113" i="25"/>
  <c r="I113" i="25"/>
  <c r="F113" i="25"/>
  <c r="N113" i="25"/>
  <c r="C113" i="25"/>
  <c r="K113" i="25"/>
  <c r="B114" i="25"/>
  <c r="J113" i="25"/>
  <c r="Q113" i="25"/>
  <c r="R113" i="25"/>
  <c r="O163" i="31"/>
  <c r="M164" i="31"/>
  <c r="L165" i="31"/>
  <c r="J166" i="31"/>
  <c r="K166" i="31" s="1"/>
  <c r="P163" i="31"/>
  <c r="N164" i="31"/>
  <c r="G114" i="25" l="1"/>
  <c r="F114" i="25"/>
  <c r="E114" i="25"/>
  <c r="D114" i="25"/>
  <c r="N114" i="25"/>
  <c r="L114" i="25"/>
  <c r="M114" i="25"/>
  <c r="Q114" i="25"/>
  <c r="K114" i="25"/>
  <c r="J114" i="25"/>
  <c r="C114" i="25"/>
  <c r="P114" i="25"/>
  <c r="B115" i="25"/>
  <c r="O114" i="25"/>
  <c r="I114" i="25"/>
  <c r="H114" i="25"/>
  <c r="R114" i="25"/>
  <c r="O164" i="31"/>
  <c r="M165" i="31"/>
  <c r="L166" i="31"/>
  <c r="J167" i="31"/>
  <c r="K167" i="31" s="1"/>
  <c r="P164" i="31"/>
  <c r="N165" i="31"/>
  <c r="F115" i="25" l="1"/>
  <c r="M115" i="25"/>
  <c r="D115" i="25"/>
  <c r="L115" i="25"/>
  <c r="B116" i="25"/>
  <c r="J115" i="25"/>
  <c r="Q115" i="25"/>
  <c r="G115" i="25"/>
  <c r="E115" i="25"/>
  <c r="C115" i="25"/>
  <c r="K115" i="25"/>
  <c r="I115" i="25"/>
  <c r="P115" i="25"/>
  <c r="N115" i="25"/>
  <c r="H115" i="25"/>
  <c r="O115" i="25"/>
  <c r="R115" i="25"/>
  <c r="O165" i="31"/>
  <c r="M166" i="31"/>
  <c r="L167" i="31"/>
  <c r="J168" i="31"/>
  <c r="K168" i="31" s="1"/>
  <c r="P165" i="31"/>
  <c r="N166" i="31"/>
  <c r="G116" i="25" l="1"/>
  <c r="D116" i="25"/>
  <c r="C116" i="25"/>
  <c r="P116" i="25"/>
  <c r="B117" i="25"/>
  <c r="E116" i="25"/>
  <c r="Q116" i="25"/>
  <c r="M116" i="25"/>
  <c r="L116" i="25"/>
  <c r="N116" i="25"/>
  <c r="K116" i="25"/>
  <c r="F116" i="25"/>
  <c r="I116" i="25"/>
  <c r="J116" i="25"/>
  <c r="O116" i="25"/>
  <c r="H116" i="25"/>
  <c r="R116" i="25"/>
  <c r="O166" i="31"/>
  <c r="M167" i="31"/>
  <c r="L168" i="31"/>
  <c r="J169" i="31"/>
  <c r="K169" i="31" s="1"/>
  <c r="P166" i="31"/>
  <c r="N167" i="31"/>
  <c r="E117" i="25" l="1"/>
  <c r="N117" i="25"/>
  <c r="G117" i="25"/>
  <c r="B118" i="25"/>
  <c r="K117" i="25"/>
  <c r="C117" i="25"/>
  <c r="J117" i="25"/>
  <c r="H117" i="25"/>
  <c r="M117" i="25"/>
  <c r="D117" i="25"/>
  <c r="O117" i="25"/>
  <c r="Q117" i="25"/>
  <c r="L117" i="25"/>
  <c r="F117" i="25"/>
  <c r="I117" i="25"/>
  <c r="P117" i="25"/>
  <c r="R117" i="25"/>
  <c r="O167" i="31"/>
  <c r="M168" i="31"/>
  <c r="L169" i="31"/>
  <c r="J170" i="31"/>
  <c r="K170" i="31" s="1"/>
  <c r="P167" i="31"/>
  <c r="N168" i="31"/>
  <c r="I118" i="25" l="1"/>
  <c r="M118" i="25"/>
  <c r="E118" i="25"/>
  <c r="B119" i="25"/>
  <c r="G118" i="25"/>
  <c r="C118" i="25"/>
  <c r="Q118" i="25"/>
  <c r="L118" i="25"/>
  <c r="J118" i="25"/>
  <c r="F118" i="25"/>
  <c r="O118" i="25"/>
  <c r="D118" i="25"/>
  <c r="P118" i="25"/>
  <c r="K118" i="25"/>
  <c r="N118" i="25"/>
  <c r="H118" i="25"/>
  <c r="R118" i="25"/>
  <c r="O168" i="31"/>
  <c r="M169" i="31"/>
  <c r="L170" i="31"/>
  <c r="J171" i="31"/>
  <c r="K171" i="31" s="1"/>
  <c r="P168" i="31"/>
  <c r="N169" i="31"/>
  <c r="F119" i="25" l="1"/>
  <c r="N119" i="25"/>
  <c r="Q119" i="25"/>
  <c r="E119" i="25"/>
  <c r="C119" i="25"/>
  <c r="D119" i="25"/>
  <c r="L119" i="25"/>
  <c r="B120" i="25"/>
  <c r="K119" i="25"/>
  <c r="J119" i="25"/>
  <c r="I119" i="25"/>
  <c r="O119" i="25"/>
  <c r="H119" i="25"/>
  <c r="P119" i="25"/>
  <c r="G119" i="25"/>
  <c r="M119" i="25"/>
  <c r="R119" i="25"/>
  <c r="O169" i="31"/>
  <c r="M170" i="31"/>
  <c r="L171" i="31"/>
  <c r="J172" i="31"/>
  <c r="K172" i="31" s="1"/>
  <c r="P169" i="31"/>
  <c r="N170" i="31"/>
  <c r="F120" i="25" l="1"/>
  <c r="M120" i="25"/>
  <c r="L120" i="25"/>
  <c r="B121" i="25"/>
  <c r="P120" i="25"/>
  <c r="H120" i="25"/>
  <c r="N120" i="25"/>
  <c r="E120" i="25"/>
  <c r="C120" i="25"/>
  <c r="J120" i="25"/>
  <c r="Q120" i="25"/>
  <c r="O120" i="25"/>
  <c r="G120" i="25"/>
  <c r="D120" i="25"/>
  <c r="K120" i="25"/>
  <c r="I120" i="25"/>
  <c r="R120" i="25"/>
  <c r="O170" i="31"/>
  <c r="M171" i="31"/>
  <c r="L172" i="31"/>
  <c r="J173" i="31"/>
  <c r="K173" i="31" s="1"/>
  <c r="N171" i="31"/>
  <c r="P170" i="31"/>
  <c r="E121" i="25" l="1"/>
  <c r="J121" i="25"/>
  <c r="H121" i="25"/>
  <c r="D121" i="25"/>
  <c r="L121" i="25"/>
  <c r="Q121" i="25"/>
  <c r="C121" i="25"/>
  <c r="K121" i="25"/>
  <c r="B122" i="25"/>
  <c r="I121" i="25"/>
  <c r="P121" i="25"/>
  <c r="G121" i="25"/>
  <c r="O121" i="25"/>
  <c r="F121" i="25"/>
  <c r="N121" i="25"/>
  <c r="M121" i="25"/>
  <c r="R121" i="25"/>
  <c r="O171" i="31"/>
  <c r="M172" i="31"/>
  <c r="L173" i="31"/>
  <c r="J174" i="31"/>
  <c r="K174" i="31" s="1"/>
  <c r="P171" i="31"/>
  <c r="N172" i="31"/>
  <c r="F122" i="25" l="1"/>
  <c r="P122" i="25"/>
  <c r="M122" i="25"/>
  <c r="Q122" i="25"/>
  <c r="D122" i="25"/>
  <c r="O122" i="25"/>
  <c r="K122" i="25"/>
  <c r="H122" i="25"/>
  <c r="E122" i="25"/>
  <c r="C122" i="25"/>
  <c r="N122" i="25"/>
  <c r="B123" i="25"/>
  <c r="L122" i="25"/>
  <c r="I122" i="25"/>
  <c r="J122" i="25"/>
  <c r="G122" i="25"/>
  <c r="R122" i="25"/>
  <c r="O172" i="31"/>
  <c r="M173" i="31"/>
  <c r="L174" i="31"/>
  <c r="J175" i="31"/>
  <c r="K175" i="31" s="1"/>
  <c r="P172" i="31"/>
  <c r="N173" i="31"/>
  <c r="E123" i="25" l="1"/>
  <c r="C123" i="25"/>
  <c r="D123" i="25"/>
  <c r="L123" i="25"/>
  <c r="B124" i="25"/>
  <c r="Q123" i="25"/>
  <c r="I123" i="25"/>
  <c r="M123" i="25"/>
  <c r="K123" i="25"/>
  <c r="J123" i="25"/>
  <c r="O123" i="25"/>
  <c r="H123" i="25"/>
  <c r="G123" i="25"/>
  <c r="P123" i="25"/>
  <c r="N123" i="25"/>
  <c r="F123" i="25"/>
  <c r="R123" i="25"/>
  <c r="O173" i="31"/>
  <c r="M174" i="31"/>
  <c r="L175" i="31"/>
  <c r="J176" i="31"/>
  <c r="K176" i="31" s="1"/>
  <c r="P173" i="31"/>
  <c r="N174" i="31"/>
  <c r="D124" i="25" l="1"/>
  <c r="P124" i="25"/>
  <c r="C124" i="25"/>
  <c r="O124" i="25"/>
  <c r="B125" i="25"/>
  <c r="I124" i="25"/>
  <c r="L124" i="25"/>
  <c r="J124" i="25"/>
  <c r="K124" i="25"/>
  <c r="H124" i="25"/>
  <c r="N124" i="25"/>
  <c r="M124" i="25"/>
  <c r="G124" i="25"/>
  <c r="E124" i="25"/>
  <c r="F124" i="25"/>
  <c r="Q124" i="25"/>
  <c r="R124" i="25"/>
  <c r="O174" i="31"/>
  <c r="M175" i="31"/>
  <c r="L176" i="31"/>
  <c r="J177" i="31"/>
  <c r="K177" i="31" s="1"/>
  <c r="P174" i="31"/>
  <c r="N175" i="31"/>
  <c r="D125" i="25" l="1"/>
  <c r="Q125" i="25"/>
  <c r="H125" i="25"/>
  <c r="O125" i="25"/>
  <c r="B126" i="25"/>
  <c r="I125" i="25"/>
  <c r="N125" i="25"/>
  <c r="L125" i="25"/>
  <c r="E125" i="25"/>
  <c r="J125" i="25"/>
  <c r="F125" i="25"/>
  <c r="M125" i="25"/>
  <c r="P125" i="25"/>
  <c r="C125" i="25"/>
  <c r="K125" i="25"/>
  <c r="G125" i="25"/>
  <c r="R125" i="25"/>
  <c r="O175" i="31"/>
  <c r="M176" i="31"/>
  <c r="L177" i="31"/>
  <c r="J178" i="31"/>
  <c r="K178" i="31" s="1"/>
  <c r="P175" i="31"/>
  <c r="N176" i="31"/>
  <c r="F126" i="25" l="1"/>
  <c r="C126" i="25"/>
  <c r="D126" i="25"/>
  <c r="K126" i="25"/>
  <c r="B127" i="25"/>
  <c r="I126" i="25"/>
  <c r="G126" i="25"/>
  <c r="E126" i="25"/>
  <c r="N126" i="25"/>
  <c r="J126" i="25"/>
  <c r="O126" i="25"/>
  <c r="P126" i="25"/>
  <c r="L126" i="25"/>
  <c r="Q126" i="25"/>
  <c r="H126" i="25"/>
  <c r="M126" i="25"/>
  <c r="R126" i="25"/>
  <c r="O176" i="31"/>
  <c r="M177" i="31"/>
  <c r="L178" i="31"/>
  <c r="J179" i="31"/>
  <c r="K179" i="31" s="1"/>
  <c r="P176" i="31"/>
  <c r="N177" i="31"/>
  <c r="F127" i="25" l="1"/>
  <c r="N127" i="25"/>
  <c r="E127" i="25"/>
  <c r="C127" i="25"/>
  <c r="D127" i="25"/>
  <c r="L127" i="25"/>
  <c r="B128" i="25"/>
  <c r="J127" i="25"/>
  <c r="P127" i="25"/>
  <c r="Q127" i="25"/>
  <c r="K127" i="25"/>
  <c r="I127" i="25"/>
  <c r="H127" i="25"/>
  <c r="O127" i="25"/>
  <c r="G127" i="25"/>
  <c r="M127" i="25"/>
  <c r="R127" i="25"/>
  <c r="O177" i="31"/>
  <c r="M178" i="31"/>
  <c r="L179" i="31"/>
  <c r="J180" i="31"/>
  <c r="K180" i="31" s="1"/>
  <c r="P177" i="31"/>
  <c r="N178" i="31"/>
  <c r="E128" i="25" l="1"/>
  <c r="C128" i="25"/>
  <c r="D128" i="25"/>
  <c r="L128" i="25"/>
  <c r="B129" i="25"/>
  <c r="J128" i="25"/>
  <c r="P128" i="25"/>
  <c r="H128" i="25"/>
  <c r="N128" i="25"/>
  <c r="K128" i="25"/>
  <c r="Q128" i="25"/>
  <c r="I128" i="25"/>
  <c r="F128" i="25"/>
  <c r="M128" i="25"/>
  <c r="O128" i="25"/>
  <c r="G128" i="25"/>
  <c r="R128" i="25"/>
  <c r="O178" i="31"/>
  <c r="M179" i="31"/>
  <c r="L180" i="31"/>
  <c r="J181" i="31"/>
  <c r="K181" i="31" s="1"/>
  <c r="P178" i="31"/>
  <c r="N179" i="31"/>
  <c r="E129" i="25" l="1"/>
  <c r="M129" i="25"/>
  <c r="J129" i="25"/>
  <c r="Q129" i="25"/>
  <c r="H129" i="25"/>
  <c r="G129" i="25"/>
  <c r="F129" i="25"/>
  <c r="N129" i="25"/>
  <c r="D129" i="25"/>
  <c r="L129" i="25"/>
  <c r="P129" i="25"/>
  <c r="O129" i="25"/>
  <c r="C129" i="25"/>
  <c r="K129" i="25"/>
  <c r="B130" i="25"/>
  <c r="I129" i="25"/>
  <c r="R129" i="25"/>
  <c r="O179" i="31"/>
  <c r="M180" i="31"/>
  <c r="L181" i="31"/>
  <c r="J182" i="31"/>
  <c r="K182" i="31" s="1"/>
  <c r="P179" i="31"/>
  <c r="N180" i="31"/>
  <c r="G130" i="25" l="1"/>
  <c r="D130" i="25"/>
  <c r="O130" i="25"/>
  <c r="E130" i="25"/>
  <c r="Q130" i="25"/>
  <c r="C130" i="25"/>
  <c r="P130" i="25"/>
  <c r="B131" i="25"/>
  <c r="N130" i="25"/>
  <c r="L130" i="25"/>
  <c r="M130" i="25"/>
  <c r="J130" i="25"/>
  <c r="K130" i="25"/>
  <c r="H130" i="25"/>
  <c r="I130" i="25"/>
  <c r="F130" i="25"/>
  <c r="R130" i="25"/>
  <c r="O180" i="31"/>
  <c r="M181" i="31"/>
  <c r="L182" i="31"/>
  <c r="J183" i="31"/>
  <c r="K183" i="31" s="1"/>
  <c r="P180" i="31"/>
  <c r="N181" i="31"/>
  <c r="F131" i="25" l="1"/>
  <c r="M131" i="25"/>
  <c r="I131" i="25"/>
  <c r="E131" i="25"/>
  <c r="C131" i="25"/>
  <c r="D131" i="25"/>
  <c r="L131" i="25"/>
  <c r="B132" i="25"/>
  <c r="N131" i="25"/>
  <c r="Q131" i="25"/>
  <c r="G131" i="25"/>
  <c r="O131" i="25"/>
  <c r="K131" i="25"/>
  <c r="J131" i="25"/>
  <c r="P131" i="25"/>
  <c r="H131" i="25"/>
  <c r="R131" i="25"/>
  <c r="O181" i="31"/>
  <c r="M182" i="31"/>
  <c r="L183" i="31"/>
  <c r="J184" i="31"/>
  <c r="K184" i="31" s="1"/>
  <c r="P181" i="31"/>
  <c r="N182" i="31"/>
  <c r="G132" i="25" l="1"/>
  <c r="F132" i="25"/>
  <c r="Q132" i="25"/>
  <c r="E132" i="25"/>
  <c r="C132" i="25"/>
  <c r="P132" i="25"/>
  <c r="B133" i="25"/>
  <c r="M132" i="25"/>
  <c r="D132" i="25"/>
  <c r="K132" i="25"/>
  <c r="J132" i="25"/>
  <c r="I132" i="25"/>
  <c r="H132" i="25"/>
  <c r="O132" i="25"/>
  <c r="N132" i="25"/>
  <c r="L132" i="25"/>
  <c r="R132" i="25"/>
  <c r="O182" i="31"/>
  <c r="M183" i="31"/>
  <c r="L184" i="31"/>
  <c r="J185" i="31"/>
  <c r="K185" i="31" s="1"/>
  <c r="N183" i="31"/>
  <c r="P182" i="31"/>
  <c r="E133" i="25" l="1"/>
  <c r="L133" i="25"/>
  <c r="I133" i="25"/>
  <c r="N133" i="25"/>
  <c r="B134" i="25"/>
  <c r="C133" i="25"/>
  <c r="P133" i="25"/>
  <c r="M133" i="25"/>
  <c r="J133" i="25"/>
  <c r="K133" i="25"/>
  <c r="F133" i="25"/>
  <c r="D133" i="25"/>
  <c r="G133" i="25"/>
  <c r="H133" i="25"/>
  <c r="Q133" i="25"/>
  <c r="O133" i="25"/>
  <c r="R133" i="25"/>
  <c r="O183" i="31"/>
  <c r="M184" i="31"/>
  <c r="L185" i="31"/>
  <c r="J186" i="31"/>
  <c r="K186" i="31" s="1"/>
  <c r="N184" i="31"/>
  <c r="P183" i="31"/>
  <c r="I134" i="25" l="1"/>
  <c r="Q134" i="25"/>
  <c r="H134" i="25"/>
  <c r="P134" i="25"/>
  <c r="G134" i="25"/>
  <c r="C134" i="25"/>
  <c r="J134" i="25"/>
  <c r="D134" i="25"/>
  <c r="N134" i="25"/>
  <c r="M134" i="25"/>
  <c r="F134" i="25"/>
  <c r="K134" i="25"/>
  <c r="O134" i="25"/>
  <c r="E134" i="25"/>
  <c r="L134" i="25"/>
  <c r="B135" i="25"/>
  <c r="R134" i="25"/>
  <c r="O184" i="31"/>
  <c r="M185" i="31"/>
  <c r="L186" i="31"/>
  <c r="J187" i="31"/>
  <c r="K187" i="31" s="1"/>
  <c r="N185" i="31"/>
  <c r="P184" i="31"/>
  <c r="E135" i="25" l="1"/>
  <c r="C135" i="25"/>
  <c r="D135" i="25"/>
  <c r="L135" i="25"/>
  <c r="B136" i="25"/>
  <c r="I135" i="25"/>
  <c r="N135" i="25"/>
  <c r="H135" i="25"/>
  <c r="Q135" i="25"/>
  <c r="G135" i="25"/>
  <c r="O135" i="25"/>
  <c r="F135" i="25"/>
  <c r="P135" i="25"/>
  <c r="K135" i="25"/>
  <c r="J135" i="25"/>
  <c r="M135" i="25"/>
  <c r="R135" i="25"/>
  <c r="O185" i="31"/>
  <c r="M186" i="31"/>
  <c r="L187" i="31"/>
  <c r="J188" i="31"/>
  <c r="K188" i="31" s="1"/>
  <c r="N186" i="31"/>
  <c r="P185" i="31"/>
  <c r="F136" i="25" l="1"/>
  <c r="M136" i="25"/>
  <c r="D136" i="25"/>
  <c r="L136" i="25"/>
  <c r="B137" i="25"/>
  <c r="J136" i="25"/>
  <c r="E136" i="25"/>
  <c r="C136" i="25"/>
  <c r="K136" i="25"/>
  <c r="Q136" i="25"/>
  <c r="I136" i="25"/>
  <c r="P136" i="25"/>
  <c r="H136" i="25"/>
  <c r="O136" i="25"/>
  <c r="G136" i="25"/>
  <c r="N136" i="25"/>
  <c r="R136" i="25"/>
  <c r="O186" i="31"/>
  <c r="M187" i="31"/>
  <c r="L188" i="31"/>
  <c r="J189" i="31"/>
  <c r="K189" i="31" s="1"/>
  <c r="P186" i="31"/>
  <c r="N187" i="31"/>
  <c r="E137" i="25" l="1"/>
  <c r="M137" i="25"/>
  <c r="B138" i="25"/>
  <c r="D137" i="25"/>
  <c r="L137" i="25"/>
  <c r="C137" i="25"/>
  <c r="K137" i="25"/>
  <c r="G137" i="25"/>
  <c r="O137" i="25"/>
  <c r="F137" i="25"/>
  <c r="N137" i="25"/>
  <c r="J137" i="25"/>
  <c r="I137" i="25"/>
  <c r="Q137" i="25"/>
  <c r="H137" i="25"/>
  <c r="P137" i="25"/>
  <c r="R137" i="25"/>
  <c r="O187" i="31"/>
  <c r="M188" i="31"/>
  <c r="L189" i="31"/>
  <c r="J190" i="31"/>
  <c r="K190" i="31" s="1"/>
  <c r="N188" i="31"/>
  <c r="P187" i="31"/>
  <c r="F138" i="25" l="1"/>
  <c r="E138" i="25"/>
  <c r="D138" i="25"/>
  <c r="P138" i="25"/>
  <c r="C138" i="25"/>
  <c r="O138" i="25"/>
  <c r="B139" i="25"/>
  <c r="J138" i="25"/>
  <c r="I138" i="25"/>
  <c r="N138" i="25"/>
  <c r="M138" i="25"/>
  <c r="Q138" i="25"/>
  <c r="L138" i="25"/>
  <c r="K138" i="25"/>
  <c r="H138" i="25"/>
  <c r="G138" i="25"/>
  <c r="R138" i="25"/>
  <c r="O188" i="31"/>
  <c r="M189" i="31"/>
  <c r="L190" i="31"/>
  <c r="J191" i="31"/>
  <c r="K191" i="31" s="1"/>
  <c r="N189" i="31"/>
  <c r="P188" i="31"/>
  <c r="F139" i="25" l="1"/>
  <c r="D139" i="25"/>
  <c r="B140" i="25"/>
  <c r="E139" i="25"/>
  <c r="C139" i="25"/>
  <c r="K139" i="25"/>
  <c r="I139" i="25"/>
  <c r="O139" i="25"/>
  <c r="L139" i="25"/>
  <c r="J139" i="25"/>
  <c r="Q139" i="25"/>
  <c r="H139" i="25"/>
  <c r="M139" i="25"/>
  <c r="G139" i="25"/>
  <c r="P139" i="25"/>
  <c r="N139" i="25"/>
  <c r="R139" i="25"/>
  <c r="O189" i="31"/>
  <c r="M190" i="31"/>
  <c r="L191" i="31"/>
  <c r="J192" i="31"/>
  <c r="K192" i="31" s="1"/>
  <c r="P189" i="31"/>
  <c r="N190" i="31"/>
  <c r="H140" i="25" l="1"/>
  <c r="G140" i="25"/>
  <c r="Q140" i="25"/>
  <c r="D140" i="25"/>
  <c r="P140" i="25"/>
  <c r="C140" i="25"/>
  <c r="O140" i="25"/>
  <c r="B141" i="25"/>
  <c r="M140" i="25"/>
  <c r="K140" i="25"/>
  <c r="I140" i="25"/>
  <c r="F140" i="25"/>
  <c r="N140" i="25"/>
  <c r="L140" i="25"/>
  <c r="E140" i="25"/>
  <c r="J140" i="25"/>
  <c r="R140" i="25"/>
  <c r="O190" i="31"/>
  <c r="M191" i="31"/>
  <c r="L192" i="31"/>
  <c r="J193" i="31"/>
  <c r="K193" i="31" s="1"/>
  <c r="P190" i="31"/>
  <c r="N191" i="31"/>
  <c r="D141" i="25" l="1"/>
  <c r="M141" i="25"/>
  <c r="F141" i="25"/>
  <c r="L141" i="25"/>
  <c r="B142" i="25"/>
  <c r="K141" i="25"/>
  <c r="N141" i="25"/>
  <c r="P141" i="25"/>
  <c r="C141" i="25"/>
  <c r="E141" i="25"/>
  <c r="G141" i="25"/>
  <c r="I141" i="25"/>
  <c r="Q141" i="25"/>
  <c r="H141" i="25"/>
  <c r="O141" i="25"/>
  <c r="J141" i="25"/>
  <c r="R141" i="25"/>
  <c r="O191" i="31"/>
  <c r="M192" i="31"/>
  <c r="L193" i="31"/>
  <c r="J194" i="31"/>
  <c r="K194" i="31" s="1"/>
  <c r="P191" i="31"/>
  <c r="N192" i="31"/>
  <c r="H142" i="25" l="1"/>
  <c r="N142" i="25"/>
  <c r="D142" i="25"/>
  <c r="B143" i="25"/>
  <c r="I142" i="25"/>
  <c r="G142" i="25"/>
  <c r="E142" i="25"/>
  <c r="O142" i="25"/>
  <c r="Q142" i="25"/>
  <c r="L142" i="25"/>
  <c r="M142" i="25"/>
  <c r="K142" i="25"/>
  <c r="J142" i="25"/>
  <c r="C142" i="25"/>
  <c r="F142" i="25"/>
  <c r="P142" i="25"/>
  <c r="R142" i="25"/>
  <c r="O192" i="31"/>
  <c r="M193" i="31"/>
  <c r="L194" i="31"/>
  <c r="J195" i="31"/>
  <c r="K195" i="31" s="1"/>
  <c r="P192" i="31"/>
  <c r="N193" i="31"/>
  <c r="F143" i="25" l="1"/>
  <c r="Q143" i="25"/>
  <c r="D143" i="25"/>
  <c r="L143" i="25"/>
  <c r="B144" i="25"/>
  <c r="E143" i="25"/>
  <c r="C143" i="25"/>
  <c r="I143" i="25"/>
  <c r="M143" i="25"/>
  <c r="K143" i="25"/>
  <c r="J143" i="25"/>
  <c r="H143" i="25"/>
  <c r="P143" i="25"/>
  <c r="G143" i="25"/>
  <c r="N143" i="25"/>
  <c r="O143" i="25"/>
  <c r="R143" i="25"/>
  <c r="O193" i="31"/>
  <c r="M194" i="31"/>
  <c r="L195" i="31"/>
  <c r="J196" i="31"/>
  <c r="K196" i="31" s="1"/>
  <c r="P193" i="31"/>
  <c r="N194" i="31"/>
  <c r="F144" i="25" l="1"/>
  <c r="M144" i="25"/>
  <c r="D144" i="25"/>
  <c r="L144" i="25"/>
  <c r="B145" i="25"/>
  <c r="K144" i="25"/>
  <c r="J144" i="25"/>
  <c r="G144" i="25"/>
  <c r="E144" i="25"/>
  <c r="C144" i="25"/>
  <c r="Q144" i="25"/>
  <c r="I144" i="25"/>
  <c r="P144" i="25"/>
  <c r="H144" i="25"/>
  <c r="O144" i="25"/>
  <c r="N144" i="25"/>
  <c r="R144" i="25"/>
  <c r="O194" i="31"/>
  <c r="M195" i="31"/>
  <c r="L196" i="31"/>
  <c r="J197" i="31"/>
  <c r="K197" i="31" s="1"/>
  <c r="P194" i="31"/>
  <c r="N195" i="31"/>
  <c r="E145" i="25" l="1"/>
  <c r="M145" i="25"/>
  <c r="G145" i="25"/>
  <c r="D145" i="25"/>
  <c r="L145" i="25"/>
  <c r="H145" i="25"/>
  <c r="P145" i="25"/>
  <c r="F145" i="25"/>
  <c r="N145" i="25"/>
  <c r="C145" i="25"/>
  <c r="K145" i="25"/>
  <c r="B146" i="25"/>
  <c r="J145" i="25"/>
  <c r="I145" i="25"/>
  <c r="Q145" i="25"/>
  <c r="O145" i="25"/>
  <c r="R145" i="25"/>
  <c r="O195" i="31"/>
  <c r="M196" i="31"/>
  <c r="L197" i="31"/>
  <c r="J198" i="31"/>
  <c r="K198" i="31" s="1"/>
  <c r="P195" i="31"/>
  <c r="N196" i="31"/>
  <c r="G146" i="25" l="1"/>
  <c r="D146" i="25"/>
  <c r="P146" i="25"/>
  <c r="C146" i="25"/>
  <c r="O146" i="25"/>
  <c r="B147" i="25"/>
  <c r="M146" i="25"/>
  <c r="J146" i="25"/>
  <c r="E146" i="25"/>
  <c r="K146" i="25"/>
  <c r="H146" i="25"/>
  <c r="I146" i="25"/>
  <c r="F146" i="25"/>
  <c r="N146" i="25"/>
  <c r="L146" i="25"/>
  <c r="Q146" i="25"/>
  <c r="R146" i="25"/>
  <c r="O196" i="31"/>
  <c r="M197" i="31"/>
  <c r="L198" i="31"/>
  <c r="J199" i="31"/>
  <c r="K199" i="31" s="1"/>
  <c r="N197" i="31"/>
  <c r="P196" i="31"/>
  <c r="F147" i="25" l="1"/>
  <c r="Q147" i="25"/>
  <c r="E147" i="25"/>
  <c r="C147" i="25"/>
  <c r="J147" i="25"/>
  <c r="P147" i="25"/>
  <c r="I147" i="25"/>
  <c r="N147" i="25"/>
  <c r="D147" i="25"/>
  <c r="L147" i="25"/>
  <c r="B148" i="25"/>
  <c r="G147" i="25"/>
  <c r="M147" i="25"/>
  <c r="K147" i="25"/>
  <c r="H147" i="25"/>
  <c r="O147" i="25"/>
  <c r="R147" i="25"/>
  <c r="O197" i="31"/>
  <c r="M198" i="31"/>
  <c r="L199" i="31"/>
  <c r="J200" i="31"/>
  <c r="K200" i="31" s="1"/>
  <c r="N198" i="31"/>
  <c r="P197" i="31"/>
  <c r="G148" i="25" l="1"/>
  <c r="L148" i="25"/>
  <c r="O148" i="25"/>
  <c r="E148" i="25"/>
  <c r="Q148" i="25"/>
  <c r="C148" i="25"/>
  <c r="P148" i="25"/>
  <c r="B149" i="25"/>
  <c r="N148" i="25"/>
  <c r="D148" i="25"/>
  <c r="J148" i="25"/>
  <c r="M148" i="25"/>
  <c r="K148" i="25"/>
  <c r="F148" i="25"/>
  <c r="I148" i="25"/>
  <c r="H148" i="25"/>
  <c r="R148" i="25"/>
  <c r="O198" i="31"/>
  <c r="M199" i="31"/>
  <c r="L200" i="31"/>
  <c r="J201" i="31"/>
  <c r="K201" i="31" s="1"/>
  <c r="N199" i="31"/>
  <c r="P198" i="31"/>
  <c r="G149" i="25" l="1"/>
  <c r="N149" i="25"/>
  <c r="C149" i="25"/>
  <c r="K149" i="25"/>
  <c r="E149" i="25"/>
  <c r="D149" i="25"/>
  <c r="B150" i="25"/>
  <c r="H149" i="25"/>
  <c r="L149" i="25"/>
  <c r="Q149" i="25"/>
  <c r="M149" i="25"/>
  <c r="I149" i="25"/>
  <c r="P149" i="25"/>
  <c r="J149" i="25"/>
  <c r="F149" i="25"/>
  <c r="O149" i="25"/>
  <c r="R149" i="25"/>
  <c r="O199" i="31"/>
  <c r="M200" i="31"/>
  <c r="L201" i="31"/>
  <c r="J202" i="31"/>
  <c r="K202" i="31" s="1"/>
  <c r="P199" i="31"/>
  <c r="N200" i="31"/>
  <c r="I150" i="25" l="1"/>
  <c r="O150" i="25"/>
  <c r="G150" i="25"/>
  <c r="C150" i="25"/>
  <c r="E150" i="25"/>
  <c r="L150" i="25"/>
  <c r="B151" i="25"/>
  <c r="J150" i="25"/>
  <c r="P150" i="25"/>
  <c r="N150" i="25"/>
  <c r="D150" i="25"/>
  <c r="Q150" i="25"/>
  <c r="H150" i="25"/>
  <c r="F150" i="25"/>
  <c r="K150" i="25"/>
  <c r="M150" i="25"/>
  <c r="R150" i="25"/>
  <c r="O200" i="31"/>
  <c r="M201" i="31"/>
  <c r="L202" i="31"/>
  <c r="J203" i="31"/>
  <c r="K203" i="31" s="1"/>
  <c r="N201" i="31"/>
  <c r="P200" i="31"/>
  <c r="F151" i="25" l="1"/>
  <c r="M151" i="25"/>
  <c r="D151" i="25"/>
  <c r="L151" i="25"/>
  <c r="B152" i="25"/>
  <c r="K151" i="25"/>
  <c r="J151" i="25"/>
  <c r="O151" i="25"/>
  <c r="H151" i="25"/>
  <c r="P151" i="25"/>
  <c r="Q151" i="25"/>
  <c r="I151" i="25"/>
  <c r="G151" i="25"/>
  <c r="N151" i="25"/>
  <c r="E151" i="25"/>
  <c r="C151" i="25"/>
  <c r="R151" i="25"/>
  <c r="O201" i="31"/>
  <c r="M202" i="31"/>
  <c r="L203" i="31"/>
  <c r="J204" i="31"/>
  <c r="K204" i="31" s="1"/>
  <c r="P201" i="31"/>
  <c r="N202" i="31"/>
  <c r="E152" i="25" l="1"/>
  <c r="C152" i="25"/>
  <c r="J152" i="25"/>
  <c r="P152" i="25"/>
  <c r="D152" i="25"/>
  <c r="L152" i="25"/>
  <c r="B153" i="25"/>
  <c r="K152" i="25"/>
  <c r="H152" i="25"/>
  <c r="O152" i="25"/>
  <c r="F152" i="25"/>
  <c r="G152" i="25"/>
  <c r="N152" i="25"/>
  <c r="M152" i="25"/>
  <c r="Q152" i="25"/>
  <c r="I152" i="25"/>
  <c r="R152" i="25"/>
  <c r="O202" i="31"/>
  <c r="M203" i="31"/>
  <c r="L204" i="31"/>
  <c r="J205" i="31"/>
  <c r="K205" i="31" s="1"/>
  <c r="P202" i="31"/>
  <c r="N203" i="31"/>
  <c r="E153" i="25" l="1"/>
  <c r="M153" i="25"/>
  <c r="D153" i="25"/>
  <c r="L153" i="25"/>
  <c r="C153" i="25"/>
  <c r="K153" i="25"/>
  <c r="B154" i="25"/>
  <c r="J153" i="25"/>
  <c r="I153" i="25"/>
  <c r="P153" i="25"/>
  <c r="Q153" i="25"/>
  <c r="G153" i="25"/>
  <c r="O153" i="25"/>
  <c r="H153" i="25"/>
  <c r="F153" i="25"/>
  <c r="N153" i="25"/>
  <c r="R153" i="25"/>
  <c r="O203" i="31"/>
  <c r="M204" i="31"/>
  <c r="L205" i="31"/>
  <c r="J206" i="31"/>
  <c r="K206" i="31" s="1"/>
  <c r="N204" i="31"/>
  <c r="P203" i="31"/>
  <c r="F154" i="25" l="1"/>
  <c r="E154" i="25"/>
  <c r="D154" i="25"/>
  <c r="P154" i="25"/>
  <c r="L154" i="25"/>
  <c r="C154" i="25"/>
  <c r="O154" i="25"/>
  <c r="B155" i="25"/>
  <c r="J154" i="25"/>
  <c r="I154" i="25"/>
  <c r="M154" i="25"/>
  <c r="Q154" i="25"/>
  <c r="K154" i="25"/>
  <c r="H154" i="25"/>
  <c r="G154" i="25"/>
  <c r="N154" i="25"/>
  <c r="R154" i="25"/>
  <c r="O204" i="31"/>
  <c r="M205" i="31"/>
  <c r="L206" i="31"/>
  <c r="J207" i="31"/>
  <c r="K207" i="31" s="1"/>
  <c r="N205" i="31"/>
  <c r="P204" i="31"/>
  <c r="F155" i="25" l="1"/>
  <c r="N155" i="25"/>
  <c r="L155" i="25"/>
  <c r="B156" i="25"/>
  <c r="K155" i="25"/>
  <c r="E155" i="25"/>
  <c r="C155" i="25"/>
  <c r="D155" i="25"/>
  <c r="I155" i="25"/>
  <c r="H155" i="25"/>
  <c r="M155" i="25"/>
  <c r="J155" i="25"/>
  <c r="Q155" i="25"/>
  <c r="O155" i="25"/>
  <c r="G155" i="25"/>
  <c r="P155" i="25"/>
  <c r="R155" i="25"/>
  <c r="O205" i="31"/>
  <c r="M206" i="31"/>
  <c r="L207" i="31"/>
  <c r="J208" i="31"/>
  <c r="K208" i="31" s="1"/>
  <c r="P205" i="31"/>
  <c r="N206" i="31"/>
  <c r="F156" i="25" l="1"/>
  <c r="Q156" i="25"/>
  <c r="P156" i="25"/>
  <c r="N156" i="25"/>
  <c r="D156" i="25"/>
  <c r="M156" i="25"/>
  <c r="G156" i="25"/>
  <c r="C156" i="25"/>
  <c r="O156" i="25"/>
  <c r="B157" i="25"/>
  <c r="E156" i="25"/>
  <c r="J156" i="25"/>
  <c r="I156" i="25"/>
  <c r="H156" i="25"/>
  <c r="K156" i="25"/>
  <c r="L156" i="25"/>
  <c r="R156" i="25"/>
  <c r="O206" i="31"/>
  <c r="M207" i="31"/>
  <c r="L208" i="31"/>
  <c r="J209" i="31"/>
  <c r="K209" i="31" s="1"/>
  <c r="N207" i="31"/>
  <c r="P206" i="31"/>
  <c r="H157" i="25" l="1"/>
  <c r="O157" i="25"/>
  <c r="J157" i="25"/>
  <c r="L157" i="25"/>
  <c r="P157" i="25"/>
  <c r="F157" i="25"/>
  <c r="M157" i="25"/>
  <c r="D157" i="25"/>
  <c r="C157" i="25"/>
  <c r="B158" i="25"/>
  <c r="I157" i="25"/>
  <c r="N157" i="25"/>
  <c r="E157" i="25"/>
  <c r="K157" i="25"/>
  <c r="Q157" i="25"/>
  <c r="G157" i="25"/>
  <c r="R157" i="25"/>
  <c r="O207" i="31"/>
  <c r="M208" i="31"/>
  <c r="L209" i="31"/>
  <c r="J210" i="31"/>
  <c r="K210" i="31" s="1"/>
  <c r="P207" i="31"/>
  <c r="N208" i="31"/>
  <c r="H158" i="25" l="1"/>
  <c r="C158" i="25"/>
  <c r="B159" i="25"/>
  <c r="I158" i="25"/>
  <c r="G158" i="25"/>
  <c r="Q158" i="25"/>
  <c r="F158" i="25"/>
  <c r="P158" i="25"/>
  <c r="D158" i="25"/>
  <c r="K158" i="25"/>
  <c r="N158" i="25"/>
  <c r="E158" i="25"/>
  <c r="J158" i="25"/>
  <c r="M158" i="25"/>
  <c r="L158" i="25"/>
  <c r="O158" i="25"/>
  <c r="R158" i="25"/>
  <c r="O208" i="31"/>
  <c r="M209" i="31"/>
  <c r="L210" i="31"/>
  <c r="J211" i="31"/>
  <c r="K211" i="31" s="1"/>
  <c r="P208" i="31"/>
  <c r="N209" i="31"/>
  <c r="F159" i="25" l="1"/>
  <c r="O159" i="25"/>
  <c r="E159" i="25"/>
  <c r="C159" i="25"/>
  <c r="D159" i="25"/>
  <c r="L159" i="25"/>
  <c r="B160" i="25"/>
  <c r="J159" i="25"/>
  <c r="P159" i="25"/>
  <c r="N159" i="25"/>
  <c r="H159" i="25"/>
  <c r="Q159" i="25"/>
  <c r="G159" i="25"/>
  <c r="M159" i="25"/>
  <c r="K159" i="25"/>
  <c r="I159" i="25"/>
  <c r="R159" i="25"/>
  <c r="O209" i="31"/>
  <c r="M210" i="31"/>
  <c r="L211" i="31"/>
  <c r="J212" i="31"/>
  <c r="K212" i="31" s="1"/>
  <c r="P209" i="31"/>
  <c r="N210" i="31"/>
  <c r="F160" i="25" l="1"/>
  <c r="M160" i="25"/>
  <c r="E160" i="25"/>
  <c r="J160" i="25"/>
  <c r="I160" i="25"/>
  <c r="C160" i="25"/>
  <c r="Q160" i="25"/>
  <c r="D160" i="25"/>
  <c r="L160" i="25"/>
  <c r="B161" i="25"/>
  <c r="K160" i="25"/>
  <c r="H160" i="25"/>
  <c r="O160" i="25"/>
  <c r="G160" i="25"/>
  <c r="N160" i="25"/>
  <c r="P160" i="25"/>
  <c r="R160" i="25"/>
  <c r="O210" i="31"/>
  <c r="M211" i="31"/>
  <c r="L212" i="31"/>
  <c r="J213" i="31"/>
  <c r="K213" i="31" s="1"/>
  <c r="N211" i="31"/>
  <c r="P210" i="31"/>
  <c r="E161" i="25" l="1"/>
  <c r="M161" i="25"/>
  <c r="C161" i="25"/>
  <c r="K161" i="25"/>
  <c r="B162" i="25"/>
  <c r="D161" i="25"/>
  <c r="L161" i="25"/>
  <c r="J161" i="25"/>
  <c r="I161" i="25"/>
  <c r="H161" i="25"/>
  <c r="G161" i="25"/>
  <c r="O161" i="25"/>
  <c r="F161" i="25"/>
  <c r="N161" i="25"/>
  <c r="Q161" i="25"/>
  <c r="P161" i="25"/>
  <c r="R161" i="25"/>
  <c r="O211" i="31"/>
  <c r="M212" i="31"/>
  <c r="L213" i="31"/>
  <c r="J214" i="31"/>
  <c r="K214" i="31" s="1"/>
  <c r="P211" i="31"/>
  <c r="N212" i="31"/>
  <c r="G162" i="25" l="1"/>
  <c r="D162" i="25"/>
  <c r="E162" i="25"/>
  <c r="Q162" i="25"/>
  <c r="M162" i="25"/>
  <c r="J162" i="25"/>
  <c r="C162" i="25"/>
  <c r="P162" i="25"/>
  <c r="B163" i="25"/>
  <c r="K162" i="25"/>
  <c r="H162" i="25"/>
  <c r="L162" i="25"/>
  <c r="I162" i="25"/>
  <c r="F162" i="25"/>
  <c r="O162" i="25"/>
  <c r="N162" i="25"/>
  <c r="R162" i="25"/>
  <c r="O212" i="31"/>
  <c r="M213" i="31"/>
  <c r="L214" i="31"/>
  <c r="J215" i="31"/>
  <c r="K215" i="31" s="1"/>
  <c r="P212" i="31"/>
  <c r="N213" i="31"/>
  <c r="F163" i="25" l="1"/>
  <c r="C163" i="25"/>
  <c r="D163" i="25"/>
  <c r="B164" i="25"/>
  <c r="K163" i="25"/>
  <c r="E163" i="25"/>
  <c r="M163" i="25"/>
  <c r="J163" i="25"/>
  <c r="I163" i="25"/>
  <c r="L163" i="25"/>
  <c r="H163" i="25"/>
  <c r="Q163" i="25"/>
  <c r="G163" i="25"/>
  <c r="O163" i="25"/>
  <c r="P163" i="25"/>
  <c r="N163" i="25"/>
  <c r="R163" i="25"/>
  <c r="O213" i="31"/>
  <c r="M214" i="31"/>
  <c r="L215" i="31"/>
  <c r="J216" i="31"/>
  <c r="K216" i="31" s="1"/>
  <c r="P213" i="31"/>
  <c r="N214" i="31"/>
  <c r="G164" i="25" l="1"/>
  <c r="D164" i="25"/>
  <c r="O164" i="25"/>
  <c r="E164" i="25"/>
  <c r="Q164" i="25"/>
  <c r="M164" i="25"/>
  <c r="C164" i="25"/>
  <c r="P164" i="25"/>
  <c r="B165" i="25"/>
  <c r="H164" i="25"/>
  <c r="K164" i="25"/>
  <c r="F164" i="25"/>
  <c r="N164" i="25"/>
  <c r="L164" i="25"/>
  <c r="I164" i="25"/>
  <c r="J164" i="25"/>
  <c r="R164" i="25"/>
  <c r="O214" i="31"/>
  <c r="M215" i="31"/>
  <c r="L216" i="31"/>
  <c r="J217" i="31"/>
  <c r="K217" i="31" s="1"/>
  <c r="P214" i="31"/>
  <c r="P215" i="31"/>
  <c r="E165" i="25" l="1"/>
  <c r="D165" i="25"/>
  <c r="F165" i="25"/>
  <c r="H165" i="25"/>
  <c r="M165" i="25"/>
  <c r="Q165" i="25"/>
  <c r="C165" i="25"/>
  <c r="P165" i="25"/>
  <c r="L165" i="25"/>
  <c r="G165" i="25"/>
  <c r="N165" i="25"/>
  <c r="B166" i="25"/>
  <c r="K165" i="25"/>
  <c r="O165" i="25"/>
  <c r="I165" i="25"/>
  <c r="J165" i="25"/>
  <c r="R165" i="25"/>
  <c r="M216" i="31"/>
  <c r="L217" i="31"/>
  <c r="J218" i="31"/>
  <c r="K218" i="31" s="1"/>
  <c r="N215" i="31"/>
  <c r="N216" i="31"/>
  <c r="I166" i="25" l="1"/>
  <c r="C166" i="25"/>
  <c r="H166" i="25"/>
  <c r="O166" i="25"/>
  <c r="M166" i="25"/>
  <c r="G166" i="25"/>
  <c r="L166" i="25"/>
  <c r="F166" i="25"/>
  <c r="D166" i="25"/>
  <c r="N166" i="25"/>
  <c r="E166" i="25"/>
  <c r="J166" i="25"/>
  <c r="B167" i="25"/>
  <c r="P166" i="25"/>
  <c r="K166" i="25"/>
  <c r="Q166" i="25"/>
  <c r="R166" i="25"/>
  <c r="O215" i="31"/>
  <c r="O216" i="31"/>
  <c r="M217" i="31"/>
  <c r="L218" i="31"/>
  <c r="J219" i="31"/>
  <c r="K219" i="31" s="1"/>
  <c r="P216" i="31"/>
  <c r="N217" i="31"/>
  <c r="F167" i="25" l="1"/>
  <c r="C167" i="25"/>
  <c r="J167" i="25"/>
  <c r="I167" i="25"/>
  <c r="O167" i="25"/>
  <c r="E167" i="25"/>
  <c r="M167" i="25"/>
  <c r="D167" i="25"/>
  <c r="L167" i="25"/>
  <c r="B168" i="25"/>
  <c r="K167" i="25"/>
  <c r="P167" i="25"/>
  <c r="G167" i="25"/>
  <c r="N167" i="25"/>
  <c r="Q167" i="25"/>
  <c r="H167" i="25"/>
  <c r="R167" i="25"/>
  <c r="O217" i="31"/>
  <c r="M218" i="31"/>
  <c r="L219" i="31"/>
  <c r="J220" i="31"/>
  <c r="K220" i="31" s="1"/>
  <c r="P217" i="31"/>
  <c r="N218" i="31"/>
  <c r="C9" i="25"/>
  <c r="F168" i="25" l="1"/>
  <c r="C168" i="25"/>
  <c r="H168" i="25"/>
  <c r="N168" i="25"/>
  <c r="E168" i="25"/>
  <c r="M168" i="25"/>
  <c r="O168" i="25"/>
  <c r="G168" i="25"/>
  <c r="D168" i="25"/>
  <c r="L168" i="25"/>
  <c r="B169" i="25"/>
  <c r="K168" i="25"/>
  <c r="J168" i="25"/>
  <c r="Q168" i="25"/>
  <c r="I168" i="25"/>
  <c r="P168" i="25"/>
  <c r="R168" i="25"/>
  <c r="O218" i="31"/>
  <c r="M219" i="31"/>
  <c r="L220" i="31"/>
  <c r="J221" i="31"/>
  <c r="K221" i="31" s="1"/>
  <c r="P218" i="31"/>
  <c r="N219" i="31"/>
  <c r="E169" i="25" l="1"/>
  <c r="M169" i="25"/>
  <c r="Q169" i="25"/>
  <c r="P169" i="25"/>
  <c r="G169" i="25"/>
  <c r="O169" i="25"/>
  <c r="N169" i="25"/>
  <c r="D169" i="25"/>
  <c r="L169" i="25"/>
  <c r="C169" i="25"/>
  <c r="K169" i="25"/>
  <c r="B170" i="25"/>
  <c r="J169" i="25"/>
  <c r="I169" i="25"/>
  <c r="H169" i="25"/>
  <c r="F169" i="25"/>
  <c r="R169" i="25"/>
  <c r="O219" i="31"/>
  <c r="M220" i="31"/>
  <c r="L221" i="31"/>
  <c r="J222" i="31"/>
  <c r="K222" i="31" s="1"/>
  <c r="P219" i="31"/>
  <c r="N220" i="31"/>
  <c r="F170" i="25" l="1"/>
  <c r="G170" i="25"/>
  <c r="O170" i="25"/>
  <c r="N170" i="25"/>
  <c r="Q170" i="25"/>
  <c r="D170" i="25"/>
  <c r="E170" i="25"/>
  <c r="J170" i="25"/>
  <c r="K170" i="25"/>
  <c r="C170" i="25"/>
  <c r="B171" i="25"/>
  <c r="M170" i="25"/>
  <c r="L170" i="25"/>
  <c r="H170" i="25"/>
  <c r="I170" i="25"/>
  <c r="P170" i="25"/>
  <c r="R170" i="25"/>
  <c r="O220" i="31"/>
  <c r="M221" i="31"/>
  <c r="L222" i="31"/>
  <c r="J223" i="31"/>
  <c r="K223" i="31" s="1"/>
  <c r="P220" i="31"/>
  <c r="N221" i="31"/>
  <c r="F171" i="25" l="1"/>
  <c r="C171" i="25"/>
  <c r="M171" i="25"/>
  <c r="E171" i="25"/>
  <c r="Q171" i="25"/>
  <c r="O171" i="25"/>
  <c r="G171" i="25"/>
  <c r="N171" i="25"/>
  <c r="D171" i="25"/>
  <c r="L171" i="25"/>
  <c r="B172" i="25"/>
  <c r="K171" i="25"/>
  <c r="J171" i="25"/>
  <c r="I171" i="25"/>
  <c r="H171" i="25"/>
  <c r="P171" i="25"/>
  <c r="R171" i="25"/>
  <c r="O221" i="31"/>
  <c r="M222" i="31"/>
  <c r="L223" i="31"/>
  <c r="J224" i="31"/>
  <c r="K224" i="31" s="1"/>
  <c r="N222" i="31"/>
  <c r="P221" i="31"/>
  <c r="F172" i="25" l="1"/>
  <c r="K172" i="25"/>
  <c r="L172" i="25"/>
  <c r="M172" i="25"/>
  <c r="E172" i="25"/>
  <c r="D172" i="25"/>
  <c r="Q172" i="25"/>
  <c r="C172" i="25"/>
  <c r="P172" i="25"/>
  <c r="B173" i="25"/>
  <c r="O172" i="25"/>
  <c r="N172" i="25"/>
  <c r="G172" i="25"/>
  <c r="J172" i="25"/>
  <c r="I172" i="25"/>
  <c r="H172" i="25"/>
  <c r="R172" i="25"/>
  <c r="O222" i="31"/>
  <c r="M223" i="31"/>
  <c r="L224" i="31"/>
  <c r="J225" i="31"/>
  <c r="K225" i="31" s="1"/>
  <c r="P222" i="31"/>
  <c r="N223" i="31"/>
  <c r="F173" i="25" l="1"/>
  <c r="O173" i="25"/>
  <c r="M173" i="25"/>
  <c r="I173" i="25"/>
  <c r="K173" i="25"/>
  <c r="J173" i="25"/>
  <c r="N173" i="25"/>
  <c r="C173" i="25"/>
  <c r="D173" i="25"/>
  <c r="L173" i="25"/>
  <c r="H173" i="25"/>
  <c r="G173" i="25"/>
  <c r="B174" i="25"/>
  <c r="P173" i="25"/>
  <c r="E173" i="25"/>
  <c r="Q173" i="25"/>
  <c r="R173" i="25"/>
  <c r="O223" i="31"/>
  <c r="M224" i="31"/>
  <c r="L225" i="31"/>
  <c r="J226" i="31"/>
  <c r="K226" i="31" s="1"/>
  <c r="P223" i="31"/>
  <c r="N224" i="31"/>
  <c r="H174" i="25" l="1"/>
  <c r="N174" i="25"/>
  <c r="B175" i="25"/>
  <c r="O174" i="25"/>
  <c r="J174" i="25"/>
  <c r="F174" i="25"/>
  <c r="M174" i="25"/>
  <c r="Q174" i="25"/>
  <c r="L174" i="25"/>
  <c r="C174" i="25"/>
  <c r="D174" i="25"/>
  <c r="K174" i="25"/>
  <c r="I174" i="25"/>
  <c r="G174" i="25"/>
  <c r="E174" i="25"/>
  <c r="P174" i="25"/>
  <c r="R174" i="25"/>
  <c r="O224" i="31"/>
  <c r="M225" i="31"/>
  <c r="L226" i="31"/>
  <c r="J227" i="31"/>
  <c r="K227" i="31" s="1"/>
  <c r="P224" i="31"/>
  <c r="N225" i="31"/>
  <c r="F175" i="25" l="1"/>
  <c r="C175" i="25"/>
  <c r="L175" i="25"/>
  <c r="I175" i="25"/>
  <c r="E175" i="25"/>
  <c r="M175" i="25"/>
  <c r="J175" i="25"/>
  <c r="D175" i="25"/>
  <c r="B176" i="25"/>
  <c r="K175" i="25"/>
  <c r="Q175" i="25"/>
  <c r="O175" i="25"/>
  <c r="H175" i="25"/>
  <c r="P175" i="25"/>
  <c r="G175" i="25"/>
  <c r="N175" i="25"/>
  <c r="R175" i="25"/>
  <c r="O225" i="31"/>
  <c r="M226" i="31"/>
  <c r="L227" i="31"/>
  <c r="J228" i="31"/>
  <c r="K228" i="31" s="1"/>
  <c r="P225" i="31"/>
  <c r="N226" i="31"/>
  <c r="F176" i="25" l="1"/>
  <c r="C176" i="25"/>
  <c r="K176" i="25"/>
  <c r="J176" i="25"/>
  <c r="I176" i="25"/>
  <c r="E176" i="25"/>
  <c r="M176" i="25"/>
  <c r="G176" i="25"/>
  <c r="D176" i="25"/>
  <c r="L176" i="25"/>
  <c r="B177" i="25"/>
  <c r="Q176" i="25"/>
  <c r="P176" i="25"/>
  <c r="H176" i="25"/>
  <c r="O176" i="25"/>
  <c r="N176" i="25"/>
  <c r="R176" i="25"/>
  <c r="O226" i="31"/>
  <c r="M227" i="31"/>
  <c r="L228" i="31"/>
  <c r="J229" i="31"/>
  <c r="K229" i="31" s="1"/>
  <c r="P226" i="31"/>
  <c r="N227" i="31"/>
  <c r="E177" i="25" l="1"/>
  <c r="M177" i="25"/>
  <c r="J177" i="25"/>
  <c r="I177" i="25"/>
  <c r="Q177" i="25"/>
  <c r="P177" i="25"/>
  <c r="N177" i="25"/>
  <c r="D177" i="25"/>
  <c r="L177" i="25"/>
  <c r="C177" i="25"/>
  <c r="K177" i="25"/>
  <c r="B178" i="25"/>
  <c r="H177" i="25"/>
  <c r="F177" i="25"/>
  <c r="G177" i="25"/>
  <c r="O177" i="25"/>
  <c r="R177" i="25"/>
  <c r="O227" i="31"/>
  <c r="M228" i="31"/>
  <c r="L229" i="31"/>
  <c r="J230" i="31"/>
  <c r="K230" i="31" s="1"/>
  <c r="P227" i="31"/>
  <c r="N228" i="31"/>
  <c r="G178" i="25" l="1"/>
  <c r="D178" i="25"/>
  <c r="M178" i="25"/>
  <c r="J178" i="25"/>
  <c r="K178" i="25"/>
  <c r="H178" i="25"/>
  <c r="C178" i="25"/>
  <c r="O178" i="25"/>
  <c r="B179" i="25"/>
  <c r="I178" i="25"/>
  <c r="F178" i="25"/>
  <c r="E178" i="25"/>
  <c r="P178" i="25"/>
  <c r="N178" i="25"/>
  <c r="Q178" i="25"/>
  <c r="L178" i="25"/>
  <c r="R178" i="25"/>
  <c r="O228" i="31"/>
  <c r="M229" i="31"/>
  <c r="L230" i="31"/>
  <c r="J231" i="31"/>
  <c r="K231" i="31" s="1"/>
  <c r="P228" i="31"/>
  <c r="N229" i="31"/>
  <c r="F179" i="25" l="1"/>
  <c r="C179" i="25"/>
  <c r="E179" i="25"/>
  <c r="I179" i="25"/>
  <c r="P179" i="25"/>
  <c r="H179" i="25"/>
  <c r="N179" i="25"/>
  <c r="D179" i="25"/>
  <c r="L179" i="25"/>
  <c r="B180" i="25"/>
  <c r="J179" i="25"/>
  <c r="G179" i="25"/>
  <c r="O179" i="25"/>
  <c r="M179" i="25"/>
  <c r="K179" i="25"/>
  <c r="Q179" i="25"/>
  <c r="R179" i="25"/>
  <c r="O229" i="31"/>
  <c r="M230" i="31"/>
  <c r="L231" i="31"/>
  <c r="J232" i="31"/>
  <c r="K232" i="31" s="1"/>
  <c r="N230" i="31"/>
  <c r="P229" i="31"/>
  <c r="G180" i="25" l="1"/>
  <c r="J180" i="25"/>
  <c r="D180" i="25"/>
  <c r="H180" i="25"/>
  <c r="E180" i="25"/>
  <c r="Q180" i="25"/>
  <c r="I180" i="25"/>
  <c r="C180" i="25"/>
  <c r="P180" i="25"/>
  <c r="B181" i="25"/>
  <c r="O180" i="25"/>
  <c r="N180" i="25"/>
  <c r="M180" i="25"/>
  <c r="K180" i="25"/>
  <c r="L180" i="25"/>
  <c r="F180" i="25"/>
  <c r="R180" i="25"/>
  <c r="O230" i="31"/>
  <c r="M231" i="31"/>
  <c r="L232" i="31"/>
  <c r="J233" i="31"/>
  <c r="K233" i="31" s="1"/>
  <c r="P230" i="31"/>
  <c r="N231" i="31"/>
  <c r="E181" i="25" l="1"/>
  <c r="F181" i="25"/>
  <c r="I181" i="25"/>
  <c r="N181" i="25"/>
  <c r="B182" i="25"/>
  <c r="C181" i="25"/>
  <c r="P181" i="25"/>
  <c r="D181" i="25"/>
  <c r="Q181" i="25"/>
  <c r="O181" i="25"/>
  <c r="J181" i="25"/>
  <c r="H181" i="25"/>
  <c r="K181" i="25"/>
  <c r="G181" i="25"/>
  <c r="L181" i="25"/>
  <c r="M181" i="25"/>
  <c r="R181" i="25"/>
  <c r="O231" i="31"/>
  <c r="M232" i="31"/>
  <c r="L233" i="31"/>
  <c r="J234" i="31"/>
  <c r="K234" i="31" s="1"/>
  <c r="P231" i="31"/>
  <c r="N232" i="31"/>
  <c r="I182" i="25" l="1"/>
  <c r="C182" i="25"/>
  <c r="E182" i="25"/>
  <c r="B183" i="25"/>
  <c r="G182" i="25"/>
  <c r="L182" i="25"/>
  <c r="J182" i="25"/>
  <c r="D182" i="25"/>
  <c r="P182" i="25"/>
  <c r="K182" i="25"/>
  <c r="O182" i="25"/>
  <c r="H182" i="25"/>
  <c r="F182" i="25"/>
  <c r="M182" i="25"/>
  <c r="N182" i="25"/>
  <c r="Q182" i="25"/>
  <c r="R182" i="25"/>
  <c r="O232" i="31"/>
  <c r="M233" i="31"/>
  <c r="L234" i="31"/>
  <c r="J235" i="31"/>
  <c r="K235" i="31" s="1"/>
  <c r="P232" i="31"/>
  <c r="P233" i="31"/>
  <c r="F183" i="25" l="1"/>
  <c r="C183" i="25"/>
  <c r="B184" i="25"/>
  <c r="Q183" i="25"/>
  <c r="E183" i="25"/>
  <c r="M183" i="25"/>
  <c r="J183" i="25"/>
  <c r="H183" i="25"/>
  <c r="N183" i="25"/>
  <c r="I183" i="25"/>
  <c r="G183" i="25"/>
  <c r="P183" i="25"/>
  <c r="D183" i="25"/>
  <c r="L183" i="25"/>
  <c r="K183" i="25"/>
  <c r="O183" i="25"/>
  <c r="R183" i="25"/>
  <c r="M234" i="31"/>
  <c r="L235" i="31"/>
  <c r="J236" i="31"/>
  <c r="K236" i="31" s="1"/>
  <c r="N233" i="31"/>
  <c r="N234" i="31"/>
  <c r="F184" i="25" l="1"/>
  <c r="C184" i="25"/>
  <c r="D184" i="25"/>
  <c r="L184" i="25"/>
  <c r="B185" i="25"/>
  <c r="E184" i="25"/>
  <c r="M184" i="25"/>
  <c r="I184" i="25"/>
  <c r="P184" i="25"/>
  <c r="H184" i="25"/>
  <c r="O184" i="25"/>
  <c r="G184" i="25"/>
  <c r="N184" i="25"/>
  <c r="K184" i="25"/>
  <c r="J184" i="25"/>
  <c r="Q184" i="25"/>
  <c r="R184" i="25"/>
  <c r="O233" i="31"/>
  <c r="O234" i="31"/>
  <c r="M235" i="31"/>
  <c r="L236" i="31"/>
  <c r="J237" i="31"/>
  <c r="K237" i="31" s="1"/>
  <c r="P234" i="31"/>
  <c r="N235" i="31"/>
  <c r="E185" i="25" l="1"/>
  <c r="M185" i="25"/>
  <c r="C185" i="25"/>
  <c r="K185" i="25"/>
  <c r="D185" i="25"/>
  <c r="L185" i="25"/>
  <c r="H185" i="25"/>
  <c r="P185" i="25"/>
  <c r="G185" i="25"/>
  <c r="O185" i="25"/>
  <c r="J185" i="25"/>
  <c r="I185" i="25"/>
  <c r="Q185" i="25"/>
  <c r="F185" i="25"/>
  <c r="N185" i="25"/>
  <c r="B186" i="25"/>
  <c r="R185" i="25"/>
  <c r="O235" i="31"/>
  <c r="M236" i="31"/>
  <c r="L237" i="31"/>
  <c r="J238" i="31"/>
  <c r="K238" i="31" s="1"/>
  <c r="P235" i="31"/>
  <c r="N236" i="31"/>
  <c r="F186" i="25" l="1"/>
  <c r="E186" i="25"/>
  <c r="M186" i="25"/>
  <c r="J186" i="25"/>
  <c r="I186" i="25"/>
  <c r="D186" i="25"/>
  <c r="Q186" i="25"/>
  <c r="O186" i="25"/>
  <c r="N186" i="25"/>
  <c r="L186" i="25"/>
  <c r="K186" i="25"/>
  <c r="H186" i="25"/>
  <c r="G186" i="25"/>
  <c r="C186" i="25"/>
  <c r="P186" i="25"/>
  <c r="B187" i="25"/>
  <c r="R186" i="25"/>
  <c r="O236" i="31"/>
  <c r="M237" i="31"/>
  <c r="L238" i="31"/>
  <c r="J239" i="31"/>
  <c r="K239" i="31" s="1"/>
  <c r="P236" i="31"/>
  <c r="N237" i="31"/>
  <c r="F187" i="25" l="1"/>
  <c r="C187" i="25"/>
  <c r="D187" i="25"/>
  <c r="B188" i="25"/>
  <c r="O187" i="25"/>
  <c r="E187" i="25"/>
  <c r="M187" i="25"/>
  <c r="J187" i="25"/>
  <c r="K187" i="25"/>
  <c r="I187" i="25"/>
  <c r="H187" i="25"/>
  <c r="P187" i="25"/>
  <c r="G187" i="25"/>
  <c r="N187" i="25"/>
  <c r="L187" i="25"/>
  <c r="Q187" i="25"/>
  <c r="R187" i="25"/>
  <c r="O237" i="31"/>
  <c r="M238" i="31"/>
  <c r="L239" i="31"/>
  <c r="J240" i="31"/>
  <c r="K240" i="31" s="1"/>
  <c r="P237" i="31"/>
  <c r="N238" i="31"/>
  <c r="F188" i="25" l="1"/>
  <c r="E188" i="25"/>
  <c r="C188" i="25"/>
  <c r="P188" i="25"/>
  <c r="B189" i="25"/>
  <c r="N188" i="25"/>
  <c r="M188" i="25"/>
  <c r="D188" i="25"/>
  <c r="Q188" i="25"/>
  <c r="O188" i="25"/>
  <c r="L188" i="25"/>
  <c r="J188" i="25"/>
  <c r="G188" i="25"/>
  <c r="H188" i="25"/>
  <c r="K188" i="25"/>
  <c r="I188" i="25"/>
  <c r="R188" i="25"/>
  <c r="O238" i="31"/>
  <c r="M239" i="31"/>
  <c r="L240" i="31"/>
  <c r="J241" i="31"/>
  <c r="K241" i="31" s="1"/>
  <c r="P238" i="31"/>
  <c r="N239" i="31"/>
  <c r="H189" i="25" l="1"/>
  <c r="G189" i="25"/>
  <c r="F189" i="25"/>
  <c r="Q189" i="25"/>
  <c r="C189" i="25"/>
  <c r="K189" i="25"/>
  <c r="P189" i="25"/>
  <c r="N189" i="25"/>
  <c r="E189" i="25"/>
  <c r="M189" i="25"/>
  <c r="L189" i="25"/>
  <c r="D189" i="25"/>
  <c r="O189" i="25"/>
  <c r="B190" i="25"/>
  <c r="I189" i="25"/>
  <c r="J189" i="25"/>
  <c r="R189" i="25"/>
  <c r="O239" i="31"/>
  <c r="M240" i="31"/>
  <c r="L241" i="31"/>
  <c r="J242" i="31"/>
  <c r="K242" i="31" s="1"/>
  <c r="N240" i="31"/>
  <c r="P239" i="31"/>
  <c r="H190" i="25" l="1"/>
  <c r="C190" i="25"/>
  <c r="D190" i="25"/>
  <c r="K190" i="25"/>
  <c r="F190" i="25"/>
  <c r="M190" i="25"/>
  <c r="I190" i="25"/>
  <c r="G190" i="25"/>
  <c r="E190" i="25"/>
  <c r="N190" i="25"/>
  <c r="J190" i="25"/>
  <c r="O190" i="25"/>
  <c r="B191" i="25"/>
  <c r="P190" i="25"/>
  <c r="L190" i="25"/>
  <c r="Q190" i="25"/>
  <c r="R190" i="25"/>
  <c r="O240" i="31"/>
  <c r="M241" i="31"/>
  <c r="L242" i="31"/>
  <c r="J243" i="31"/>
  <c r="K243" i="31" s="1"/>
  <c r="P240" i="31"/>
  <c r="N241" i="31"/>
  <c r="F191" i="25" l="1"/>
  <c r="C191" i="25"/>
  <c r="K191" i="25"/>
  <c r="J191" i="25"/>
  <c r="P191" i="25"/>
  <c r="H191" i="25"/>
  <c r="O191" i="25"/>
  <c r="E191" i="25"/>
  <c r="M191" i="25"/>
  <c r="I191" i="25"/>
  <c r="N191" i="25"/>
  <c r="G191" i="25"/>
  <c r="Q191" i="25"/>
  <c r="D191" i="25"/>
  <c r="L191" i="25"/>
  <c r="B192" i="25"/>
  <c r="R191" i="25"/>
  <c r="O241" i="31"/>
  <c r="M242" i="31"/>
  <c r="L243" i="31"/>
  <c r="J244" i="31"/>
  <c r="K244" i="31" s="1"/>
  <c r="N242" i="31"/>
  <c r="P241" i="31"/>
  <c r="F192" i="25" l="1"/>
  <c r="C192" i="25"/>
  <c r="L192" i="25"/>
  <c r="K192" i="25"/>
  <c r="J192" i="25"/>
  <c r="E192" i="25"/>
  <c r="M192" i="25"/>
  <c r="D192" i="25"/>
  <c r="B193" i="25"/>
  <c r="I192" i="25"/>
  <c r="P192" i="25"/>
  <c r="Q192" i="25"/>
  <c r="H192" i="25"/>
  <c r="O192" i="25"/>
  <c r="G192" i="25"/>
  <c r="N192" i="25"/>
  <c r="R192" i="25"/>
  <c r="O242" i="31"/>
  <c r="M243" i="31"/>
  <c r="L244" i="31"/>
  <c r="J245" i="31"/>
  <c r="K245" i="31" s="1"/>
  <c r="P242" i="31"/>
  <c r="N243" i="31"/>
  <c r="E193" i="25" l="1"/>
  <c r="M193" i="25"/>
  <c r="J193" i="25"/>
  <c r="H193" i="25"/>
  <c r="P193" i="25"/>
  <c r="I193" i="25"/>
  <c r="Q193" i="25"/>
  <c r="G193" i="25"/>
  <c r="O193" i="25"/>
  <c r="C193" i="25"/>
  <c r="K193" i="25"/>
  <c r="B194" i="25"/>
  <c r="F193" i="25"/>
  <c r="N193" i="25"/>
  <c r="D193" i="25"/>
  <c r="L193" i="25"/>
  <c r="R193" i="25"/>
  <c r="O243" i="31"/>
  <c r="M244" i="31"/>
  <c r="L245" i="31"/>
  <c r="J246" i="31"/>
  <c r="K246" i="31" s="1"/>
  <c r="P243" i="31"/>
  <c r="N244" i="31"/>
  <c r="N194" i="25" l="1"/>
  <c r="Q194" i="25"/>
  <c r="E194" i="25"/>
  <c r="D194" i="25"/>
  <c r="O194" i="25"/>
  <c r="M194" i="25"/>
  <c r="L194" i="25"/>
  <c r="K194" i="25"/>
  <c r="J194" i="25"/>
  <c r="G194" i="25"/>
  <c r="F194" i="25"/>
  <c r="I194" i="25"/>
  <c r="H194" i="25"/>
  <c r="C194" i="25"/>
  <c r="P194" i="25"/>
  <c r="B195" i="25"/>
  <c r="R194" i="25"/>
  <c r="O244" i="31"/>
  <c r="M245" i="31"/>
  <c r="L246" i="31"/>
  <c r="J247" i="31"/>
  <c r="K247" i="31" s="1"/>
  <c r="P244" i="31"/>
  <c r="N245" i="31"/>
  <c r="F195" i="25" l="1"/>
  <c r="C195" i="25"/>
  <c r="M195" i="25"/>
  <c r="E195" i="25"/>
  <c r="D195" i="25"/>
  <c r="L195" i="25"/>
  <c r="B196" i="25"/>
  <c r="K195" i="25"/>
  <c r="J195" i="25"/>
  <c r="I195" i="25"/>
  <c r="N195" i="25"/>
  <c r="H195" i="25"/>
  <c r="Q195" i="25"/>
  <c r="G195" i="25"/>
  <c r="O195" i="25"/>
  <c r="P195" i="25"/>
  <c r="R195" i="25"/>
  <c r="O245" i="31"/>
  <c r="M246" i="31"/>
  <c r="L247" i="31"/>
  <c r="J248" i="31"/>
  <c r="K248" i="31" s="1"/>
  <c r="P245" i="31"/>
  <c r="N246" i="31"/>
  <c r="G196" i="25" l="1"/>
  <c r="F196" i="25"/>
  <c r="E196" i="25"/>
  <c r="Q196" i="25"/>
  <c r="J196" i="25"/>
  <c r="M196" i="25"/>
  <c r="D196" i="25"/>
  <c r="N196" i="25"/>
  <c r="K196" i="25"/>
  <c r="H196" i="25"/>
  <c r="I196" i="25"/>
  <c r="L196" i="25"/>
  <c r="C196" i="25"/>
  <c r="P196" i="25"/>
  <c r="B197" i="25"/>
  <c r="O196" i="25"/>
  <c r="R196" i="25"/>
  <c r="O246" i="31"/>
  <c r="M247" i="31"/>
  <c r="L248" i="31"/>
  <c r="J249" i="31"/>
  <c r="K249" i="31" s="1"/>
  <c r="N247" i="31"/>
  <c r="P246" i="31"/>
  <c r="G197" i="25" l="1"/>
  <c r="H197" i="25"/>
  <c r="F197" i="25"/>
  <c r="Q197" i="25"/>
  <c r="L197" i="25"/>
  <c r="O197" i="25"/>
  <c r="E197" i="25"/>
  <c r="M197" i="25"/>
  <c r="I197" i="25"/>
  <c r="K197" i="25"/>
  <c r="P197" i="25"/>
  <c r="C197" i="25"/>
  <c r="N197" i="25"/>
  <c r="B198" i="25"/>
  <c r="J197" i="25"/>
  <c r="D197" i="25"/>
  <c r="R197" i="25"/>
  <c r="O247" i="31"/>
  <c r="M248" i="31"/>
  <c r="L249" i="31"/>
  <c r="J250" i="31"/>
  <c r="K250" i="31" s="1"/>
  <c r="P247" i="31"/>
  <c r="N248" i="31"/>
  <c r="G198" i="25" l="1"/>
  <c r="L198" i="25"/>
  <c r="C198" i="25"/>
  <c r="H198" i="25"/>
  <c r="B199" i="25"/>
  <c r="P198" i="25"/>
  <c r="E198" i="25"/>
  <c r="J198" i="25"/>
  <c r="M198" i="25"/>
  <c r="N198" i="25"/>
  <c r="K198" i="25"/>
  <c r="Q198" i="25"/>
  <c r="I198" i="25"/>
  <c r="O198" i="25"/>
  <c r="F198" i="25"/>
  <c r="D198" i="25"/>
  <c r="R198" i="25"/>
  <c r="O248" i="31"/>
  <c r="M249" i="31"/>
  <c r="L250" i="31"/>
  <c r="J251" i="31"/>
  <c r="K251" i="31" s="1"/>
  <c r="P249" i="31"/>
  <c r="P248" i="31"/>
  <c r="F199" i="25" l="1"/>
  <c r="C199" i="25"/>
  <c r="E199" i="25"/>
  <c r="M199" i="25"/>
  <c r="D199" i="25"/>
  <c r="L199" i="25"/>
  <c r="B200" i="25"/>
  <c r="I199" i="25"/>
  <c r="N199" i="25"/>
  <c r="O199" i="25"/>
  <c r="P199" i="25"/>
  <c r="H199" i="25"/>
  <c r="Q199" i="25"/>
  <c r="G199" i="25"/>
  <c r="K199" i="25"/>
  <c r="J199" i="25"/>
  <c r="R199" i="25"/>
  <c r="M250" i="31"/>
  <c r="L251" i="31"/>
  <c r="J252" i="31"/>
  <c r="K252" i="31" s="1"/>
  <c r="N249" i="31"/>
  <c r="N250" i="31"/>
  <c r="F200" i="25" l="1"/>
  <c r="C200" i="25"/>
  <c r="D200" i="25"/>
  <c r="L200" i="25"/>
  <c r="B201" i="25"/>
  <c r="Q200" i="25"/>
  <c r="E200" i="25"/>
  <c r="M200" i="25"/>
  <c r="K200" i="25"/>
  <c r="J200" i="25"/>
  <c r="I200" i="25"/>
  <c r="P200" i="25"/>
  <c r="H200" i="25"/>
  <c r="O200" i="25"/>
  <c r="G200" i="25"/>
  <c r="N200" i="25"/>
  <c r="R200" i="25"/>
  <c r="O249" i="31"/>
  <c r="O250" i="31"/>
  <c r="M251" i="31"/>
  <c r="L252" i="31"/>
  <c r="J253" i="31"/>
  <c r="K253" i="31" s="1"/>
  <c r="P250" i="31"/>
  <c r="N251" i="31"/>
  <c r="E201" i="25" l="1"/>
  <c r="M201" i="25"/>
  <c r="K201" i="25"/>
  <c r="B202" i="25"/>
  <c r="H201" i="25"/>
  <c r="G201" i="25"/>
  <c r="F201" i="25"/>
  <c r="D201" i="25"/>
  <c r="L201" i="25"/>
  <c r="I201" i="25"/>
  <c r="O201" i="25"/>
  <c r="N201" i="25"/>
  <c r="C201" i="25"/>
  <c r="J201" i="25"/>
  <c r="Q201" i="25"/>
  <c r="P201" i="25"/>
  <c r="R201" i="25"/>
  <c r="O251" i="31"/>
  <c r="M252" i="31"/>
  <c r="L253" i="31"/>
  <c r="J254" i="31"/>
  <c r="K254" i="31" s="1"/>
  <c r="P251" i="31"/>
  <c r="N252" i="31"/>
  <c r="F202" i="25" l="1"/>
  <c r="E202" i="25"/>
  <c r="O202" i="25"/>
  <c r="N202" i="25"/>
  <c r="M202" i="25"/>
  <c r="K202" i="25"/>
  <c r="J202" i="25"/>
  <c r="H202" i="25"/>
  <c r="G202" i="25"/>
  <c r="D202" i="25"/>
  <c r="Q202" i="25"/>
  <c r="I202" i="25"/>
  <c r="C202" i="25"/>
  <c r="P202" i="25"/>
  <c r="B203" i="25"/>
  <c r="L202" i="25"/>
  <c r="R202" i="25"/>
  <c r="O252" i="31"/>
  <c r="M253" i="31"/>
  <c r="L254" i="31"/>
  <c r="J255" i="31"/>
  <c r="K255" i="31" s="1"/>
  <c r="P252" i="31"/>
  <c r="N253" i="31"/>
  <c r="F203" i="25" l="1"/>
  <c r="C203" i="25"/>
  <c r="B204" i="25"/>
  <c r="K203" i="25"/>
  <c r="J203" i="25"/>
  <c r="Q203" i="25"/>
  <c r="G203" i="25"/>
  <c r="E203" i="25"/>
  <c r="M203" i="25"/>
  <c r="O203" i="25"/>
  <c r="D203" i="25"/>
  <c r="L203" i="25"/>
  <c r="I203" i="25"/>
  <c r="N203" i="25"/>
  <c r="H203" i="25"/>
  <c r="P203" i="25"/>
  <c r="R203" i="25"/>
  <c r="O253" i="31"/>
  <c r="M254" i="31"/>
  <c r="L255" i="31"/>
  <c r="J256" i="31"/>
  <c r="K256" i="31" s="1"/>
  <c r="P253" i="31"/>
  <c r="N254" i="31"/>
  <c r="F204" i="25" l="1"/>
  <c r="G204" i="25"/>
  <c r="O204" i="25"/>
  <c r="N204" i="25"/>
  <c r="L204" i="25"/>
  <c r="I204" i="25"/>
  <c r="D204" i="25"/>
  <c r="Q204" i="25"/>
  <c r="K204" i="25"/>
  <c r="C204" i="25"/>
  <c r="P204" i="25"/>
  <c r="B205" i="25"/>
  <c r="E204" i="25"/>
  <c r="J204" i="25"/>
  <c r="H204" i="25"/>
  <c r="M204" i="25"/>
  <c r="R204" i="25"/>
  <c r="O254" i="31"/>
  <c r="M255" i="31"/>
  <c r="L256" i="31"/>
  <c r="J257" i="31"/>
  <c r="K257" i="31" s="1"/>
  <c r="N255" i="31"/>
  <c r="P254" i="31"/>
  <c r="D205" i="25" l="1"/>
  <c r="I205" i="25"/>
  <c r="L205" i="25"/>
  <c r="N205" i="25"/>
  <c r="M205" i="25"/>
  <c r="K205" i="25"/>
  <c r="C205" i="25"/>
  <c r="G205" i="25"/>
  <c r="E205" i="25"/>
  <c r="H205" i="25"/>
  <c r="Q205" i="25"/>
  <c r="F205" i="25"/>
  <c r="O205" i="25"/>
  <c r="B206" i="25"/>
  <c r="J205" i="25"/>
  <c r="P205" i="25"/>
  <c r="R205" i="25"/>
  <c r="O255" i="31"/>
  <c r="M256" i="31"/>
  <c r="L257" i="31"/>
  <c r="J258" i="31"/>
  <c r="K258" i="31" s="1"/>
  <c r="P255" i="31"/>
  <c r="N256" i="31"/>
  <c r="H206" i="25" l="1"/>
  <c r="N206" i="25"/>
  <c r="E206" i="25"/>
  <c r="L206" i="25"/>
  <c r="C206" i="25"/>
  <c r="F206" i="25"/>
  <c r="M206" i="25"/>
  <c r="J206" i="25"/>
  <c r="P206" i="25"/>
  <c r="D206" i="25"/>
  <c r="K206" i="25"/>
  <c r="B207" i="25"/>
  <c r="I206" i="25"/>
  <c r="G206" i="25"/>
  <c r="Q206" i="25"/>
  <c r="O206" i="25"/>
  <c r="R206" i="25"/>
  <c r="O256" i="31"/>
  <c r="M257" i="31"/>
  <c r="L258" i="31"/>
  <c r="J259" i="31"/>
  <c r="K259" i="31" s="1"/>
  <c r="P256" i="31"/>
  <c r="N257" i="31"/>
  <c r="F207" i="25" l="1"/>
  <c r="C207" i="25"/>
  <c r="M207" i="25"/>
  <c r="P207" i="25"/>
  <c r="E207" i="25"/>
  <c r="D207" i="25"/>
  <c r="L207" i="25"/>
  <c r="B208" i="25"/>
  <c r="K207" i="25"/>
  <c r="J207" i="25"/>
  <c r="I207" i="25"/>
  <c r="H207" i="25"/>
  <c r="N207" i="25"/>
  <c r="G207" i="25"/>
  <c r="O207" i="25"/>
  <c r="Q207" i="25"/>
  <c r="R207" i="25"/>
  <c r="O257" i="31"/>
  <c r="M258" i="31"/>
  <c r="L259" i="31"/>
  <c r="J260" i="31"/>
  <c r="K260" i="31" s="1"/>
  <c r="N258" i="31"/>
  <c r="P257" i="31"/>
  <c r="G208" i="25" l="1"/>
  <c r="N208" i="25"/>
  <c r="C208" i="25"/>
  <c r="K208" i="25"/>
  <c r="F208" i="25"/>
  <c r="D208" i="25"/>
  <c r="L208" i="25"/>
  <c r="J208" i="25"/>
  <c r="Q208" i="25"/>
  <c r="E208" i="25"/>
  <c r="M208" i="25"/>
  <c r="I208" i="25"/>
  <c r="P208" i="25"/>
  <c r="H208" i="25"/>
  <c r="O208" i="25"/>
  <c r="R208" i="25"/>
  <c r="O258" i="31"/>
  <c r="M259" i="31"/>
  <c r="L260" i="31"/>
  <c r="J261" i="31"/>
  <c r="K261" i="31" s="1"/>
  <c r="P258" i="31"/>
  <c r="N259" i="31"/>
  <c r="O259" i="31" l="1"/>
  <c r="M260" i="31"/>
  <c r="L261" i="31"/>
  <c r="J262" i="31"/>
  <c r="K262" i="31" s="1"/>
  <c r="N260" i="31"/>
  <c r="P259" i="31"/>
  <c r="O260" i="31" l="1"/>
  <c r="M261" i="31"/>
  <c r="L262" i="31"/>
  <c r="J263" i="31"/>
  <c r="K263" i="31" s="1"/>
  <c r="P260" i="31"/>
  <c r="N261" i="31"/>
  <c r="O261" i="31" l="1"/>
  <c r="M262" i="31"/>
  <c r="L263" i="31"/>
  <c r="J264" i="31"/>
  <c r="K264" i="31" s="1"/>
  <c r="P261" i="31"/>
  <c r="N262" i="31"/>
  <c r="O262" i="31" l="1"/>
  <c r="M263" i="31"/>
  <c r="L264" i="31"/>
  <c r="J265" i="31"/>
  <c r="K265" i="31" s="1"/>
  <c r="N263" i="31"/>
  <c r="P262" i="31"/>
  <c r="O263" i="31" l="1"/>
  <c r="M264" i="31"/>
  <c r="L265" i="31"/>
  <c r="J266" i="31"/>
  <c r="K266" i="31" s="1"/>
  <c r="N264" i="31"/>
  <c r="P263" i="31"/>
  <c r="O264" i="31" l="1"/>
  <c r="M265" i="31"/>
  <c r="L266" i="31"/>
  <c r="J267" i="31"/>
  <c r="K267" i="31" s="1"/>
  <c r="N265" i="31"/>
  <c r="P264" i="31"/>
  <c r="O265" i="31" l="1"/>
  <c r="M266" i="31"/>
  <c r="L267" i="31"/>
  <c r="J268" i="31"/>
  <c r="K268" i="31" s="1"/>
  <c r="P265" i="31"/>
  <c r="N266" i="31"/>
  <c r="O266" i="31" l="1"/>
  <c r="M267" i="31"/>
  <c r="L268" i="31"/>
  <c r="J269" i="31"/>
  <c r="K269" i="31" s="1"/>
  <c r="P266" i="31"/>
  <c r="N267" i="31"/>
  <c r="O267" i="31" l="1"/>
  <c r="M268" i="31"/>
  <c r="L269" i="31"/>
  <c r="J270" i="31"/>
  <c r="K270" i="31" s="1"/>
  <c r="N268" i="31"/>
  <c r="P267" i="31"/>
  <c r="O268" i="31" l="1"/>
  <c r="M269" i="31"/>
  <c r="L270" i="31"/>
  <c r="J271" i="31"/>
  <c r="K271" i="31" s="1"/>
  <c r="N269" i="31"/>
  <c r="P268" i="31"/>
  <c r="O269" i="31" l="1"/>
  <c r="M270" i="31"/>
  <c r="L271" i="31"/>
  <c r="J272" i="31"/>
  <c r="K272" i="31" s="1"/>
  <c r="N270" i="31"/>
  <c r="P269" i="31"/>
  <c r="O270" i="31" l="1"/>
  <c r="M271" i="31"/>
  <c r="L272" i="31"/>
  <c r="J273" i="31"/>
  <c r="K273" i="31" s="1"/>
  <c r="P270" i="31"/>
  <c r="N271" i="31"/>
  <c r="O271" i="31" l="1"/>
  <c r="M272" i="31"/>
  <c r="L273" i="31"/>
  <c r="J274" i="31"/>
  <c r="K274" i="31" s="1"/>
  <c r="P271" i="31"/>
  <c r="N272" i="31"/>
  <c r="O272" i="31" l="1"/>
  <c r="M273" i="31"/>
  <c r="L274" i="31"/>
  <c r="J275" i="31"/>
  <c r="K275" i="31" s="1"/>
  <c r="P272" i="31"/>
  <c r="N273" i="31"/>
  <c r="O273" i="31" l="1"/>
  <c r="M274" i="31"/>
  <c r="L275" i="31"/>
  <c r="J276" i="31"/>
  <c r="K276" i="31" s="1"/>
  <c r="P273" i="31"/>
  <c r="N274" i="31"/>
  <c r="O274" i="31" l="1"/>
  <c r="M275" i="31"/>
  <c r="L276" i="31"/>
  <c r="J277" i="31"/>
  <c r="K277" i="31" s="1"/>
  <c r="P274" i="31"/>
  <c r="N275" i="31"/>
  <c r="O275" i="31" l="1"/>
  <c r="M276" i="31"/>
  <c r="L277" i="31"/>
  <c r="J278" i="31"/>
  <c r="K278" i="31" s="1"/>
  <c r="P275" i="31"/>
  <c r="N276" i="31"/>
  <c r="O276" i="31" l="1"/>
  <c r="M277" i="31"/>
  <c r="L278" i="31"/>
  <c r="J279" i="31"/>
  <c r="K279" i="31" s="1"/>
  <c r="P276" i="31"/>
  <c r="N277" i="31"/>
  <c r="O277" i="31" l="1"/>
  <c r="M278" i="31"/>
  <c r="L279" i="31"/>
  <c r="J280" i="31"/>
  <c r="K280" i="31" s="1"/>
  <c r="P277" i="31"/>
  <c r="N278" i="31"/>
  <c r="O278" i="31" l="1"/>
  <c r="M279" i="31"/>
  <c r="L280" i="31"/>
  <c r="J281" i="31"/>
  <c r="K281" i="31" s="1"/>
  <c r="P278" i="31"/>
  <c r="N279" i="31"/>
  <c r="O279" i="31" l="1"/>
  <c r="M280" i="31"/>
  <c r="L281" i="31"/>
  <c r="J282" i="31"/>
  <c r="K282" i="31" s="1"/>
  <c r="P279" i="31"/>
  <c r="N280" i="31"/>
  <c r="O280" i="31" l="1"/>
  <c r="M281" i="31"/>
  <c r="L282" i="31"/>
  <c r="J283" i="31"/>
  <c r="K283" i="31" s="1"/>
  <c r="N281" i="31"/>
  <c r="P280" i="31"/>
  <c r="O281" i="31" l="1"/>
  <c r="M282" i="31"/>
  <c r="L283" i="31"/>
  <c r="J284" i="31"/>
  <c r="K284" i="31" s="1"/>
  <c r="P281" i="31"/>
  <c r="N282" i="31"/>
  <c r="O282" i="31" l="1"/>
  <c r="M283" i="31"/>
  <c r="L284" i="31"/>
  <c r="J285" i="31"/>
  <c r="K285" i="31" s="1"/>
  <c r="N283" i="31"/>
  <c r="P282" i="31"/>
  <c r="O283" i="31" l="1"/>
  <c r="M284" i="31"/>
  <c r="L285" i="31"/>
  <c r="J286" i="31"/>
  <c r="K286" i="31" s="1"/>
  <c r="N284" i="31"/>
  <c r="P283" i="31"/>
  <c r="O284" i="31" l="1"/>
  <c r="M285" i="31"/>
  <c r="L286" i="31"/>
  <c r="J287" i="31"/>
  <c r="K287" i="31" s="1"/>
  <c r="N285" i="31"/>
  <c r="P284" i="31"/>
  <c r="O285" i="31" l="1"/>
  <c r="M286" i="31"/>
  <c r="L287" i="31"/>
  <c r="J288" i="31"/>
  <c r="K288" i="31" s="1"/>
  <c r="P285" i="31"/>
  <c r="N286" i="31"/>
  <c r="O286" i="31" l="1"/>
  <c r="M287" i="31"/>
  <c r="L288" i="31"/>
  <c r="J289" i="31"/>
  <c r="K289" i="31" s="1"/>
  <c r="P286" i="31"/>
  <c r="N287" i="31"/>
  <c r="O287" i="31" l="1"/>
  <c r="M288" i="31"/>
  <c r="L289" i="31"/>
  <c r="J290" i="31"/>
  <c r="K290" i="31" s="1"/>
  <c r="P287" i="31"/>
  <c r="N288" i="31"/>
  <c r="O288" i="31" l="1"/>
  <c r="M289" i="31"/>
  <c r="L290" i="31"/>
  <c r="J291" i="31"/>
  <c r="K291" i="31" s="1"/>
  <c r="P288" i="31"/>
  <c r="N289" i="31"/>
  <c r="O289" i="31" l="1"/>
  <c r="M290" i="31"/>
  <c r="L291" i="31"/>
  <c r="J292" i="31"/>
  <c r="K292" i="31" s="1"/>
  <c r="P289" i="31"/>
  <c r="N290" i="31"/>
  <c r="O290" i="31" l="1"/>
  <c r="M291" i="31"/>
  <c r="L292" i="31"/>
  <c r="J293" i="31"/>
  <c r="K293" i="31" s="1"/>
  <c r="P290" i="31"/>
  <c r="N291" i="31"/>
  <c r="O291" i="31" l="1"/>
  <c r="M292" i="31"/>
  <c r="L293" i="31"/>
  <c r="J294" i="31"/>
  <c r="K294" i="31" s="1"/>
  <c r="P291" i="31"/>
  <c r="N292" i="31"/>
  <c r="O292" i="31" l="1"/>
  <c r="M293" i="31"/>
  <c r="L294" i="31"/>
  <c r="J295" i="31"/>
  <c r="K295" i="31" s="1"/>
  <c r="P292" i="31"/>
  <c r="N293" i="31"/>
  <c r="O293" i="31" l="1"/>
  <c r="M294" i="31"/>
  <c r="L295" i="31"/>
  <c r="J296" i="31"/>
  <c r="K296" i="31" s="1"/>
  <c r="P293" i="31"/>
  <c r="N294" i="31"/>
  <c r="O294" i="31" l="1"/>
  <c r="M295" i="31"/>
  <c r="L296" i="31"/>
  <c r="J297" i="31"/>
  <c r="K297" i="31" s="1"/>
  <c r="N295" i="31"/>
  <c r="P294" i="31"/>
  <c r="O295" i="31" l="1"/>
  <c r="M296" i="31"/>
  <c r="L297" i="31"/>
  <c r="J298" i="31"/>
  <c r="K298" i="31" s="1"/>
  <c r="N296" i="31"/>
  <c r="P295" i="31"/>
  <c r="O296" i="31" l="1"/>
  <c r="M297" i="31"/>
  <c r="L298" i="31"/>
  <c r="J299" i="31"/>
  <c r="K299" i="31" s="1"/>
  <c r="P296" i="31"/>
  <c r="N297" i="31"/>
  <c r="O297" i="31" l="1"/>
  <c r="M298" i="31"/>
  <c r="L299" i="31"/>
  <c r="J300" i="31"/>
  <c r="K300" i="31" s="1"/>
  <c r="P297" i="31"/>
  <c r="N298" i="31"/>
  <c r="O298" i="31" l="1"/>
  <c r="M299" i="31"/>
  <c r="L300" i="31"/>
  <c r="J301" i="31"/>
  <c r="K301" i="31" s="1"/>
  <c r="P298" i="31"/>
  <c r="N299" i="31"/>
  <c r="O299" i="31" l="1"/>
  <c r="M300" i="31"/>
  <c r="L301" i="31"/>
  <c r="J302" i="31"/>
  <c r="K302" i="31" s="1"/>
  <c r="P299" i="31"/>
  <c r="N300" i="31"/>
  <c r="O300" i="31" l="1"/>
  <c r="M301" i="31"/>
  <c r="L302" i="31"/>
  <c r="J303" i="31"/>
  <c r="K303" i="31" s="1"/>
  <c r="P300" i="31"/>
  <c r="N301" i="31"/>
  <c r="O301" i="31" l="1"/>
  <c r="M302" i="31"/>
  <c r="L303" i="31"/>
  <c r="J304" i="31"/>
  <c r="K304" i="31" s="1"/>
  <c r="N302" i="31"/>
  <c r="P301" i="31"/>
  <c r="O302" i="31" l="1"/>
  <c r="M303" i="31"/>
  <c r="L304" i="31"/>
  <c r="J305" i="31"/>
  <c r="K305" i="31" s="1"/>
  <c r="N303" i="31"/>
  <c r="P302" i="31"/>
  <c r="O303" i="31" l="1"/>
  <c r="M304" i="31"/>
  <c r="L305" i="31"/>
  <c r="J306" i="31"/>
  <c r="K306" i="31" s="1"/>
  <c r="P303" i="31"/>
  <c r="N304" i="31"/>
  <c r="O304" i="31" l="1"/>
  <c r="M305" i="31"/>
  <c r="L306" i="31"/>
  <c r="J307" i="31"/>
  <c r="K307" i="31" s="1"/>
  <c r="P304" i="31"/>
  <c r="N305" i="31"/>
  <c r="O305" i="31" l="1"/>
  <c r="M306" i="31"/>
  <c r="L307" i="31"/>
  <c r="J308" i="31"/>
  <c r="K308" i="31" s="1"/>
  <c r="N306" i="31"/>
  <c r="P305" i="31"/>
  <c r="O306" i="31" l="1"/>
  <c r="M307" i="31"/>
  <c r="L308" i="31"/>
  <c r="J309" i="31"/>
  <c r="K309" i="31" s="1"/>
  <c r="N307" i="31"/>
  <c r="P306" i="31"/>
  <c r="O307" i="31" l="1"/>
  <c r="M308" i="31"/>
  <c r="L309" i="31"/>
  <c r="J310" i="31"/>
  <c r="K310" i="31" s="1"/>
  <c r="P307" i="31"/>
  <c r="N308" i="31"/>
  <c r="O308" i="31" l="1"/>
  <c r="M309" i="31"/>
  <c r="L310" i="31"/>
  <c r="J311" i="31"/>
  <c r="K311" i="31" s="1"/>
  <c r="P308" i="31"/>
  <c r="N309" i="31"/>
  <c r="O309" i="31" l="1"/>
  <c r="M310" i="31"/>
  <c r="L311" i="31"/>
  <c r="J312" i="31"/>
  <c r="K312" i="31" s="1"/>
  <c r="P309" i="31"/>
  <c r="N310" i="31"/>
  <c r="O310" i="31" l="1"/>
  <c r="M311" i="31"/>
  <c r="L312" i="31"/>
  <c r="J313" i="31"/>
  <c r="K313" i="31" s="1"/>
  <c r="N311" i="31"/>
  <c r="P310" i="31"/>
  <c r="O311" i="31" l="1"/>
  <c r="M312" i="31"/>
  <c r="L313" i="31"/>
  <c r="J314" i="31"/>
  <c r="K314" i="31" s="1"/>
  <c r="P311" i="31"/>
  <c r="N312" i="31"/>
  <c r="O312" i="31" l="1"/>
  <c r="M313" i="31"/>
  <c r="L314" i="31"/>
  <c r="J315" i="31"/>
  <c r="K315" i="31" s="1"/>
  <c r="P312" i="31"/>
  <c r="N313" i="31"/>
  <c r="O313" i="31" l="1"/>
  <c r="M314" i="31"/>
  <c r="L315" i="31"/>
  <c r="J316" i="31"/>
  <c r="K316" i="31" s="1"/>
  <c r="P313" i="31"/>
  <c r="N314" i="31"/>
  <c r="O314" i="31" l="1"/>
  <c r="M315" i="31"/>
  <c r="L316" i="31"/>
  <c r="J317" i="31"/>
  <c r="K317" i="31" s="1"/>
  <c r="P314" i="31"/>
  <c r="N315" i="31"/>
  <c r="O315" i="31" l="1"/>
  <c r="M316" i="31"/>
  <c r="L317" i="31"/>
  <c r="J318" i="31"/>
  <c r="K318" i="31" s="1"/>
  <c r="P315" i="31"/>
  <c r="N316" i="31"/>
  <c r="O316" i="31" l="1"/>
  <c r="M317" i="31"/>
  <c r="L318" i="31"/>
  <c r="J319" i="31"/>
  <c r="K319" i="31" s="1"/>
  <c r="P316" i="31"/>
  <c r="N317" i="31"/>
  <c r="O317" i="31" l="1"/>
  <c r="M318" i="31"/>
  <c r="L319" i="31"/>
  <c r="J320" i="31"/>
  <c r="K320" i="31" s="1"/>
  <c r="P317" i="31"/>
  <c r="N318" i="31"/>
  <c r="O318" i="31" l="1"/>
  <c r="M319" i="31"/>
  <c r="L320" i="31"/>
  <c r="J321" i="31"/>
  <c r="K321" i="31" s="1"/>
  <c r="P318" i="31"/>
  <c r="N319" i="31"/>
  <c r="O319" i="31" l="1"/>
  <c r="M320" i="31"/>
  <c r="L321" i="31"/>
  <c r="J322" i="31"/>
  <c r="K322" i="31" s="1"/>
  <c r="P319" i="31"/>
  <c r="N320" i="31"/>
  <c r="O320" i="31" l="1"/>
  <c r="M321" i="31"/>
  <c r="L322" i="31"/>
  <c r="J323" i="31"/>
  <c r="K323" i="31" s="1"/>
  <c r="P320" i="31"/>
  <c r="N321" i="31"/>
  <c r="O321" i="31" l="1"/>
  <c r="M322" i="31"/>
  <c r="L323" i="31"/>
  <c r="J324" i="31"/>
  <c r="K324" i="31" s="1"/>
  <c r="P321" i="31"/>
  <c r="N322" i="31"/>
  <c r="O322" i="31" l="1"/>
  <c r="M323" i="31"/>
  <c r="L324" i="31"/>
  <c r="J325" i="31"/>
  <c r="K325" i="31" s="1"/>
  <c r="P322" i="31"/>
  <c r="N323" i="31"/>
  <c r="O323" i="31" l="1"/>
  <c r="M324" i="31"/>
  <c r="L325" i="31"/>
  <c r="J326" i="31"/>
  <c r="K326" i="31" s="1"/>
  <c r="N324" i="31"/>
  <c r="P323" i="31"/>
  <c r="O324" i="31" l="1"/>
  <c r="M325" i="31"/>
  <c r="L326" i="31"/>
  <c r="J327" i="31"/>
  <c r="K327" i="31" s="1"/>
  <c r="P324" i="31"/>
  <c r="N325" i="31"/>
  <c r="O325" i="31" l="1"/>
  <c r="M326" i="31"/>
  <c r="L327" i="31"/>
  <c r="J328" i="31"/>
  <c r="K328" i="31" s="1"/>
  <c r="P325" i="31"/>
  <c r="N326" i="31"/>
  <c r="O326" i="31" l="1"/>
  <c r="M327" i="31"/>
  <c r="L328" i="31"/>
  <c r="J329" i="31"/>
  <c r="K329" i="31" s="1"/>
  <c r="P326" i="31"/>
  <c r="N327" i="31"/>
  <c r="O327" i="31" l="1"/>
  <c r="M328" i="31"/>
  <c r="L329" i="31"/>
  <c r="J330" i="31"/>
  <c r="K330" i="31" s="1"/>
  <c r="P327" i="31"/>
  <c r="N328" i="31"/>
  <c r="O328" i="31" l="1"/>
  <c r="M329" i="31"/>
  <c r="L330" i="31"/>
  <c r="J331" i="31"/>
  <c r="K331" i="31" s="1"/>
  <c r="P328" i="31"/>
  <c r="N329" i="31"/>
  <c r="O329" i="31" l="1"/>
  <c r="M330" i="31"/>
  <c r="L331" i="31"/>
  <c r="J332" i="31"/>
  <c r="K332" i="31" s="1"/>
  <c r="P329" i="31"/>
  <c r="N330" i="31"/>
  <c r="O330" i="31" l="1"/>
  <c r="M331" i="31"/>
  <c r="L332" i="31"/>
  <c r="J333" i="31"/>
  <c r="K333" i="31" s="1"/>
  <c r="P330" i="31"/>
  <c r="N331" i="31"/>
  <c r="O331" i="31" l="1"/>
  <c r="M332" i="31"/>
  <c r="L333" i="31"/>
  <c r="J334" i="31"/>
  <c r="K334" i="31" s="1"/>
  <c r="P331" i="31"/>
  <c r="N332" i="31"/>
  <c r="O332" i="31" l="1"/>
  <c r="M333" i="31"/>
  <c r="L334" i="31"/>
  <c r="J335" i="31"/>
  <c r="K335" i="31" s="1"/>
  <c r="P332" i="31"/>
  <c r="N333" i="31"/>
  <c r="O333" i="31" l="1"/>
  <c r="M334" i="31"/>
  <c r="L335" i="31"/>
  <c r="J336" i="31"/>
  <c r="K336" i="31" s="1"/>
  <c r="P333" i="31"/>
  <c r="N334" i="31"/>
  <c r="O334" i="31" l="1"/>
  <c r="M335" i="31"/>
  <c r="L336" i="31"/>
  <c r="J337" i="31"/>
  <c r="K337" i="31" s="1"/>
  <c r="P334" i="31"/>
  <c r="N335" i="31"/>
  <c r="O335" i="31" l="1"/>
  <c r="M336" i="31"/>
  <c r="L337" i="31"/>
  <c r="J338" i="31"/>
  <c r="K338" i="31" s="1"/>
  <c r="N336" i="31"/>
  <c r="P335" i="31"/>
  <c r="O336" i="31" l="1"/>
  <c r="M337" i="31"/>
  <c r="L338" i="31"/>
  <c r="J339" i="31"/>
  <c r="K339" i="31" s="1"/>
  <c r="N337" i="31"/>
  <c r="P336" i="31"/>
  <c r="O337" i="31" l="1"/>
  <c r="M338" i="31"/>
  <c r="L339" i="31"/>
  <c r="J340" i="31"/>
  <c r="K340" i="31" s="1"/>
  <c r="N338" i="31"/>
  <c r="P337" i="31"/>
  <c r="O338" i="31" l="1"/>
  <c r="M339" i="31"/>
  <c r="L340" i="31"/>
  <c r="J341" i="31"/>
  <c r="K341" i="31" s="1"/>
  <c r="P338" i="31"/>
  <c r="N339" i="31"/>
  <c r="O339" i="31" l="1"/>
  <c r="M340" i="31"/>
  <c r="L341" i="31"/>
  <c r="J342" i="31"/>
  <c r="K342" i="31" s="1"/>
  <c r="P339" i="31"/>
  <c r="N340" i="31"/>
  <c r="O340" i="31" l="1"/>
  <c r="M341" i="31"/>
  <c r="L342" i="31"/>
  <c r="J343" i="31"/>
  <c r="K343" i="31" s="1"/>
  <c r="P340" i="31"/>
  <c r="N341" i="31"/>
  <c r="O341" i="31" l="1"/>
  <c r="M342" i="31"/>
  <c r="L343" i="31"/>
  <c r="J344" i="31"/>
  <c r="K344" i="31" s="1"/>
  <c r="N342" i="31"/>
  <c r="P341" i="31"/>
  <c r="O342" i="31" l="1"/>
  <c r="M343" i="31"/>
  <c r="L344" i="31"/>
  <c r="J345" i="31"/>
  <c r="K345" i="31" s="1"/>
  <c r="P342" i="31"/>
  <c r="N343" i="31"/>
  <c r="O343" i="31" l="1"/>
  <c r="M344" i="31"/>
  <c r="L345" i="31"/>
  <c r="J346" i="31"/>
  <c r="K346" i="31" s="1"/>
  <c r="P343" i="31"/>
  <c r="N344" i="31"/>
  <c r="O344" i="31" l="1"/>
  <c r="M345" i="31"/>
  <c r="L346" i="31"/>
  <c r="J347" i="31"/>
  <c r="K347" i="31" s="1"/>
  <c r="P344" i="31"/>
  <c r="N345" i="31"/>
  <c r="O345" i="31" l="1"/>
  <c r="M346" i="31"/>
  <c r="L347" i="31"/>
  <c r="J348" i="31"/>
  <c r="K348" i="31" s="1"/>
  <c r="P345" i="31"/>
  <c r="N346" i="31"/>
  <c r="O346" i="31" l="1"/>
  <c r="M347" i="31"/>
  <c r="L348" i="31"/>
  <c r="J349" i="31"/>
  <c r="K349" i="31" s="1"/>
  <c r="P346" i="31"/>
  <c r="N347" i="31"/>
  <c r="O347" i="31" l="1"/>
  <c r="M348" i="31"/>
  <c r="L349" i="31"/>
  <c r="J350" i="31"/>
  <c r="K350" i="31" s="1"/>
  <c r="P347" i="31"/>
  <c r="N348" i="31"/>
  <c r="O348" i="31" l="1"/>
  <c r="M349" i="31"/>
  <c r="L350" i="31"/>
  <c r="J351" i="31"/>
  <c r="K351" i="31" s="1"/>
  <c r="P348" i="31"/>
  <c r="N349" i="31"/>
  <c r="O349" i="31" l="1"/>
  <c r="M350" i="31"/>
  <c r="L351" i="31"/>
  <c r="J352" i="31"/>
  <c r="K352" i="31" s="1"/>
  <c r="P349" i="31"/>
  <c r="N350" i="31"/>
  <c r="O350" i="31" l="1"/>
  <c r="M351" i="31"/>
  <c r="L352" i="31"/>
  <c r="J353" i="31"/>
  <c r="K353" i="31" s="1"/>
  <c r="N351" i="31"/>
  <c r="P350" i="31"/>
  <c r="O351" i="31" l="1"/>
  <c r="M352" i="31"/>
  <c r="L353" i="31"/>
  <c r="J354" i="31"/>
  <c r="K354" i="31" s="1"/>
  <c r="P351" i="31"/>
  <c r="N352" i="31"/>
  <c r="O352" i="31" l="1"/>
  <c r="M353" i="31"/>
  <c r="L354" i="31"/>
  <c r="J355" i="31"/>
  <c r="K355" i="31" s="1"/>
  <c r="P352" i="31"/>
  <c r="N353" i="31"/>
  <c r="O353" i="31" l="1"/>
  <c r="M354" i="31"/>
  <c r="L355" i="31"/>
  <c r="J356" i="31"/>
  <c r="K356" i="31" s="1"/>
  <c r="N354" i="31"/>
  <c r="P353" i="31"/>
  <c r="O354" i="31" l="1"/>
  <c r="M355" i="31"/>
  <c r="L356" i="31"/>
  <c r="J357" i="31"/>
  <c r="K357" i="31" s="1"/>
  <c r="P354" i="31"/>
  <c r="N355" i="31"/>
  <c r="O355" i="31" l="1"/>
  <c r="M356" i="31"/>
  <c r="L357" i="31"/>
  <c r="J358" i="31"/>
  <c r="K358" i="31" s="1"/>
  <c r="N356" i="31"/>
  <c r="P355" i="31"/>
  <c r="O356" i="31" l="1"/>
  <c r="M357" i="31"/>
  <c r="L358" i="31"/>
  <c r="J359" i="31"/>
  <c r="K359" i="31" s="1"/>
  <c r="P356" i="31"/>
  <c r="N357" i="31"/>
  <c r="O357" i="31" l="1"/>
  <c r="M358" i="31"/>
  <c r="L359" i="31"/>
  <c r="J360" i="31"/>
  <c r="K360" i="31" s="1"/>
  <c r="P357" i="31"/>
  <c r="N358" i="31"/>
  <c r="O358" i="31" l="1"/>
  <c r="M359" i="31"/>
  <c r="L360" i="31"/>
  <c r="J361" i="31"/>
  <c r="K361" i="31" s="1"/>
  <c r="P358" i="31"/>
  <c r="N359" i="31"/>
  <c r="O359" i="31" l="1"/>
  <c r="M360" i="31"/>
  <c r="L361" i="31"/>
  <c r="J362" i="31"/>
  <c r="K362" i="31" s="1"/>
  <c r="P359" i="31"/>
  <c r="N360" i="31"/>
  <c r="O360" i="31" l="1"/>
  <c r="M361" i="31"/>
  <c r="L362" i="31"/>
  <c r="J363" i="31"/>
  <c r="K363" i="31" s="1"/>
  <c r="P360" i="31"/>
  <c r="N361" i="31"/>
  <c r="O361" i="31" l="1"/>
  <c r="M362" i="31"/>
  <c r="L363" i="31"/>
  <c r="J364" i="31"/>
  <c r="K364" i="31" s="1"/>
  <c r="P361" i="31"/>
  <c r="N362" i="31"/>
  <c r="O362" i="31" l="1"/>
  <c r="M363" i="31"/>
  <c r="L364" i="31"/>
  <c r="J365" i="31"/>
  <c r="K365" i="31" s="1"/>
  <c r="N363" i="31"/>
  <c r="P362" i="31"/>
  <c r="O363" i="31" l="1"/>
  <c r="M364" i="31"/>
  <c r="L365" i="31"/>
  <c r="J366" i="31"/>
  <c r="K366" i="31" s="1"/>
  <c r="P363" i="31"/>
  <c r="N364" i="31"/>
  <c r="O364" i="31" l="1"/>
  <c r="M365" i="31"/>
  <c r="L366" i="31"/>
  <c r="J367" i="31"/>
  <c r="K367" i="31" s="1"/>
  <c r="P364" i="31"/>
  <c r="N365" i="31"/>
  <c r="O365" i="31" l="1"/>
  <c r="M366" i="31"/>
  <c r="L367" i="31"/>
  <c r="J368" i="31"/>
  <c r="K368" i="31" s="1"/>
  <c r="P365" i="31"/>
  <c r="N366" i="31"/>
  <c r="O366" i="31" l="1"/>
  <c r="M367" i="31"/>
  <c r="L368" i="31"/>
  <c r="J369" i="31"/>
  <c r="K369" i="31" s="1"/>
  <c r="P366" i="31"/>
  <c r="N367" i="31"/>
  <c r="O367" i="31" l="1"/>
  <c r="M368" i="31"/>
  <c r="L369" i="31"/>
  <c r="J370" i="31"/>
  <c r="K370" i="31" s="1"/>
  <c r="N368" i="31"/>
  <c r="P367" i="31"/>
  <c r="O368" i="31" l="1"/>
  <c r="M369" i="31"/>
  <c r="L370" i="31"/>
  <c r="J371" i="31"/>
  <c r="K371" i="31" s="1"/>
  <c r="P368" i="31"/>
  <c r="N369" i="31"/>
  <c r="O369" i="31" l="1"/>
  <c r="M370" i="31"/>
  <c r="L371" i="31"/>
  <c r="J372" i="31"/>
  <c r="K372" i="31" s="1"/>
  <c r="P369" i="31"/>
  <c r="N370" i="31"/>
  <c r="O370" i="31" l="1"/>
  <c r="M371" i="31"/>
  <c r="L372" i="31"/>
  <c r="J373" i="31"/>
  <c r="K373" i="31" s="1"/>
  <c r="P370" i="31"/>
  <c r="N371" i="31"/>
  <c r="O371" i="31" l="1"/>
  <c r="M372" i="31"/>
  <c r="L373" i="31"/>
  <c r="J374" i="31"/>
  <c r="K374" i="31" s="1"/>
  <c r="P371" i="31"/>
  <c r="N372" i="31"/>
  <c r="O372" i="31" l="1"/>
  <c r="M373" i="31"/>
  <c r="L374" i="31"/>
  <c r="J375" i="31"/>
  <c r="K375" i="31" s="1"/>
  <c r="P372" i="31"/>
  <c r="N373" i="31"/>
  <c r="O373" i="31" l="1"/>
  <c r="M374" i="31"/>
  <c r="L375" i="31"/>
  <c r="J376" i="31"/>
  <c r="K376" i="31" s="1"/>
  <c r="N374" i="31"/>
  <c r="P373" i="31"/>
  <c r="O374" i="31" l="1"/>
  <c r="M375" i="31"/>
  <c r="L376" i="31"/>
  <c r="J377" i="31"/>
  <c r="K377" i="31" s="1"/>
  <c r="P374" i="31"/>
  <c r="N375" i="31"/>
  <c r="O375" i="31" l="1"/>
  <c r="M376" i="31"/>
  <c r="L377" i="31"/>
  <c r="J378" i="31"/>
  <c r="K378" i="31" s="1"/>
  <c r="P375" i="31"/>
  <c r="N376" i="31"/>
  <c r="O376" i="31" l="1"/>
  <c r="M377" i="31"/>
  <c r="L378" i="31"/>
  <c r="J379" i="31"/>
  <c r="K379" i="31" s="1"/>
  <c r="P376" i="31"/>
  <c r="N377" i="31"/>
  <c r="O377" i="31" l="1"/>
  <c r="M378" i="31"/>
  <c r="L379" i="31"/>
  <c r="J380" i="31"/>
  <c r="K380" i="31" s="1"/>
  <c r="P377" i="31"/>
  <c r="N378" i="31"/>
  <c r="O378" i="31" l="1"/>
  <c r="M379" i="31"/>
  <c r="L380" i="31"/>
  <c r="J381" i="31"/>
  <c r="K381" i="31" s="1"/>
  <c r="P378" i="31"/>
  <c r="N379" i="31"/>
  <c r="O379" i="31" l="1"/>
  <c r="M380" i="31"/>
  <c r="L381" i="31"/>
  <c r="J382" i="31"/>
  <c r="K382" i="31" s="1"/>
  <c r="P379" i="31"/>
  <c r="N380" i="31"/>
  <c r="O380" i="31" l="1"/>
  <c r="M381" i="31"/>
  <c r="L382" i="31"/>
  <c r="J383" i="31"/>
  <c r="K383" i="31" s="1"/>
  <c r="P380" i="31"/>
  <c r="N381" i="31"/>
  <c r="O381" i="31" l="1"/>
  <c r="M382" i="31"/>
  <c r="L383" i="31"/>
  <c r="J384" i="31"/>
  <c r="K384" i="31" s="1"/>
  <c r="N382" i="31"/>
  <c r="P381" i="31"/>
  <c r="O382" i="31" l="1"/>
  <c r="M383" i="31"/>
  <c r="L384" i="31"/>
  <c r="J385" i="31"/>
  <c r="K385" i="31" s="1"/>
  <c r="P382" i="31"/>
  <c r="N383" i="31"/>
  <c r="O383" i="31" l="1"/>
  <c r="M384" i="31"/>
  <c r="L385" i="31"/>
  <c r="J386" i="31"/>
  <c r="K386" i="31" s="1"/>
  <c r="P383" i="31"/>
  <c r="N384" i="31"/>
  <c r="O384" i="31" l="1"/>
  <c r="M385" i="31"/>
  <c r="L386" i="31"/>
  <c r="J387" i="31"/>
  <c r="K387" i="31" s="1"/>
  <c r="P384" i="31"/>
  <c r="N385" i="31"/>
  <c r="O385" i="31" l="1"/>
  <c r="M386" i="31"/>
  <c r="L387" i="31"/>
  <c r="J388" i="31"/>
  <c r="K388" i="31" s="1"/>
  <c r="P385" i="31"/>
  <c r="N386" i="31"/>
  <c r="O386" i="31" l="1"/>
  <c r="M387" i="31"/>
  <c r="L388" i="31"/>
  <c r="J389" i="31"/>
  <c r="K389" i="31" s="1"/>
  <c r="N387" i="31"/>
  <c r="P386" i="31"/>
  <c r="O387" i="31" l="1"/>
  <c r="M388" i="31"/>
  <c r="L389" i="31"/>
  <c r="J390" i="31"/>
  <c r="K390" i="31" s="1"/>
  <c r="P387" i="31"/>
  <c r="N388" i="31"/>
  <c r="O388" i="31" l="1"/>
  <c r="M389" i="31"/>
  <c r="L390" i="31"/>
  <c r="J391" i="31"/>
  <c r="K391" i="31" s="1"/>
  <c r="N389" i="31"/>
  <c r="P388" i="31"/>
  <c r="O389" i="31" l="1"/>
  <c r="M390" i="31"/>
  <c r="L391" i="31"/>
  <c r="J392" i="31"/>
  <c r="K392" i="31" s="1"/>
  <c r="P389" i="31"/>
  <c r="N390" i="31"/>
  <c r="O390" i="31" l="1"/>
  <c r="M391" i="31"/>
  <c r="L392" i="31"/>
  <c r="J393" i="31"/>
  <c r="K393" i="31" s="1"/>
  <c r="P390" i="31"/>
  <c r="N391" i="31"/>
  <c r="O391" i="31" l="1"/>
  <c r="M392" i="31"/>
  <c r="L393" i="31"/>
  <c r="J394" i="31"/>
  <c r="K394" i="31" s="1"/>
  <c r="N392" i="31"/>
  <c r="P391" i="31"/>
  <c r="O392" i="31" l="1"/>
  <c r="M393" i="31"/>
  <c r="L394" i="31"/>
  <c r="J395" i="31"/>
  <c r="K395" i="31" s="1"/>
  <c r="P392" i="31"/>
  <c r="N393" i="31"/>
  <c r="O393" i="31" l="1"/>
  <c r="M394" i="31"/>
  <c r="L395" i="31"/>
  <c r="J396" i="31"/>
  <c r="K396" i="31" s="1"/>
  <c r="P393" i="31"/>
  <c r="N394" i="31"/>
  <c r="O394" i="31" l="1"/>
  <c r="M395" i="31"/>
  <c r="L396" i="31"/>
  <c r="J397" i="31"/>
  <c r="K397" i="31" s="1"/>
  <c r="P394" i="31"/>
  <c r="N395" i="31"/>
  <c r="O395" i="31" l="1"/>
  <c r="M396" i="31"/>
  <c r="L397" i="31"/>
  <c r="J398" i="31"/>
  <c r="K398" i="31" s="1"/>
  <c r="P395" i="31"/>
  <c r="N396" i="31"/>
  <c r="O396" i="31" l="1"/>
  <c r="M397" i="31"/>
  <c r="L398" i="31"/>
  <c r="J399" i="31"/>
  <c r="K399" i="31" s="1"/>
  <c r="P396" i="31"/>
  <c r="N397" i="31"/>
  <c r="O397" i="31" l="1"/>
  <c r="M398" i="31"/>
  <c r="L399" i="31"/>
  <c r="J400" i="31"/>
  <c r="K400" i="31" s="1"/>
  <c r="P397" i="31"/>
  <c r="N398" i="31"/>
  <c r="O398" i="31" l="1"/>
  <c r="M399" i="31"/>
  <c r="L400" i="31"/>
  <c r="J401" i="31"/>
  <c r="K401" i="31" s="1"/>
  <c r="P398" i="31"/>
  <c r="N399" i="31"/>
  <c r="O399" i="31" l="1"/>
  <c r="M400" i="31"/>
  <c r="L401" i="31"/>
  <c r="J402" i="31"/>
  <c r="K402" i="31" s="1"/>
  <c r="P399" i="31"/>
  <c r="P400" i="31"/>
  <c r="M401" i="31" l="1"/>
  <c r="L402" i="31"/>
  <c r="J403" i="31"/>
  <c r="K403" i="31" s="1"/>
  <c r="N401" i="31"/>
  <c r="N400" i="31"/>
  <c r="O400" i="31" l="1"/>
  <c r="O401" i="31"/>
  <c r="M402" i="31"/>
  <c r="L403" i="31"/>
  <c r="J404" i="31"/>
  <c r="K404" i="31" s="1"/>
  <c r="P401" i="31"/>
  <c r="N402" i="31"/>
  <c r="O402" i="31" l="1"/>
  <c r="M403" i="31"/>
  <c r="L404" i="31"/>
  <c r="J405" i="31"/>
  <c r="K405" i="31" s="1"/>
  <c r="P402" i="31"/>
  <c r="N403" i="31"/>
  <c r="O403" i="31" l="1"/>
  <c r="M404" i="31"/>
  <c r="L405" i="31"/>
  <c r="J406" i="31"/>
  <c r="K406" i="31" s="1"/>
  <c r="P403" i="31"/>
  <c r="N404" i="31"/>
  <c r="O404" i="31" l="1"/>
  <c r="M405" i="31"/>
  <c r="L406" i="31"/>
  <c r="J407" i="31"/>
  <c r="K407" i="31" s="1"/>
  <c r="P404" i="31"/>
  <c r="N405" i="31"/>
  <c r="O405" i="31" l="1"/>
  <c r="M406" i="31"/>
  <c r="L407" i="31"/>
  <c r="J408" i="31"/>
  <c r="K408" i="31" s="1"/>
  <c r="P405" i="31"/>
  <c r="N406" i="31"/>
  <c r="O406" i="31" l="1"/>
  <c r="M407" i="31"/>
  <c r="L408" i="31"/>
  <c r="J409" i="31"/>
  <c r="K409" i="31" s="1"/>
  <c r="P406" i="31"/>
  <c r="N407" i="31"/>
  <c r="O407" i="31" l="1"/>
  <c r="M408" i="31"/>
  <c r="L409" i="31"/>
  <c r="J410" i="31"/>
  <c r="K410" i="31" s="1"/>
  <c r="P407" i="31"/>
  <c r="N408" i="31"/>
  <c r="O408" i="31" l="1"/>
  <c r="M409" i="31"/>
  <c r="L410" i="31"/>
  <c r="J411" i="31"/>
  <c r="K411" i="31" s="1"/>
  <c r="P408" i="31"/>
  <c r="N409" i="31"/>
  <c r="O409" i="31" l="1"/>
  <c r="M410" i="31"/>
  <c r="L411" i="31"/>
  <c r="J412" i="31"/>
  <c r="K412" i="31" s="1"/>
  <c r="P409" i="31"/>
  <c r="N410" i="31"/>
  <c r="O410" i="31" l="1"/>
  <c r="M411" i="31"/>
  <c r="L412" i="31"/>
  <c r="J413" i="31"/>
  <c r="K413" i="31" s="1"/>
  <c r="P410" i="31"/>
  <c r="N411" i="31"/>
  <c r="O411" i="31" l="1"/>
  <c r="M412" i="31"/>
  <c r="L413" i="31"/>
  <c r="J414" i="31"/>
  <c r="K414" i="31" s="1"/>
  <c r="P411" i="31"/>
  <c r="N412" i="31"/>
  <c r="O412" i="31" l="1"/>
  <c r="M413" i="31"/>
  <c r="L414" i="31"/>
  <c r="J415" i="31"/>
  <c r="K415" i="31" s="1"/>
  <c r="P412" i="31"/>
  <c r="N413" i="31"/>
  <c r="O413" i="31" l="1"/>
  <c r="M414" i="31"/>
  <c r="L415" i="31"/>
  <c r="J416" i="31"/>
  <c r="K416" i="31" s="1"/>
  <c r="P413" i="31"/>
  <c r="N414" i="31"/>
  <c r="O414" i="31" l="1"/>
  <c r="M415" i="31"/>
  <c r="L416" i="31"/>
  <c r="J417" i="31"/>
  <c r="K417" i="31" s="1"/>
  <c r="P414" i="31"/>
  <c r="N415" i="31"/>
  <c r="O415" i="31" l="1"/>
  <c r="M416" i="31"/>
  <c r="L417" i="31"/>
  <c r="J418" i="31"/>
  <c r="K418" i="31" s="1"/>
  <c r="N416" i="31"/>
  <c r="P415" i="31"/>
  <c r="O416" i="31" l="1"/>
  <c r="M417" i="31"/>
  <c r="L418" i="31"/>
  <c r="J419" i="31"/>
  <c r="K419" i="31" s="1"/>
  <c r="P416" i="31"/>
  <c r="N417" i="31"/>
  <c r="O417" i="31" l="1"/>
  <c r="M418" i="31"/>
  <c r="L419" i="31"/>
  <c r="J420" i="31"/>
  <c r="K420" i="31" s="1"/>
  <c r="P417" i="31"/>
  <c r="N418" i="31"/>
  <c r="O418" i="31" l="1"/>
  <c r="M419" i="31"/>
  <c r="L420" i="31"/>
  <c r="J421" i="31"/>
  <c r="K421" i="31" s="1"/>
  <c r="P418" i="31"/>
  <c r="N419" i="31"/>
  <c r="O419" i="31" l="1"/>
  <c r="M420" i="31"/>
  <c r="L421" i="31"/>
  <c r="J422" i="31"/>
  <c r="K422" i="31" s="1"/>
  <c r="P419" i="31"/>
  <c r="N420" i="31"/>
  <c r="O420" i="31" l="1"/>
  <c r="M421" i="31"/>
  <c r="L422" i="31"/>
  <c r="J423" i="31"/>
  <c r="K423" i="31" s="1"/>
  <c r="P420" i="31"/>
  <c r="N421" i="31"/>
  <c r="O421" i="31" l="1"/>
  <c r="M422" i="31"/>
  <c r="L423" i="31"/>
  <c r="J424" i="31"/>
  <c r="K424" i="31" s="1"/>
  <c r="P421" i="31"/>
  <c r="N422" i="31"/>
  <c r="O422" i="31" l="1"/>
  <c r="M423" i="31"/>
  <c r="L424" i="31"/>
  <c r="J425" i="31"/>
  <c r="K425" i="31" s="1"/>
  <c r="P422" i="31"/>
  <c r="N423" i="31"/>
  <c r="O423" i="31" l="1"/>
  <c r="M424" i="31"/>
  <c r="L425" i="31"/>
  <c r="J426" i="31"/>
  <c r="K426" i="31" s="1"/>
  <c r="P423" i="31"/>
  <c r="N424" i="31"/>
  <c r="O424" i="31" l="1"/>
  <c r="M425" i="31"/>
  <c r="L426" i="31"/>
  <c r="J427" i="31"/>
  <c r="K427" i="31" s="1"/>
  <c r="P424" i="31"/>
  <c r="N425" i="31"/>
  <c r="O425" i="31" l="1"/>
  <c r="M426" i="31"/>
  <c r="L427" i="31"/>
  <c r="J428" i="31"/>
  <c r="K428" i="31" s="1"/>
  <c r="P425" i="31"/>
  <c r="N426" i="31"/>
  <c r="O426" i="31" l="1"/>
  <c r="M427" i="31"/>
  <c r="L428" i="31"/>
  <c r="J429" i="31"/>
  <c r="K429" i="31" s="1"/>
  <c r="P426" i="31"/>
  <c r="N427" i="31"/>
  <c r="O427" i="31" l="1"/>
  <c r="M428" i="31"/>
  <c r="L429" i="31"/>
  <c r="J430" i="31"/>
  <c r="K430" i="31" s="1"/>
  <c r="P427" i="31"/>
  <c r="N428" i="31"/>
  <c r="O428" i="31" l="1"/>
  <c r="M429" i="31"/>
  <c r="L430" i="31"/>
  <c r="J431" i="31"/>
  <c r="K431" i="31" s="1"/>
  <c r="P428" i="31"/>
  <c r="N429" i="31"/>
  <c r="O429" i="31" l="1"/>
  <c r="M430" i="31"/>
  <c r="L431" i="31"/>
  <c r="J432" i="31"/>
  <c r="K432" i="31" s="1"/>
  <c r="P429" i="31"/>
  <c r="N430" i="31"/>
  <c r="O430" i="31" l="1"/>
  <c r="M431" i="31"/>
  <c r="L432" i="31"/>
  <c r="J433" i="31"/>
  <c r="K433" i="31" s="1"/>
  <c r="P430" i="31"/>
  <c r="N431" i="31"/>
  <c r="O431" i="31" l="1"/>
  <c r="M432" i="31"/>
  <c r="L433" i="31"/>
  <c r="J434" i="31"/>
  <c r="K434" i="31" s="1"/>
  <c r="P431" i="31"/>
  <c r="N432" i="31"/>
  <c r="O432" i="31" l="1"/>
  <c r="M433" i="31"/>
  <c r="L434" i="31"/>
  <c r="J435" i="31"/>
  <c r="K435" i="31" s="1"/>
  <c r="P432" i="31"/>
  <c r="N433" i="31"/>
  <c r="O433" i="31" l="1"/>
  <c r="M434" i="31"/>
  <c r="L435" i="31"/>
  <c r="J436" i="31"/>
  <c r="K436" i="31" s="1"/>
  <c r="P433" i="31"/>
  <c r="N434" i="31"/>
  <c r="O434" i="31" l="1"/>
  <c r="M435" i="31"/>
  <c r="L436" i="31"/>
  <c r="J437" i="31"/>
  <c r="K437" i="31" s="1"/>
  <c r="P434" i="31"/>
  <c r="N435" i="31"/>
  <c r="O435" i="31" l="1"/>
  <c r="M436" i="31"/>
  <c r="L437" i="31"/>
  <c r="J438" i="31"/>
  <c r="K438" i="31" s="1"/>
  <c r="P435" i="31"/>
  <c r="N436" i="31"/>
  <c r="O436" i="31" l="1"/>
  <c r="M437" i="31"/>
  <c r="L438" i="31"/>
  <c r="J439" i="31"/>
  <c r="K439" i="31" s="1"/>
  <c r="N437" i="31"/>
  <c r="P436" i="31"/>
  <c r="O437" i="31" l="1"/>
  <c r="M438" i="31"/>
  <c r="L439" i="31"/>
  <c r="J440" i="31"/>
  <c r="K440" i="31" s="1"/>
  <c r="P437" i="31"/>
  <c r="N438" i="31"/>
  <c r="O438" i="31" l="1"/>
  <c r="M439" i="31"/>
  <c r="L440" i="31"/>
  <c r="J441" i="31"/>
  <c r="K441" i="31" s="1"/>
  <c r="P438" i="31"/>
  <c r="N439" i="31"/>
  <c r="O439" i="31" l="1"/>
  <c r="M440" i="31"/>
  <c r="L441" i="31"/>
  <c r="J442" i="31"/>
  <c r="K442" i="31" s="1"/>
  <c r="P439" i="31"/>
  <c r="N440" i="31"/>
  <c r="O440" i="31" l="1"/>
  <c r="M441" i="31"/>
  <c r="L442" i="31"/>
  <c r="J443" i="31"/>
  <c r="K443" i="31" s="1"/>
  <c r="P440" i="31"/>
  <c r="N441" i="31"/>
  <c r="O441" i="31" l="1"/>
  <c r="M442" i="31"/>
  <c r="L443" i="31"/>
  <c r="J444" i="31"/>
  <c r="K444" i="31" s="1"/>
  <c r="P441" i="31"/>
  <c r="N442" i="31"/>
  <c r="O442" i="31" l="1"/>
  <c r="M443" i="31"/>
  <c r="L444" i="31"/>
  <c r="J445" i="31"/>
  <c r="K445" i="31" s="1"/>
  <c r="P442" i="31"/>
  <c r="N443" i="31"/>
  <c r="O443" i="31" l="1"/>
  <c r="M444" i="31"/>
  <c r="L445" i="31"/>
  <c r="J446" i="31"/>
  <c r="K446" i="31" s="1"/>
  <c r="P443" i="31"/>
  <c r="N444" i="31"/>
  <c r="O444" i="31" l="1"/>
  <c r="M445" i="31"/>
  <c r="L446" i="31"/>
  <c r="J447" i="31"/>
  <c r="K447" i="31" s="1"/>
  <c r="P444" i="31"/>
  <c r="N445" i="31"/>
  <c r="O445" i="31" l="1"/>
  <c r="M446" i="31"/>
  <c r="L447" i="31"/>
  <c r="J448" i="31"/>
  <c r="K448" i="31" s="1"/>
  <c r="N446" i="31"/>
  <c r="P445" i="31"/>
  <c r="O446" i="31" l="1"/>
  <c r="M447" i="31"/>
  <c r="L448" i="31"/>
  <c r="J449" i="31"/>
  <c r="K449" i="31" s="1"/>
  <c r="P446" i="31"/>
  <c r="N447" i="31"/>
  <c r="O447" i="31" l="1"/>
  <c r="M448" i="31"/>
  <c r="L449" i="31"/>
  <c r="J450" i="31"/>
  <c r="K450" i="31" s="1"/>
  <c r="P447" i="31"/>
  <c r="N448" i="31"/>
  <c r="O448" i="31" l="1"/>
  <c r="M449" i="31"/>
  <c r="L450" i="31"/>
  <c r="J451" i="31"/>
  <c r="K451" i="31" s="1"/>
  <c r="P448" i="31"/>
  <c r="N449" i="31"/>
  <c r="O449" i="31" l="1"/>
  <c r="M450" i="31"/>
  <c r="L451" i="31"/>
  <c r="J452" i="31"/>
  <c r="K452" i="31" s="1"/>
  <c r="P449" i="31"/>
  <c r="N450" i="31"/>
  <c r="O450" i="31" l="1"/>
  <c r="M451" i="31"/>
  <c r="L452" i="31"/>
  <c r="J453" i="31"/>
  <c r="K453" i="31" s="1"/>
  <c r="P450" i="31"/>
  <c r="N451" i="31"/>
  <c r="O451" i="31" l="1"/>
  <c r="M452" i="31"/>
  <c r="L453" i="31"/>
  <c r="J454" i="31"/>
  <c r="K454" i="31" s="1"/>
  <c r="P451" i="31"/>
  <c r="N452" i="31"/>
  <c r="O452" i="31" l="1"/>
  <c r="M453" i="31"/>
  <c r="L454" i="31"/>
  <c r="J455" i="31"/>
  <c r="K455" i="31" s="1"/>
  <c r="N453" i="31"/>
  <c r="P452" i="31"/>
  <c r="O453" i="31" l="1"/>
  <c r="M454" i="31"/>
  <c r="L455" i="31"/>
  <c r="J456" i="31"/>
  <c r="K456" i="31" s="1"/>
  <c r="P453" i="31"/>
  <c r="N454" i="31"/>
  <c r="O454" i="31" l="1"/>
  <c r="M455" i="31"/>
  <c r="L456" i="31"/>
  <c r="J457" i="31"/>
  <c r="K457" i="31" s="1"/>
  <c r="P454" i="31"/>
  <c r="N455" i="31"/>
  <c r="O455" i="31" l="1"/>
  <c r="M456" i="31"/>
  <c r="L457" i="31"/>
  <c r="J458" i="31"/>
  <c r="K458" i="31" s="1"/>
  <c r="P455" i="31"/>
  <c r="N456" i="31"/>
  <c r="O456" i="31" l="1"/>
  <c r="M457" i="31"/>
  <c r="L458" i="31"/>
  <c r="J459" i="31"/>
  <c r="K459" i="31" s="1"/>
  <c r="P456" i="31"/>
  <c r="N457" i="31"/>
  <c r="O457" i="31" l="1"/>
  <c r="M458" i="31"/>
  <c r="L459" i="31"/>
  <c r="J460" i="31"/>
  <c r="K460" i="31" s="1"/>
  <c r="P457" i="31"/>
  <c r="N458" i="31"/>
  <c r="O458" i="31" l="1"/>
  <c r="M459" i="31"/>
  <c r="L460" i="31"/>
  <c r="J461" i="31"/>
  <c r="K461" i="31" s="1"/>
  <c r="P458" i="31"/>
  <c r="N459" i="31"/>
  <c r="O459" i="31" l="1"/>
  <c r="M460" i="31"/>
  <c r="L461" i="31"/>
  <c r="J462" i="31"/>
  <c r="K462" i="31" s="1"/>
  <c r="P459" i="31"/>
  <c r="N460" i="31"/>
  <c r="O460" i="31" l="1"/>
  <c r="M461" i="31"/>
  <c r="L462" i="31"/>
  <c r="J463" i="31"/>
  <c r="K463" i="31" s="1"/>
  <c r="P460" i="31"/>
  <c r="N461" i="31"/>
  <c r="O461" i="31" l="1"/>
  <c r="M462" i="31"/>
  <c r="L463" i="31"/>
  <c r="J464" i="31"/>
  <c r="K464" i="31" s="1"/>
  <c r="P461" i="31"/>
  <c r="N462" i="31"/>
  <c r="O462" i="31" l="1"/>
  <c r="M463" i="31"/>
  <c r="L464" i="31"/>
  <c r="J465" i="31"/>
  <c r="K465" i="31" s="1"/>
  <c r="P462" i="31"/>
  <c r="N463" i="31"/>
  <c r="O463" i="31" l="1"/>
  <c r="M464" i="31"/>
  <c r="L465" i="31"/>
  <c r="J466" i="31"/>
  <c r="K466" i="31" s="1"/>
  <c r="P463" i="31"/>
  <c r="N464" i="31"/>
  <c r="O464" i="31" l="1"/>
  <c r="M465" i="31"/>
  <c r="L466" i="31"/>
  <c r="J467" i="31"/>
  <c r="K467" i="31" s="1"/>
  <c r="N465" i="31"/>
  <c r="P464" i="31"/>
  <c r="O465" i="31" l="1"/>
  <c r="M466" i="31"/>
  <c r="L467" i="31"/>
  <c r="J468" i="31"/>
  <c r="K468" i="31" s="1"/>
  <c r="P465" i="31"/>
  <c r="N466" i="31"/>
  <c r="O466" i="31" l="1"/>
  <c r="M467" i="31"/>
  <c r="L468" i="31"/>
  <c r="J469" i="31"/>
  <c r="K469" i="31" s="1"/>
  <c r="P466" i="31"/>
  <c r="N467" i="31"/>
  <c r="O467" i="31" l="1"/>
  <c r="M468" i="31"/>
  <c r="L469" i="31"/>
  <c r="J470" i="31"/>
  <c r="K470" i="31" s="1"/>
  <c r="N468" i="31"/>
  <c r="P467" i="31"/>
  <c r="O468" i="31" l="1"/>
  <c r="M469" i="31"/>
  <c r="L470" i="31"/>
  <c r="J471" i="31"/>
  <c r="K471" i="31" s="1"/>
  <c r="N469" i="31"/>
  <c r="P468" i="31"/>
  <c r="O469" i="31" l="1"/>
  <c r="M470" i="31"/>
  <c r="L471" i="31"/>
  <c r="J472" i="31"/>
  <c r="K472" i="31" s="1"/>
  <c r="N470" i="31"/>
  <c r="P469" i="31"/>
  <c r="O470" i="31" l="1"/>
  <c r="M471" i="31"/>
  <c r="L472" i="31"/>
  <c r="J473" i="31"/>
  <c r="K473" i="31" s="1"/>
  <c r="P470" i="31"/>
  <c r="N471" i="31"/>
  <c r="O471" i="31" l="1"/>
  <c r="M472" i="31"/>
  <c r="L473" i="31"/>
  <c r="J474" i="31"/>
  <c r="K474" i="31" s="1"/>
  <c r="N472" i="31"/>
  <c r="P471" i="31"/>
  <c r="O472" i="31" l="1"/>
  <c r="M473" i="31"/>
  <c r="L474" i="31"/>
  <c r="J475" i="31"/>
  <c r="K475" i="31" s="1"/>
  <c r="P472" i="31"/>
  <c r="N473" i="31"/>
  <c r="O473" i="31" l="1"/>
  <c r="M474" i="31"/>
  <c r="L475" i="31"/>
  <c r="J476" i="31"/>
  <c r="K476" i="31" s="1"/>
  <c r="N474" i="31"/>
  <c r="P473" i="31"/>
  <c r="O474" i="31" l="1"/>
  <c r="M475" i="31"/>
  <c r="L476" i="31"/>
  <c r="J477" i="31"/>
  <c r="K477" i="31" s="1"/>
  <c r="P474" i="31"/>
  <c r="N475" i="31"/>
  <c r="O475" i="31" l="1"/>
  <c r="M476" i="31"/>
  <c r="L477" i="31"/>
  <c r="J478" i="31"/>
  <c r="K478" i="31" s="1"/>
  <c r="P475" i="31"/>
  <c r="N476" i="31"/>
  <c r="O476" i="31" l="1"/>
  <c r="M477" i="31"/>
  <c r="L478" i="31"/>
  <c r="J479" i="31"/>
  <c r="K479" i="31" s="1"/>
  <c r="N477" i="31"/>
  <c r="P476" i="31"/>
  <c r="O477" i="31" l="1"/>
  <c r="M478" i="31"/>
  <c r="L479" i="31"/>
  <c r="J480" i="31"/>
  <c r="K480" i="31" s="1"/>
  <c r="P477" i="31"/>
  <c r="N478" i="31"/>
  <c r="O478" i="31" l="1"/>
  <c r="M479" i="31"/>
  <c r="L480" i="31"/>
  <c r="J481" i="31"/>
  <c r="K481" i="31" s="1"/>
  <c r="P478" i="31"/>
  <c r="N479" i="31"/>
  <c r="O479" i="31" l="1"/>
  <c r="M480" i="31"/>
  <c r="L481" i="31"/>
  <c r="J482" i="31"/>
  <c r="K482" i="31" s="1"/>
  <c r="P479" i="31"/>
  <c r="N480" i="31"/>
  <c r="O480" i="31" l="1"/>
  <c r="M481" i="31"/>
  <c r="L482" i="31"/>
  <c r="J483" i="31"/>
  <c r="K483" i="31" s="1"/>
  <c r="P480" i="31"/>
  <c r="N481" i="31"/>
  <c r="O481" i="31" l="1"/>
  <c r="M482" i="31"/>
  <c r="L483" i="31"/>
  <c r="J484" i="31"/>
  <c r="K484" i="31" s="1"/>
  <c r="P481" i="31"/>
  <c r="N482" i="31"/>
  <c r="O482" i="31" l="1"/>
  <c r="M483" i="31"/>
  <c r="L484" i="31"/>
  <c r="J485" i="31"/>
  <c r="K485" i="31" s="1"/>
  <c r="P482" i="31"/>
  <c r="N483" i="31"/>
  <c r="O483" i="31" l="1"/>
  <c r="M484" i="31"/>
  <c r="L485" i="31"/>
  <c r="J486" i="31"/>
  <c r="K486" i="31" s="1"/>
  <c r="P483" i="31"/>
  <c r="N484" i="31"/>
  <c r="O484" i="31" l="1"/>
  <c r="M485" i="31"/>
  <c r="L486" i="31"/>
  <c r="J487" i="31"/>
  <c r="K487" i="31" s="1"/>
  <c r="P484" i="31"/>
  <c r="N485" i="31"/>
  <c r="O485" i="31" l="1"/>
  <c r="M486" i="31"/>
  <c r="L487" i="31"/>
  <c r="J488" i="31"/>
  <c r="K488" i="31" s="1"/>
  <c r="P485" i="31"/>
  <c r="N486" i="31"/>
  <c r="O486" i="31" l="1"/>
  <c r="M487" i="31"/>
  <c r="L488" i="31"/>
  <c r="J489" i="31"/>
  <c r="K489" i="31" s="1"/>
  <c r="P486" i="31"/>
  <c r="N487" i="31"/>
  <c r="O487" i="31" l="1"/>
  <c r="M488" i="31"/>
  <c r="L489" i="31"/>
  <c r="J490" i="31"/>
  <c r="K490" i="31" s="1"/>
  <c r="P487" i="31"/>
  <c r="N488" i="31"/>
  <c r="O488" i="31" l="1"/>
  <c r="M489" i="31"/>
  <c r="L490" i="31"/>
  <c r="J491" i="31"/>
  <c r="K491" i="31" s="1"/>
  <c r="N489" i="31"/>
  <c r="P488" i="31"/>
  <c r="O489" i="31" l="1"/>
  <c r="M490" i="31"/>
  <c r="L491" i="31"/>
  <c r="J492" i="31"/>
  <c r="K492" i="31" s="1"/>
  <c r="N490" i="31"/>
  <c r="P489" i="31"/>
  <c r="O490" i="31" l="1"/>
  <c r="M491" i="31"/>
  <c r="L492" i="31"/>
  <c r="J493" i="31"/>
  <c r="K493" i="31" s="1"/>
  <c r="P490" i="31"/>
  <c r="N491" i="31"/>
  <c r="O491" i="31" l="1"/>
  <c r="M492" i="31"/>
  <c r="L493" i="31"/>
  <c r="J494" i="31"/>
  <c r="K494" i="31" s="1"/>
  <c r="N492" i="31"/>
  <c r="P491" i="31"/>
  <c r="O492" i="31" l="1"/>
  <c r="M493" i="31"/>
  <c r="L494" i="31"/>
  <c r="J495" i="31"/>
  <c r="K495" i="31" s="1"/>
  <c r="N493" i="31"/>
  <c r="P492" i="31"/>
  <c r="O493" i="31" l="1"/>
  <c r="M494" i="31"/>
  <c r="L495" i="31"/>
  <c r="J496" i="31"/>
  <c r="K496" i="31" s="1"/>
  <c r="P493" i="31"/>
  <c r="N494" i="31"/>
  <c r="O494" i="31" l="1"/>
  <c r="M495" i="31"/>
  <c r="L496" i="31"/>
  <c r="J497" i="31"/>
  <c r="K497" i="31" s="1"/>
  <c r="P494" i="31"/>
  <c r="N495" i="31"/>
  <c r="O495" i="31" l="1"/>
  <c r="M496" i="31"/>
  <c r="L497" i="31"/>
  <c r="J498" i="31"/>
  <c r="K498" i="31" s="1"/>
  <c r="P495" i="31"/>
  <c r="N496" i="31"/>
  <c r="O496" i="31" l="1"/>
  <c r="M497" i="31"/>
  <c r="L498" i="31"/>
  <c r="J499" i="31"/>
  <c r="K499" i="31" s="1"/>
  <c r="P496" i="31"/>
  <c r="N497" i="31"/>
  <c r="O497" i="31" l="1"/>
  <c r="M498" i="31"/>
  <c r="L499" i="31"/>
  <c r="J500" i="31"/>
  <c r="K500" i="31" s="1"/>
  <c r="P497" i="31"/>
  <c r="N498" i="31"/>
  <c r="O498" i="31" l="1"/>
  <c r="M499" i="31"/>
  <c r="L500" i="31"/>
  <c r="J501" i="31"/>
  <c r="P498" i="31"/>
  <c r="N499" i="31"/>
  <c r="K501" i="31" l="1"/>
  <c r="O499" i="31"/>
  <c r="M500" i="31"/>
  <c r="P499" i="31"/>
  <c r="N500" i="31"/>
  <c r="L501" i="31" l="1"/>
  <c r="M501" i="31" s="1"/>
  <c r="O500" i="31"/>
  <c r="G12" i="25"/>
  <c r="G13" i="25"/>
  <c r="G15" i="25"/>
  <c r="G11" i="25"/>
  <c r="G14" i="25"/>
  <c r="F11" i="25"/>
  <c r="P500" i="31"/>
  <c r="N501" i="31"/>
  <c r="O501" i="31" l="1"/>
  <c r="F49" i="25"/>
  <c r="F51" i="25"/>
  <c r="G58" i="25"/>
  <c r="G60" i="25"/>
  <c r="G51" i="25"/>
  <c r="F56" i="25"/>
  <c r="F57" i="25"/>
  <c r="F59" i="25"/>
  <c r="G61" i="25"/>
  <c r="F54" i="25"/>
  <c r="G50" i="25"/>
  <c r="F52" i="25"/>
  <c r="G57" i="25"/>
  <c r="F53" i="25"/>
  <c r="G56" i="25"/>
  <c r="F58" i="25"/>
  <c r="F55" i="25"/>
  <c r="G59" i="25"/>
  <c r="F60" i="25"/>
  <c r="F50" i="25"/>
  <c r="G52" i="25"/>
  <c r="G55" i="25"/>
  <c r="G53" i="25"/>
  <c r="G49" i="25"/>
  <c r="G40" i="25"/>
  <c r="F44" i="25"/>
  <c r="G44" i="25"/>
  <c r="G46" i="25"/>
  <c r="G45" i="25"/>
  <c r="F46" i="25"/>
  <c r="F45" i="25"/>
  <c r="F47" i="25"/>
  <c r="G41" i="25"/>
  <c r="F48" i="25"/>
  <c r="F43" i="25"/>
  <c r="G42" i="25"/>
  <c r="F42" i="25"/>
  <c r="G48" i="25"/>
  <c r="F41" i="25"/>
  <c r="F40" i="25"/>
  <c r="G47" i="25"/>
  <c r="G43" i="25"/>
  <c r="F37" i="25"/>
  <c r="G23" i="25"/>
  <c r="F18" i="25"/>
  <c r="G32" i="25"/>
  <c r="F19" i="25"/>
  <c r="F22" i="25"/>
  <c r="F16" i="25"/>
  <c r="F35" i="25"/>
  <c r="G30" i="25"/>
  <c r="F32" i="25"/>
  <c r="G29" i="25"/>
  <c r="G39" i="25"/>
  <c r="G34" i="25"/>
  <c r="F31" i="25"/>
  <c r="G17" i="25"/>
  <c r="F30" i="25"/>
  <c r="F36" i="25"/>
  <c r="G21" i="25"/>
  <c r="F28" i="25"/>
  <c r="F29" i="25"/>
  <c r="F23" i="25"/>
  <c r="G26" i="25"/>
  <c r="G33" i="25"/>
  <c r="F39" i="25"/>
  <c r="F17" i="25"/>
  <c r="G28" i="25"/>
  <c r="G24" i="25"/>
  <c r="G35" i="25"/>
  <c r="F34" i="25"/>
  <c r="G27" i="25"/>
  <c r="F21" i="25"/>
  <c r="F38" i="25"/>
  <c r="G36" i="25"/>
  <c r="G37" i="25"/>
  <c r="F33" i="25"/>
  <c r="F20" i="25"/>
  <c r="G31" i="25"/>
  <c r="G19" i="25"/>
  <c r="G38" i="25"/>
  <c r="F10" i="25"/>
  <c r="F9" i="25"/>
  <c r="F13" i="25"/>
  <c r="F14" i="25"/>
  <c r="F15" i="25"/>
  <c r="P501" i="31"/>
  <c r="F12" i="25"/>
  <c r="R19" i="27" l="1"/>
  <c r="F24" i="25"/>
  <c r="F26" i="25"/>
  <c r="F27" i="25"/>
  <c r="F25" i="25"/>
</calcChain>
</file>

<file path=xl/sharedStrings.xml><?xml version="1.0" encoding="utf-8"?>
<sst xmlns="http://schemas.openxmlformats.org/spreadsheetml/2006/main" count="2266" uniqueCount="1148">
  <si>
    <t>resource_scopes</t>
  </si>
  <si>
    <t>Name</t>
  </si>
  <si>
    <t>resources</t>
  </si>
  <si>
    <t>resource_relations</t>
  </si>
  <si>
    <t>resource_data</t>
  </si>
  <si>
    <t>resource_lists</t>
  </si>
  <si>
    <t>resource_forms</t>
  </si>
  <si>
    <t>resource_defaults</t>
  </si>
  <si>
    <t>resource_actions</t>
  </si>
  <si>
    <t>resource_data_relations</t>
  </si>
  <si>
    <t>resource_list_relations</t>
  </si>
  <si>
    <t>resource_list_scopes</t>
  </si>
  <si>
    <t>Table</t>
  </si>
  <si>
    <t>Field</t>
  </si>
  <si>
    <t>Type</t>
  </si>
  <si>
    <t>Arg2</t>
  </si>
  <si>
    <t>Method1</t>
  </si>
  <si>
    <t>Method2</t>
  </si>
  <si>
    <t>Method3</t>
  </si>
  <si>
    <t>Method4</t>
  </si>
  <si>
    <t>Method5</t>
  </si>
  <si>
    <t>id</t>
  </si>
  <si>
    <t>resource</t>
  </si>
  <si>
    <t>name</t>
  </si>
  <si>
    <t>description</t>
  </si>
  <si>
    <t>title</t>
  </si>
  <si>
    <t>namespace</t>
  </si>
  <si>
    <t>table</t>
  </si>
  <si>
    <t>controller</t>
  </si>
  <si>
    <t>controller_namespace</t>
  </si>
  <si>
    <t>method</t>
  </si>
  <si>
    <t>arg1</t>
  </si>
  <si>
    <t>arg2</t>
  </si>
  <si>
    <t>arg3</t>
  </si>
  <si>
    <t>timestamps</t>
  </si>
  <si>
    <t>type</t>
  </si>
  <si>
    <t>relate_resource</t>
  </si>
  <si>
    <t>title_field</t>
  </si>
  <si>
    <t>relation</t>
  </si>
  <si>
    <t>items_per_page</t>
  </si>
  <si>
    <t>action_text</t>
  </si>
  <si>
    <t>Statement</t>
  </si>
  <si>
    <t>Column</t>
  </si>
  <si>
    <t>resource_list</t>
  </si>
  <si>
    <t>value</t>
  </si>
  <si>
    <t>resource_action</t>
  </si>
  <si>
    <t>resource_action_attrs</t>
  </si>
  <si>
    <t>resource_action_methods</t>
  </si>
  <si>
    <t>resource_form_fields</t>
  </si>
  <si>
    <t>resource_form_field_attrs</t>
  </si>
  <si>
    <t>resource_form_field_data</t>
  </si>
  <si>
    <t>resource_form_field_validations</t>
  </si>
  <si>
    <t>resource_form</t>
  </si>
  <si>
    <t>form_field</t>
  </si>
  <si>
    <t>attribute</t>
  </si>
  <si>
    <t>rule</t>
  </si>
  <si>
    <t>message</t>
  </si>
  <si>
    <t>resource_action_lists</t>
  </si>
  <si>
    <t>resource_action_data</t>
  </si>
  <si>
    <t>groups</t>
  </si>
  <si>
    <t>group_users</t>
  </si>
  <si>
    <t>roles</t>
  </si>
  <si>
    <t>group_roles</t>
  </si>
  <si>
    <t>group</t>
  </si>
  <si>
    <t>user</t>
  </si>
  <si>
    <t>role</t>
  </si>
  <si>
    <t>resource_form_defaults</t>
  </si>
  <si>
    <t>Class Name</t>
  </si>
  <si>
    <t>Singular Name</t>
  </si>
  <si>
    <t>Model Artisan</t>
  </si>
  <si>
    <t>Seeder Artisan</t>
  </si>
  <si>
    <t>Record No</t>
  </si>
  <si>
    <t>\DB::statement('set foreign_key_checks = 0');</t>
  </si>
  <si>
    <t>$_ = \DB::statement('SELECT @@GLOBAL.foreign_key_checks');</t>
  </si>
  <si>
    <t>User</t>
  </si>
  <si>
    <t>users</t>
  </si>
  <si>
    <t>Groups</t>
  </si>
  <si>
    <t>__groups</t>
  </si>
  <si>
    <t>Users</t>
  </si>
  <si>
    <t>Roles</t>
  </si>
  <si>
    <t>__roles</t>
  </si>
  <si>
    <t>organisation</t>
  </si>
  <si>
    <t>organisation_contacts</t>
  </si>
  <si>
    <t>detail</t>
  </si>
  <si>
    <t>Organisation</t>
  </si>
  <si>
    <t>__organisation</t>
  </si>
  <si>
    <t>Resource</t>
  </si>
  <si>
    <t>__resources</t>
  </si>
  <si>
    <t>Migration Artisan</t>
  </si>
  <si>
    <t>resource_roles</t>
  </si>
  <si>
    <t>Model Statement</t>
  </si>
  <si>
    <t>Seeder Class</t>
  </si>
  <si>
    <t>Resources</t>
  </si>
  <si>
    <t>Group Roles</t>
  </si>
  <si>
    <t>Resource Roles</t>
  </si>
  <si>
    <t>label</t>
  </si>
  <si>
    <t>Group</t>
  </si>
  <si>
    <t>Title</t>
  </si>
  <si>
    <t>Detail</t>
  </si>
  <si>
    <t>No</t>
  </si>
  <si>
    <t>Resource Name</t>
  </si>
  <si>
    <t>Form Name</t>
  </si>
  <si>
    <t>Description</t>
  </si>
  <si>
    <t>Action Text</t>
  </si>
  <si>
    <t>Label</t>
  </si>
  <si>
    <t>Relation</t>
  </si>
  <si>
    <t>Attribute</t>
  </si>
  <si>
    <t>__organisation_contacts</t>
  </si>
  <si>
    <t>Model NS</t>
  </si>
  <si>
    <t>Resource Actions</t>
  </si>
  <si>
    <t>ResourceAction</t>
  </si>
  <si>
    <t>__resource_actions</t>
  </si>
  <si>
    <t>Role</t>
  </si>
  <si>
    <t>OrganisationContact</t>
  </si>
  <si>
    <t>menu</t>
  </si>
  <si>
    <t>Menu</t>
  </si>
  <si>
    <t>NS</t>
  </si>
  <si>
    <t>Controller</t>
  </si>
  <si>
    <t>Controller NS</t>
  </si>
  <si>
    <t>Resource Id</t>
  </si>
  <si>
    <t>Method</t>
  </si>
  <si>
    <t>Form</t>
  </si>
  <si>
    <t>List</t>
  </si>
  <si>
    <t>ResourceActionMethod</t>
  </si>
  <si>
    <t>__resource_action_methods</t>
  </si>
  <si>
    <t>ResourceActionList</t>
  </si>
  <si>
    <t>__resource_action_lists</t>
  </si>
  <si>
    <t>__resource_action_data</t>
  </si>
  <si>
    <t>ResourceActionData</t>
  </si>
  <si>
    <t>Lists</t>
  </si>
  <si>
    <t>Data</t>
  </si>
  <si>
    <t>ResourceRole</t>
  </si>
  <si>
    <t>__resource_roles</t>
  </si>
  <si>
    <t>ResourceForm</t>
  </si>
  <si>
    <t>Forms</t>
  </si>
  <si>
    <t>__resource_forms</t>
  </si>
  <si>
    <t>ResourceFormField</t>
  </si>
  <si>
    <t>Form Fields</t>
  </si>
  <si>
    <t>__resource_form_fields</t>
  </si>
  <si>
    <t>Relate Resource</t>
  </si>
  <si>
    <t>Relate Id</t>
  </si>
  <si>
    <t>Query Method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</si>
  <si>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</si>
  <si>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</si>
  <si>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</si>
  <si>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</si>
  <si>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</si>
  <si>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</si>
  <si>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</si>
  <si>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</si>
  <si>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</si>
  <si>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</si>
  <si>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</si>
  <si>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</si>
  <si>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</si>
  <si>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</si>
  <si>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</si>
  <si>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Model</t>
  </si>
  <si>
    <t>\DB::statement('set foreign_key_checks = ' . $_);</t>
  </si>
  <si>
    <t>Resource Forms</t>
  </si>
  <si>
    <t>Table Name</t>
  </si>
  <si>
    <t>TableData</t>
  </si>
  <si>
    <t>TRCode</t>
  </si>
  <si>
    <t>Resource Scopes</t>
  </si>
  <si>
    <t>Resource Lists</t>
  </si>
  <si>
    <t>Resource Relations</t>
  </si>
  <si>
    <t>ResourceFormFieldAttr</t>
  </si>
  <si>
    <t>__resource_form_field_attrs</t>
  </si>
  <si>
    <t>resource_form_field_options</t>
  </si>
  <si>
    <t>value_attr</t>
  </si>
  <si>
    <t>label_attr</t>
  </si>
  <si>
    <t>preload</t>
  </si>
  <si>
    <t>ResourceFormFieldOption</t>
  </si>
  <si>
    <t>Field Options</t>
  </si>
  <si>
    <t>__resource_form_field_options</t>
  </si>
  <si>
    <t>ResourceFormFieldValidation</t>
  </si>
  <si>
    <t>__resource_form_field_validations</t>
  </si>
  <si>
    <t>Field Validations</t>
  </si>
  <si>
    <t>ResourceFormDefault</t>
  </si>
  <si>
    <t>Form Defaults</t>
  </si>
  <si>
    <t>__resource_form_defaults</t>
  </si>
  <si>
    <t>ResourceFormFieldData</t>
  </si>
  <si>
    <t>Field Data</t>
  </si>
  <si>
    <t>__resource_form_field_data</t>
  </si>
  <si>
    <t>resource_relation</t>
  </si>
  <si>
    <t>ResourceList</t>
  </si>
  <si>
    <t>__resource_lists</t>
  </si>
  <si>
    <t>ResourceListRelation</t>
  </si>
  <si>
    <t>__resource_list_relations</t>
  </si>
  <si>
    <t>ResourceScope</t>
  </si>
  <si>
    <t>__resource_scopes</t>
  </si>
  <si>
    <t>ResourceListScope</t>
  </si>
  <si>
    <t>List Scopes</t>
  </si>
  <si>
    <t>__resource_list_scopes</t>
  </si>
  <si>
    <t>ResourceData</t>
  </si>
  <si>
    <t>__resource_data</t>
  </si>
  <si>
    <t>ResourceDataRelation</t>
  </si>
  <si>
    <t>Data Relations</t>
  </si>
  <si>
    <t>__resource_data_relations</t>
  </si>
  <si>
    <t>Resource Data</t>
  </si>
  <si>
    <t>resource_list_layout</t>
  </si>
  <si>
    <t>field</t>
  </si>
  <si>
    <t>ResourceListLayout</t>
  </si>
  <si>
    <t>List Layout</t>
  </si>
  <si>
    <t>__resource_list_layout</t>
  </si>
  <si>
    <t>resource_data_scopes</t>
  </si>
  <si>
    <t>ResourceRelation</t>
  </si>
  <si>
    <t>__resource_relations</t>
  </si>
  <si>
    <t>nest_relation1</t>
  </si>
  <si>
    <t>nest_relation2</t>
  </si>
  <si>
    <t>nest_relation3</t>
  </si>
  <si>
    <t>resource_form_layout</t>
  </si>
  <si>
    <t>colspan</t>
  </si>
  <si>
    <t>ResourceFormLayout</t>
  </si>
  <si>
    <t>Form Layout</t>
  </si>
  <si>
    <t>__resource_form_layout</t>
  </si>
  <si>
    <t>resource_data_view_sections</t>
  </si>
  <si>
    <t>resource_data_view_section_items</t>
  </si>
  <si>
    <t>ResourceDataViewSection</t>
  </si>
  <si>
    <t>Data View Section</t>
  </si>
  <si>
    <t>__resource_data_view_sections</t>
  </si>
  <si>
    <t>ResourceDataViewSectionItem</t>
  </si>
  <si>
    <t>Data View Section Items</t>
  </si>
  <si>
    <t>__resource_data_view_section_items</t>
  </si>
  <si>
    <t>FormWithData</t>
  </si>
  <si>
    <t>resource_form_collection</t>
  </si>
  <si>
    <t>ResourceFormCollection</t>
  </si>
  <si>
    <t>Collection Form</t>
  </si>
  <si>
    <t>__resource_form_collection</t>
  </si>
  <si>
    <t>Form Collection</t>
  </si>
  <si>
    <t>foreign_field</t>
  </si>
  <si>
    <t>Length/Enum</t>
  </si>
  <si>
    <t>Data Scopes</t>
  </si>
  <si>
    <t>resource_list_search</t>
  </si>
  <si>
    <t>ResourceListSearch</t>
  </si>
  <si>
    <t>List Search</t>
  </si>
  <si>
    <t>__resource_list_search</t>
  </si>
  <si>
    <t>resource_form_field_depends</t>
  </si>
  <si>
    <t>depend_field</t>
  </si>
  <si>
    <t>db_field</t>
  </si>
  <si>
    <t>operator</t>
  </si>
  <si>
    <t>compare_method</t>
  </si>
  <si>
    <t>Field Depends</t>
  </si>
  <si>
    <t>ResourceFormFieldDepend</t>
  </si>
  <si>
    <t>__resource_form_field_depends</t>
  </si>
  <si>
    <t>ignore_null</t>
  </si>
  <si>
    <t>value_db_field</t>
  </si>
  <si>
    <t>resource_metrics</t>
  </si>
  <si>
    <t>resource_dashboard</t>
  </si>
  <si>
    <t>resource_dashboard_sections</t>
  </si>
  <si>
    <t>resource_dashboard_section</t>
  </si>
  <si>
    <t>resource_dashboard_section_items</t>
  </si>
  <si>
    <t>resource_dashboard_section_item</t>
  </si>
  <si>
    <t>Dashboard Sections</t>
  </si>
  <si>
    <t>Dashboard Section Items</t>
  </si>
  <si>
    <t>Resource Metrics</t>
  </si>
  <si>
    <t>ResourceDashboard</t>
  </si>
  <si>
    <t>ResourceDashboardSection</t>
  </si>
  <si>
    <t>ResourceDashboardSectionItem</t>
  </si>
  <si>
    <t>ResourceMetric</t>
  </si>
  <si>
    <t>Resource Dashboard</t>
  </si>
  <si>
    <t>__resource_dashboard</t>
  </si>
  <si>
    <t>__resource_dashboard_sections</t>
  </si>
  <si>
    <t>__resource_dashboard_section_items</t>
  </si>
  <si>
    <t>__resource_metrics</t>
  </si>
  <si>
    <t>resource_form_field_dynamic</t>
  </si>
  <si>
    <t>alter_on</t>
  </si>
  <si>
    <t>Field Dynamic</t>
  </si>
  <si>
    <t>ResourceFormFieldDynamic</t>
  </si>
  <si>
    <t>__resource_form_field_dynamic</t>
  </si>
  <si>
    <t>values</t>
  </si>
  <si>
    <t>Method Type</t>
  </si>
  <si>
    <t>Preload</t>
  </si>
  <si>
    <t>Rule</t>
  </si>
  <si>
    <t>Message</t>
  </si>
  <si>
    <t>Compare Method</t>
  </si>
  <si>
    <t>Value</t>
  </si>
  <si>
    <t>Values</t>
  </si>
  <si>
    <t>Foreign</t>
  </si>
  <si>
    <t>Filename</t>
  </si>
  <si>
    <t>Date Part</t>
  </si>
  <si>
    <t>Sequence</t>
  </si>
  <si>
    <t>Name Part</t>
  </si>
  <si>
    <t>New Name</t>
  </si>
  <si>
    <t>CMD</t>
  </si>
  <si>
    <t>resource_form_upload</t>
  </si>
  <si>
    <t>Last ID</t>
  </si>
  <si>
    <t>AI Change Query</t>
  </si>
  <si>
    <t>audit</t>
  </si>
  <si>
    <t>development</t>
  </si>
  <si>
    <t>ResourceDataScope</t>
  </si>
  <si>
    <t>ResourceFormUpload</t>
  </si>
  <si>
    <t>Form Upload</t>
  </si>
  <si>
    <t>__resource_form_upload</t>
  </si>
  <si>
    <t>ResourceActionAttr</t>
  </si>
  <si>
    <t>__resource_action_attrs</t>
  </si>
  <si>
    <t>ResourceDefault</t>
  </si>
  <si>
    <t>__resource_defaults</t>
  </si>
  <si>
    <t>Development</t>
  </si>
  <si>
    <t>RID</t>
  </si>
  <si>
    <t>R1</t>
  </si>
  <si>
    <t>R2</t>
  </si>
  <si>
    <t>R3</t>
  </si>
  <si>
    <t>Rel</t>
  </si>
  <si>
    <t>Rel1</t>
  </si>
  <si>
    <t>Rel2</t>
  </si>
  <si>
    <t>Rel3</t>
  </si>
  <si>
    <t>ID</t>
  </si>
  <si>
    <t>RELID</t>
  </si>
  <si>
    <t>Option Type</t>
  </si>
  <si>
    <t>Value Attr</t>
  </si>
  <si>
    <t>Label Attr</t>
  </si>
  <si>
    <t>Option Field ID</t>
  </si>
  <si>
    <t>Data Field ID</t>
  </si>
  <si>
    <t>Depend Field</t>
  </si>
  <si>
    <t>Operator</t>
  </si>
  <si>
    <t>Value DB Field</t>
  </si>
  <si>
    <t>Ignore Null</t>
  </si>
  <si>
    <t>Alter On</t>
  </si>
  <si>
    <t>Arg 1</t>
  </si>
  <si>
    <t>Arg 2</t>
  </si>
  <si>
    <t>Arg 3</t>
  </si>
  <si>
    <t>Layout Form ID</t>
  </si>
  <si>
    <t>Layout Field ID</t>
  </si>
  <si>
    <t>Colspan</t>
  </si>
  <si>
    <t>Method Action ID</t>
  </si>
  <si>
    <t>IDN 1</t>
  </si>
  <si>
    <t>IDN 2</t>
  </si>
  <si>
    <t>Action</t>
  </si>
  <si>
    <t>Field Attrs</t>
  </si>
  <si>
    <t>List Relation</t>
  </si>
  <si>
    <t>Action Method</t>
  </si>
  <si>
    <t>Action Attrs</t>
  </si>
  <si>
    <t>Action List</t>
  </si>
  <si>
    <t>Action Data</t>
  </si>
  <si>
    <t>Update</t>
  </si>
  <si>
    <t>ATTR Field</t>
  </si>
  <si>
    <t>Display</t>
  </si>
  <si>
    <t>Validation Field</t>
  </si>
  <si>
    <t>Data Table</t>
  </si>
  <si>
    <t>Data Range</t>
  </si>
  <si>
    <t>[[TRCode]:[15]]</t>
  </si>
  <si>
    <t>Skip Columns</t>
  </si>
  <si>
    <t>ResourceTable</t>
  </si>
  <si>
    <t>Primary</t>
  </si>
  <si>
    <t>RName</t>
  </si>
  <si>
    <t>[[Primary]:[Development]]</t>
  </si>
  <si>
    <t>RelationTable</t>
  </si>
  <si>
    <t>[[Primary]:[Relate Id]]</t>
  </si>
  <si>
    <t>FormName</t>
  </si>
  <si>
    <t>ResourceForms</t>
  </si>
  <si>
    <t>[[Primary]:[Action Text]]</t>
  </si>
  <si>
    <t>Field Name</t>
  </si>
  <si>
    <t>FormFields</t>
  </si>
  <si>
    <t>[[Primary]:[Label]]</t>
  </si>
  <si>
    <t>Primary FD</t>
  </si>
  <si>
    <t>NO2</t>
  </si>
  <si>
    <t>NO3</t>
  </si>
  <si>
    <t>NO4</t>
  </si>
  <si>
    <t>Exists</t>
  </si>
  <si>
    <t>[[Primary FD]:[R3]]</t>
  </si>
  <si>
    <t>Primary FO</t>
  </si>
  <si>
    <t>Exists FO</t>
  </si>
  <si>
    <t>NO5</t>
  </si>
  <si>
    <t>[[Primary FO]:[Preload]]</t>
  </si>
  <si>
    <t>Exists FL</t>
  </si>
  <si>
    <t>Primary FL</t>
  </si>
  <si>
    <t>NO8</t>
  </si>
  <si>
    <t>FL ID</t>
  </si>
  <si>
    <t>[[Primary FL]:[Colspan]]</t>
  </si>
  <si>
    <t>FieldAttrs</t>
  </si>
  <si>
    <t>[[Primary]:[Value]]</t>
  </si>
  <si>
    <t>FieldValidations</t>
  </si>
  <si>
    <t>[[Primary]:[Arg 3]]</t>
  </si>
  <si>
    <t>Primary Method</t>
  </si>
  <si>
    <t>Method ID</t>
  </si>
  <si>
    <t>Action Name</t>
  </si>
  <si>
    <t>Primary List</t>
  </si>
  <si>
    <t>Primary Data</t>
  </si>
  <si>
    <t>List ID</t>
  </si>
  <si>
    <t>Action 1</t>
  </si>
  <si>
    <t>Action 2</t>
  </si>
  <si>
    <t>Data ID</t>
  </si>
  <si>
    <t>ActionListNData</t>
  </si>
  <si>
    <t>[[Primary List]:[List]]</t>
  </si>
  <si>
    <t>[[Primary Data]:[Data]]</t>
  </si>
  <si>
    <t>Resource ID</t>
  </si>
  <si>
    <t>ResourceScopes</t>
  </si>
  <si>
    <t>[[Primary]:[Method]]</t>
  </si>
  <si>
    <t>Form for Default</t>
  </si>
  <si>
    <t>FormDefault</t>
  </si>
  <si>
    <t>R12</t>
  </si>
  <si>
    <t>R22</t>
  </si>
  <si>
    <t>R32</t>
  </si>
  <si>
    <t>R</t>
  </si>
  <si>
    <t>REL1</t>
  </si>
  <si>
    <t>REL2</t>
  </si>
  <si>
    <t>REL3</t>
  </si>
  <si>
    <t>Main Form for Collection</t>
  </si>
  <si>
    <t>Foreign Field</t>
  </si>
  <si>
    <t>Resource Form</t>
  </si>
  <si>
    <t>Collection Form2</t>
  </si>
  <si>
    <t>Relation3</t>
  </si>
  <si>
    <t>FormCollection</t>
  </si>
  <si>
    <t>[[Primary]:[Foreign]]</t>
  </si>
  <si>
    <t>ListDisplayName</t>
  </si>
  <si>
    <t>Resource for Scope</t>
  </si>
  <si>
    <t>ScopesDisplayNames</t>
  </si>
  <si>
    <t>List Name</t>
  </si>
  <si>
    <t>Relation Name</t>
  </si>
  <si>
    <t>Scope Name</t>
  </si>
  <si>
    <t>R1 Name</t>
  </si>
  <si>
    <t>R2 Name</t>
  </si>
  <si>
    <t>R3 Name</t>
  </si>
  <si>
    <t>LID</t>
  </si>
  <si>
    <t>Scope Table ID</t>
  </si>
  <si>
    <t>Scope ID</t>
  </si>
  <si>
    <t>Relation Table ID</t>
  </si>
  <si>
    <t>Scope - Resource List</t>
  </si>
  <si>
    <t>Relation - Resource List</t>
  </si>
  <si>
    <t>Scope Primary</t>
  </si>
  <si>
    <t>Relation Primary</t>
  </si>
  <si>
    <t>ListExtras</t>
  </si>
  <si>
    <t>[[Scope Primary]:[Scope ID]]</t>
  </si>
  <si>
    <t>[[Relation Primary]:[R3]]</t>
  </si>
  <si>
    <t>List Name for Search</t>
  </si>
  <si>
    <t>REL</t>
  </si>
  <si>
    <t>Relation 1</t>
  </si>
  <si>
    <t>Relation 2</t>
  </si>
  <si>
    <t>Relation 3</t>
  </si>
  <si>
    <t>ListSearch</t>
  </si>
  <si>
    <t>[[Primary]:[R3]]</t>
  </si>
  <si>
    <t>List Name for Layout</t>
  </si>
  <si>
    <t>ListLayout</t>
  </si>
  <si>
    <t>[[Primary]:[R2]]</t>
  </si>
  <si>
    <t>DataDisplayName</t>
  </si>
  <si>
    <t>Title Field</t>
  </si>
  <si>
    <t>Data Name</t>
  </si>
  <si>
    <t>DID</t>
  </si>
  <si>
    <t>Relation - Resource Data</t>
  </si>
  <si>
    <t>Scope - Resource Data</t>
  </si>
  <si>
    <t>DataExtra</t>
  </si>
  <si>
    <t>Data Name for Layout</t>
  </si>
  <si>
    <t>DataSectionDisplayName</t>
  </si>
  <si>
    <t>Data Section for Items</t>
  </si>
  <si>
    <t>Section ID</t>
  </si>
  <si>
    <t>DataViewSectionItem</t>
  </si>
  <si>
    <t>[[Primary]:[REL]]</t>
  </si>
  <si>
    <t>DataViewSection</t>
  </si>
  <si>
    <t>Action Name for Attr</t>
  </si>
  <si>
    <t>ActionAttr</t>
  </si>
  <si>
    <t>Form ID</t>
  </si>
  <si>
    <t>Page</t>
  </si>
  <si>
    <t>[[Primary]:[Page]]</t>
  </si>
  <si>
    <t>AID</t>
  </si>
  <si>
    <t>Resource List</t>
  </si>
  <si>
    <t>Records</t>
  </si>
  <si>
    <t>Count Field</t>
  </si>
  <si>
    <t>Count Reduce</t>
  </si>
  <si>
    <t>Type Count</t>
  </si>
  <si>
    <t>Count Field Text</t>
  </si>
  <si>
    <t>Name Field Position</t>
  </si>
  <si>
    <t>ID Field Position</t>
  </si>
  <si>
    <t>IDN 3</t>
  </si>
  <si>
    <t>IDN 4</t>
  </si>
  <si>
    <t>IDN 5</t>
  </si>
  <si>
    <t>IDN1</t>
  </si>
  <si>
    <t>IDN2</t>
  </si>
  <si>
    <t>IDN3</t>
  </si>
  <si>
    <t>IDN4</t>
  </si>
  <si>
    <t>IDN5</t>
  </si>
  <si>
    <t>Field name - depends on</t>
  </si>
  <si>
    <t>Database Field</t>
  </si>
  <si>
    <t>Field ID</t>
  </si>
  <si>
    <t>FieldDepends</t>
  </si>
  <si>
    <t>[[Primary]:[Ignore Null]]</t>
  </si>
  <si>
    <t>Field for Depend</t>
  </si>
  <si>
    <t>Field for Dynamic</t>
  </si>
  <si>
    <t>FieldDynamic</t>
  </si>
  <si>
    <t>[[Primary]:[Operator]]</t>
  </si>
  <si>
    <t>RID2</t>
  </si>
  <si>
    <t>resource_form_data_map</t>
  </si>
  <si>
    <t>Form Data Map</t>
  </si>
  <si>
    <t>Form for Data Mapping</t>
  </si>
  <si>
    <t>Form Field</t>
  </si>
  <si>
    <t>R0</t>
  </si>
  <si>
    <t>R4</t>
  </si>
  <si>
    <t>R5</t>
  </si>
  <si>
    <t>Rel4</t>
  </si>
  <si>
    <t>Rel5</t>
  </si>
  <si>
    <t>FormDataMapping</t>
  </si>
  <si>
    <t>[[Primary]:[R5]]</t>
  </si>
  <si>
    <t>2019_01_24_000002_create___groups_table.php</t>
  </si>
  <si>
    <t>2019_01_24_000003_create___group_users_table.php</t>
  </si>
  <si>
    <t>2019_01_24_000004_create___roles_table.php</t>
  </si>
  <si>
    <t>2019_01_24_000005_create___group_roles_table.php</t>
  </si>
  <si>
    <t>2019_01_24_000006_create___resources_table.php</t>
  </si>
  <si>
    <t>2019_01_24_000007_create___resource_roles_table.php</t>
  </si>
  <si>
    <t>2019_01_24_000008_create___resource_relations_table.php</t>
  </si>
  <si>
    <t>2019_01_24_000009_create___resource_scopes_table.php</t>
  </si>
  <si>
    <t>2019_01_24_000010_create___resource_forms_table.php</t>
  </si>
  <si>
    <t>2019_01_24_000011_create___resource_form_fields_table.php</t>
  </si>
  <si>
    <t>2019_01_24_000012_create___resource_form_field_attrs_table.php</t>
  </si>
  <si>
    <t>2019_01_24_000013_create___resource_form_field_data_table.php</t>
  </si>
  <si>
    <t>2019_01_24_000014_create___resource_form_field_validations_table.php</t>
  </si>
  <si>
    <t>2019_01_24_000015_create___resource_form_field_options_table.php</t>
  </si>
  <si>
    <t>2019_01_24_000016_create___resource_form_field_depends_table.php</t>
  </si>
  <si>
    <t>2019_01_24_000017_create___resource_form_field_dynamic_table.php</t>
  </si>
  <si>
    <t>2019_01_24_000018_create___resource_form_layout_table.php</t>
  </si>
  <si>
    <t>2019_01_24_000019_create___resource_form_data_map_table.php</t>
  </si>
  <si>
    <t>2019_01_24_000020_create___resource_form_collection_table.php</t>
  </si>
  <si>
    <t>2019_01_24_000021_create___resource_form_upload_table.php</t>
  </si>
  <si>
    <t>2019_01_24_000022_create___resource_form_defaults_table.php</t>
  </si>
  <si>
    <t>2019_01_24_000023_create___resource_lists_table.php</t>
  </si>
  <si>
    <t>2019_01_24_000024_create___resource_list_relations_table.php</t>
  </si>
  <si>
    <t>2019_01_24_000025_create___resource_list_scopes_table.php</t>
  </si>
  <si>
    <t>2019_01_24_000026_create___resource_list_layout_table.php</t>
  </si>
  <si>
    <t>2019_01_24_000027_create___resource_list_search_table.php</t>
  </si>
  <si>
    <t>2019_01_24_000028_create___resource_data_table.php</t>
  </si>
  <si>
    <t>2019_01_24_000029_create___resource_data_relations_table.php</t>
  </si>
  <si>
    <t>2019_01_24_000030_create___resource_data_scopes_table.php</t>
  </si>
  <si>
    <t>2019_01_24_000031_create___resource_data_view_sections_table.php</t>
  </si>
  <si>
    <t>2019_01_24_000032_create___resource_data_view_section_items_table.php</t>
  </si>
  <si>
    <t>2019_01_24_000033_create___resource_actions_table.php</t>
  </si>
  <si>
    <t>2019_01_24_000034_create___resource_action_attrs_table.php</t>
  </si>
  <si>
    <t>2019_01_24_000035_create___resource_action_methods_table.php</t>
  </si>
  <si>
    <t>2019_01_24_000036_create___resource_action_lists_table.php</t>
  </si>
  <si>
    <t>2019_01_24_000037_create___resource_action_data_table.php</t>
  </si>
  <si>
    <t>2019_01_24_000038_create___resource_defaults_table.php</t>
  </si>
  <si>
    <t>2019_01_24_000039_create___resource_metrics_table.php</t>
  </si>
  <si>
    <t>2019_01_24_000040_create___resource_dashboard_table.php</t>
  </si>
  <si>
    <t>2019_01_24_000041_create___resource_dashboard_sections_table.php</t>
  </si>
  <si>
    <t>2019_01_24_000042_create___resource_dashboard_section_items_table.php</t>
  </si>
  <si>
    <t>2019_01_24_000043_create___organisation_table.php</t>
  </si>
  <si>
    <t>2019_01_24_000044_create___organisation_contacts_table.php</t>
  </si>
  <si>
    <t>identity</t>
  </si>
  <si>
    <t>Identity</t>
  </si>
  <si>
    <t>Resource Defaults</t>
  </si>
  <si>
    <t>Select Resource for Default</t>
  </si>
  <si>
    <t>List2</t>
  </si>
  <si>
    <t>Create</t>
  </si>
  <si>
    <t>Read</t>
  </si>
  <si>
    <t>ResourceDefaultsTable</t>
  </si>
  <si>
    <t>[[Primary]:[Update]]</t>
  </si>
  <si>
    <t>[[Primary]:[Colspan]]</t>
  </si>
  <si>
    <t>Milestone\Appframe\Model</t>
  </si>
  <si>
    <t>php artisan make:migration create_users_table --create=__users</t>
  </si>
  <si>
    <t>php artisan make:model User</t>
  </si>
  <si>
    <t>protected $table = 'users';</t>
  </si>
  <si>
    <t>php artisan make:seed UserTableSeeder</t>
  </si>
  <si>
    <t>UserTableSeeder::class,</t>
  </si>
  <si>
    <t>php artisan make:migration create___groups_table --create=__groups</t>
  </si>
  <si>
    <t>php artisan make:model Group</t>
  </si>
  <si>
    <t>protected $table = '__groups';</t>
  </si>
  <si>
    <t>php artisan make:seed GroupTableSeeder</t>
  </si>
  <si>
    <t>GroupTableSeeder::class,</t>
  </si>
  <si>
    <t>__group_users</t>
  </si>
  <si>
    <t>group_user</t>
  </si>
  <si>
    <t>GroupUser</t>
  </si>
  <si>
    <t>php artisan make:migration create___group_users_table --create=__group_users</t>
  </si>
  <si>
    <t>php artisan make:model GroupUser</t>
  </si>
  <si>
    <t>protected $table = '__group_users';</t>
  </si>
  <si>
    <t>php artisan make:seed GroupUserTableSeeder</t>
  </si>
  <si>
    <t>GroupUserTableSeeder::class,</t>
  </si>
  <si>
    <t>php artisan make:migration create___roles_table --create=__roles</t>
  </si>
  <si>
    <t>php artisan make:model Role</t>
  </si>
  <si>
    <t>protected $table = '__roles';</t>
  </si>
  <si>
    <t>php artisan make:seed RoleTableSeeder</t>
  </si>
  <si>
    <t>RoleTableSeeder::class,</t>
  </si>
  <si>
    <t>__group_roles</t>
  </si>
  <si>
    <t>group_role</t>
  </si>
  <si>
    <t>GroupRole</t>
  </si>
  <si>
    <t>php artisan make:migration create___group_roles_table --create=__group_roles</t>
  </si>
  <si>
    <t>php artisan make:model GroupRole</t>
  </si>
  <si>
    <t>protected $table = '__group_roles';</t>
  </si>
  <si>
    <t>php artisan make:seed GroupRoleTableSeeder</t>
  </si>
  <si>
    <t>GroupRoleTableSeeder::class,</t>
  </si>
  <si>
    <t>php artisan make:migration create___resources_table --create=__resources</t>
  </si>
  <si>
    <t>php artisan make:model Resource</t>
  </si>
  <si>
    <t>protected $table = '__resources';</t>
  </si>
  <si>
    <t>php artisan make:seed ResourceTableSeeder</t>
  </si>
  <si>
    <t>ResourceTableSeeder::class,</t>
  </si>
  <si>
    <t>resource_role</t>
  </si>
  <si>
    <t>php artisan make:migration create___resource_roles_table --create=__resource_roles</t>
  </si>
  <si>
    <t>php artisan make:model ResourceRole</t>
  </si>
  <si>
    <t>protected $table = '__resource_roles';</t>
  </si>
  <si>
    <t>php artisan make:seed ResourceRoleTableSeeder</t>
  </si>
  <si>
    <t>ResourceRoleTableSeeder::class,</t>
  </si>
  <si>
    <t>php artisan make:migration create___resource_relations_table --create=__resource_relations</t>
  </si>
  <si>
    <t>php artisan make:model ResourceRelation</t>
  </si>
  <si>
    <t>protected $table = '__resource_relations';</t>
  </si>
  <si>
    <t>php artisan make:seed ResourceRelationTableSeeder</t>
  </si>
  <si>
    <t>ResourceRelationTableSeeder::class,</t>
  </si>
  <si>
    <t>resource_scope</t>
  </si>
  <si>
    <t>php artisan make:migration create___resource_scopes_table --create=__resource_scopes</t>
  </si>
  <si>
    <t>php artisan make:model ResourceScope</t>
  </si>
  <si>
    <t>protected $table = '__resource_scopes';</t>
  </si>
  <si>
    <t>php artisan make:seed ResourceScopeTableSeeder</t>
  </si>
  <si>
    <t>ResourceScopeTableSeeder::class,</t>
  </si>
  <si>
    <t>php artisan make:migration create___resource_forms_table --create=__resource_forms</t>
  </si>
  <si>
    <t>php artisan make:model ResourceForm</t>
  </si>
  <si>
    <t>protected $table = '__resource_forms';</t>
  </si>
  <si>
    <t>php artisan make:seed ResourceFormTableSeeder</t>
  </si>
  <si>
    <t>ResourceFormTableSeeder::class,</t>
  </si>
  <si>
    <t>resource_form_field</t>
  </si>
  <si>
    <t>php artisan make:migration create___resource_form_fields_table --create=__resource_form_fields</t>
  </si>
  <si>
    <t>php artisan make:model ResourceFormField</t>
  </si>
  <si>
    <t>protected $table = '__resource_form_fields';</t>
  </si>
  <si>
    <t>php artisan make:seed ResourceFormFieldTableSeeder</t>
  </si>
  <si>
    <t>ResourceFormFieldTableSeeder::class,</t>
  </si>
  <si>
    <t>resource_form_field_attr</t>
  </si>
  <si>
    <t>php artisan make:migration create___resource_form_field_attrs_table --create=__resource_form_field_attrs</t>
  </si>
  <si>
    <t>php artisan make:model ResourceFormFieldAttr</t>
  </si>
  <si>
    <t>protected $table = '__resource_form_field_attrs';</t>
  </si>
  <si>
    <t>php artisan make:seed ResourceFormFieldAttrTableSeeder</t>
  </si>
  <si>
    <t>ResourceFormFieldAttrTableSeeder::class,</t>
  </si>
  <si>
    <t>php artisan make:migration create___resource_form_field_data_table --create=__resource_form_field_data</t>
  </si>
  <si>
    <t>php artisan make:model ResourceFormFieldData</t>
  </si>
  <si>
    <t>protected $table = '__resource_form_field_data';</t>
  </si>
  <si>
    <t>php artisan make:seed ResourceFormFieldDataTableSeeder</t>
  </si>
  <si>
    <t>ResourceFormFieldDataTableSeeder::class,</t>
  </si>
  <si>
    <t>resource_form_field_validation</t>
  </si>
  <si>
    <t>php artisan make:migration create___resource_form_field_validations_table --create=__resource_form_field_validations</t>
  </si>
  <si>
    <t>php artisan make:model ResourceFormFieldValidation</t>
  </si>
  <si>
    <t>protected $table = '__resource_form_field_validations';</t>
  </si>
  <si>
    <t>php artisan make:seed ResourceFormFieldValidationTableSeeder</t>
  </si>
  <si>
    <t>ResourceFormFieldValidationTableSeeder::class,</t>
  </si>
  <si>
    <t>resource_form_field_option</t>
  </si>
  <si>
    <t>php artisan make:migration create___resource_form_field_options_table --create=__resource_form_field_options</t>
  </si>
  <si>
    <t>php artisan make:model ResourceFormFieldOption</t>
  </si>
  <si>
    <t>protected $table = '__resource_form_field_options';</t>
  </si>
  <si>
    <t>php artisan make:seed ResourceFormFieldOptionTableSeeder</t>
  </si>
  <si>
    <t>ResourceFormFieldOptionTableSeeder::class,</t>
  </si>
  <si>
    <t>resource_form_field_depend</t>
  </si>
  <si>
    <t>php artisan make:migration create___resource_form_field_depends_table --create=__resource_form_field_depends</t>
  </si>
  <si>
    <t>php artisan make:model ResourceFormFieldDepend</t>
  </si>
  <si>
    <t>protected $table = '__resource_form_field_depends';</t>
  </si>
  <si>
    <t>php artisan make:seed ResourceFormFieldDependTableSeeder</t>
  </si>
  <si>
    <t>ResourceFormFieldDependTableSeeder::class,</t>
  </si>
  <si>
    <t>php artisan make:migration create___resource_form_field_dynamic_table --create=__resource_form_field_dynamic</t>
  </si>
  <si>
    <t>php artisan make:model ResourceFormFieldDynamic</t>
  </si>
  <si>
    <t>protected $table = '__resource_form_field_dynamic';</t>
  </si>
  <si>
    <t>php artisan make:seed ResourceFormFieldDynamicTableSeeder</t>
  </si>
  <si>
    <t>ResourceFormFieldDynamicTableSeeder::class,</t>
  </si>
  <si>
    <t>php artisan make:migration create___resource_form_layout_table --create=__resource_form_layout</t>
  </si>
  <si>
    <t>php artisan make:model ResourceFormLayout</t>
  </si>
  <si>
    <t>protected $table = '__resource_form_layout';</t>
  </si>
  <si>
    <t>php artisan make:seed ResourceFormLayoutTableSeeder</t>
  </si>
  <si>
    <t>ResourceFormLayoutTableSeeder::class,</t>
  </si>
  <si>
    <t>php artisan make:migration create___resource_form_collection_table --create=__resource_form_collection</t>
  </si>
  <si>
    <t>php artisan make:model ResourceFormCollection</t>
  </si>
  <si>
    <t>protected $table = '__resource_form_collection';</t>
  </si>
  <si>
    <t>php artisan make:seed ResourceFormCollectionTableSeeder</t>
  </si>
  <si>
    <t>ResourceFormCollectionTableSeeder::class,</t>
  </si>
  <si>
    <t>php artisan make:migration create___resource_form_upload_table --create=__resource_form_upload</t>
  </si>
  <si>
    <t>php artisan make:model ResourceFormUpload</t>
  </si>
  <si>
    <t>protected $table = '__resource_form_upload';</t>
  </si>
  <si>
    <t>php artisan make:seed ResourceFormUploadTableSeeder</t>
  </si>
  <si>
    <t>ResourceFormUploadTableSeeder::class,</t>
  </si>
  <si>
    <t>resource_form_default</t>
  </si>
  <si>
    <t>php artisan make:migration create___resource_form_defaults_table --create=__resource_form_defaults</t>
  </si>
  <si>
    <t>php artisan make:model ResourceFormDefault</t>
  </si>
  <si>
    <t>protected $table = '__resource_form_defaults';</t>
  </si>
  <si>
    <t>php artisan make:seed ResourceFormDefaultTableSeeder</t>
  </si>
  <si>
    <t>ResourceFormDefaultTableSeeder::class,</t>
  </si>
  <si>
    <t>php artisan make:migration create___resource_lists_table --create=__resource_lists</t>
  </si>
  <si>
    <t>php artisan make:model ResourceList</t>
  </si>
  <si>
    <t>protected $table = '__resource_lists';</t>
  </si>
  <si>
    <t>php artisan make:seed ResourceListTableSeeder</t>
  </si>
  <si>
    <t>ResourceListTableSeeder::class,</t>
  </si>
  <si>
    <t>resource_list_relation</t>
  </si>
  <si>
    <t>php artisan make:migration create___resource_list_relations_table --create=__resource_list_relations</t>
  </si>
  <si>
    <t>php artisan make:model ResourceListRelation</t>
  </si>
  <si>
    <t>protected $table = '__resource_list_relations';</t>
  </si>
  <si>
    <t>php artisan make:seed ResourceListRelationTableSeeder</t>
  </si>
  <si>
    <t>ResourceListRelationTableSeeder::class,</t>
  </si>
  <si>
    <t>resource_list_scope</t>
  </si>
  <si>
    <t>php artisan make:migration create___resource_list_scopes_table --create=__resource_list_scopes</t>
  </si>
  <si>
    <t>php artisan make:model ResourceListScope</t>
  </si>
  <si>
    <t>protected $table = '__resource_list_scopes';</t>
  </si>
  <si>
    <t>php artisan make:seed ResourceListScopeTableSeeder</t>
  </si>
  <si>
    <t>ResourceListScopeTableSeeder::class,</t>
  </si>
  <si>
    <t>php artisan make:migration create___resource_list_layout_table --create=__resource_list_layout</t>
  </si>
  <si>
    <t>php artisan make:model ResourceListLayout</t>
  </si>
  <si>
    <t>protected $table = '__resource_list_layout';</t>
  </si>
  <si>
    <t>php artisan make:seed ResourceListLayoutTableSeeder</t>
  </si>
  <si>
    <t>ResourceListLayoutTableSeeder::class,</t>
  </si>
  <si>
    <t>php artisan make:migration create___resource_list_search_table --create=__resource_list_search</t>
  </si>
  <si>
    <t>php artisan make:model ResourceListSearch</t>
  </si>
  <si>
    <t>protected $table = '__resource_list_search';</t>
  </si>
  <si>
    <t>php artisan make:seed ResourceListSearchTableSeeder</t>
  </si>
  <si>
    <t>ResourceListSearchTableSeeder::class,</t>
  </si>
  <si>
    <t>php artisan make:migration create___resource_data_table --create=__resource_data</t>
  </si>
  <si>
    <t>php artisan make:model ResourceData</t>
  </si>
  <si>
    <t>protected $table = '__resource_data';</t>
  </si>
  <si>
    <t>php artisan make:seed ResourceDataTableSeeder</t>
  </si>
  <si>
    <t>ResourceDataTableSeeder::class,</t>
  </si>
  <si>
    <t>resource_data_relation</t>
  </si>
  <si>
    <t>php artisan make:migration create___resource_data_relations_table --create=__resource_data_relations</t>
  </si>
  <si>
    <t>php artisan make:model ResourceDataRelation</t>
  </si>
  <si>
    <t>protected $table = '__resource_data_relations';</t>
  </si>
  <si>
    <t>php artisan make:seed ResourceDataRelationTableSeeder</t>
  </si>
  <si>
    <t>ResourceDataRelationTableSeeder::class,</t>
  </si>
  <si>
    <t>__resource_data_scopes</t>
  </si>
  <si>
    <t>resource_data_scope</t>
  </si>
  <si>
    <t>php artisan make:migration create___resource_data_scopes_table --create=__resource_data_scopes</t>
  </si>
  <si>
    <t>php artisan make:model ResourceDataScope</t>
  </si>
  <si>
    <t>protected $table = '__resource_data_scopes';</t>
  </si>
  <si>
    <t>php artisan make:seed ResourceDataScopeTableSeeder</t>
  </si>
  <si>
    <t>ResourceDataScopeTableSeeder::class,</t>
  </si>
  <si>
    <t>resource_data_view_section</t>
  </si>
  <si>
    <t>php artisan make:migration create___resource_data_view_sections_table --create=__resource_data_view_sections</t>
  </si>
  <si>
    <t>php artisan make:model ResourceDataViewSection</t>
  </si>
  <si>
    <t>protected $table = '__resource_data_view_sections';</t>
  </si>
  <si>
    <t>php artisan make:seed ResourceDataViewSectionTableSeeder</t>
  </si>
  <si>
    <t>ResourceDataViewSectionTableSeeder::class,</t>
  </si>
  <si>
    <t>resource_data_view_section_item</t>
  </si>
  <si>
    <t>php artisan make:migration create___resource_data_view_section_items_table --create=__resource_data_view_section_items</t>
  </si>
  <si>
    <t>php artisan make:model ResourceDataViewSectionItem</t>
  </si>
  <si>
    <t>protected $table = '__resource_data_view_section_items';</t>
  </si>
  <si>
    <t>php artisan make:seed ResourceDataViewSectionItemTableSeeder</t>
  </si>
  <si>
    <t>ResourceDataViewSectionItemTableSeeder::class,</t>
  </si>
  <si>
    <t>__resource_form_data_map</t>
  </si>
  <si>
    <t>ResourceFormDataMap</t>
  </si>
  <si>
    <t>php artisan make:migration create___resource_form_data_map_table --create=__resource_form_data_map</t>
  </si>
  <si>
    <t>php artisan make:model ResourceFormDataMap</t>
  </si>
  <si>
    <t>protected $table = '__resource_form_data_map';</t>
  </si>
  <si>
    <t>php artisan make:seed ResourceFormDataMapTableSeeder</t>
  </si>
  <si>
    <t>ResourceFormDataMapTableSeeder::class,</t>
  </si>
  <si>
    <t>php artisan make:migration create___resource_actions_table --create=__resource_actions</t>
  </si>
  <si>
    <t>php artisan make:model ResourceAction</t>
  </si>
  <si>
    <t>protected $table = '__resource_actions';</t>
  </si>
  <si>
    <t>php artisan make:seed ResourceActionTableSeeder</t>
  </si>
  <si>
    <t>ResourceActionTableSeeder::class,</t>
  </si>
  <si>
    <t>resource_action_attr</t>
  </si>
  <si>
    <t>php artisan make:migration create___resource_action_attrs_table --create=__resource_action_attrs</t>
  </si>
  <si>
    <t>php artisan make:model ResourceActionAttr</t>
  </si>
  <si>
    <t>protected $table = '__resource_action_attrs';</t>
  </si>
  <si>
    <t>php artisan make:seed ResourceActionAttrTableSeeder</t>
  </si>
  <si>
    <t>ResourceActionAttrTableSeeder::class,</t>
  </si>
  <si>
    <t>resource_action_method</t>
  </si>
  <si>
    <t>php artisan make:migration create___resource_action_methods_table --create=__resource_action_methods</t>
  </si>
  <si>
    <t>php artisan make:model ResourceActionMethod</t>
  </si>
  <si>
    <t>protected $table = '__resource_action_methods';</t>
  </si>
  <si>
    <t>php artisan make:seed ResourceActionMethodTableSeeder</t>
  </si>
  <si>
    <t>ResourceActionMethodTableSeeder::class,</t>
  </si>
  <si>
    <t>resource_action_list</t>
  </si>
  <si>
    <t>php artisan make:migration create___resource_action_lists_table --create=__resource_action_lists</t>
  </si>
  <si>
    <t>php artisan make:model ResourceActionList</t>
  </si>
  <si>
    <t>protected $table = '__resource_action_lists';</t>
  </si>
  <si>
    <t>php artisan make:seed ResourceActionListTableSeeder</t>
  </si>
  <si>
    <t>ResourceActionListTableSeeder::class,</t>
  </si>
  <si>
    <t>php artisan make:migration create___resource_action_data_table --create=__resource_action_data</t>
  </si>
  <si>
    <t>php artisan make:model ResourceActionData</t>
  </si>
  <si>
    <t>protected $table = '__resource_action_data';</t>
  </si>
  <si>
    <t>php artisan make:seed ResourceActionDataTableSeeder</t>
  </si>
  <si>
    <t>ResourceActionDataTableSeeder::class,</t>
  </si>
  <si>
    <t>resource_default</t>
  </si>
  <si>
    <t>php artisan make:migration create___resource_defaults_table --create=__resource_defaults</t>
  </si>
  <si>
    <t>php artisan make:model ResourceDefault</t>
  </si>
  <si>
    <t>protected $table = '__resource_defaults';</t>
  </si>
  <si>
    <t>php artisan make:seed ResourceDefaultTableSeeder</t>
  </si>
  <si>
    <t>ResourceDefaultTableSeeder::class,</t>
  </si>
  <si>
    <t>resource_metric</t>
  </si>
  <si>
    <t>php artisan make:migration create___resource_metrics_table --create=__resource_metrics</t>
  </si>
  <si>
    <t>php artisan make:model ResourceMetric</t>
  </si>
  <si>
    <t>protected $table = '__resource_metrics';</t>
  </si>
  <si>
    <t>php artisan make:seed ResourceMetricTableSeeder</t>
  </si>
  <si>
    <t>ResourceMetricTableSeeder::class,</t>
  </si>
  <si>
    <t>php artisan make:migration create___resource_dashboard_table --create=__resource_dashboard</t>
  </si>
  <si>
    <t>php artisan make:model ResourceDashboard</t>
  </si>
  <si>
    <t>protected $table = '__resource_dashboard';</t>
  </si>
  <si>
    <t>php artisan make:seed ResourceDashboardTableSeeder</t>
  </si>
  <si>
    <t>ResourceDashboardTableSeeder::class,</t>
  </si>
  <si>
    <t>php artisan make:migration create___resource_dashboard_sections_table --create=__resource_dashboard_sections</t>
  </si>
  <si>
    <t>php artisan make:model ResourceDashboardSection</t>
  </si>
  <si>
    <t>protected $table = '__resource_dashboard_sections';</t>
  </si>
  <si>
    <t>php artisan make:seed ResourceDashboardSectionTableSeeder</t>
  </si>
  <si>
    <t>ResourceDashboardSectionTableSeeder::class,</t>
  </si>
  <si>
    <t>php artisan make:migration create___resource_dashboard_section_items_table --create=__resource_dashboard_section_items</t>
  </si>
  <si>
    <t>php artisan make:model ResourceDashboardSectionItem</t>
  </si>
  <si>
    <t>protected $table = '__resource_dashboard_section_items';</t>
  </si>
  <si>
    <t>php artisan make:seed ResourceDashboardSectionItemTableSeeder</t>
  </si>
  <si>
    <t>ResourceDashboardSectionItemTableSeeder::class,</t>
  </si>
  <si>
    <t>php artisan make:migration create___organisation_table --create=__organisation</t>
  </si>
  <si>
    <t>php artisan make:model Organisation</t>
  </si>
  <si>
    <t>protected $table = '__organisation';</t>
  </si>
  <si>
    <t>php artisan make:seed OrganisationTableSeeder</t>
  </si>
  <si>
    <t>OrganisationTableSeeder::class,</t>
  </si>
  <si>
    <t>organisation_contact</t>
  </si>
  <si>
    <t>php artisan make:migration create___organisation_contacts_table --create=__organisation_contacts</t>
  </si>
  <si>
    <t>php artisan make:model OrganisationContact</t>
  </si>
  <si>
    <t>protected $table = '__organisation_contacts';</t>
  </si>
  <si>
    <t>php artisan make:seed OrganisationContactTableSeeder</t>
  </si>
  <si>
    <t>OrganisationContactTableSeeder::class,</t>
  </si>
  <si>
    <t>query</t>
  </si>
  <si>
    <t>Usage</t>
  </si>
  <si>
    <t>Reset</t>
  </si>
  <si>
    <t>Group Users</t>
  </si>
  <si>
    <t>[[Primary Method]:[IDN 5]]</t>
  </si>
  <si>
    <t>Fields</t>
  </si>
  <si>
    <t>ID No</t>
  </si>
  <si>
    <t>tasks</t>
  </si>
  <si>
    <t>partners</t>
  </si>
  <si>
    <t>group_partners</t>
  </si>
  <si>
    <t>partner_tasks</t>
  </si>
  <si>
    <t>string</t>
  </si>
  <si>
    <t>index()</t>
  </si>
  <si>
    <t>nullable()</t>
  </si>
  <si>
    <t>status</t>
  </si>
  <si>
    <t>enum</t>
  </si>
  <si>
    <t>['Active','Inactive']</t>
  </si>
  <si>
    <t>default('Active')</t>
  </si>
  <si>
    <t>foreignCascade</t>
  </si>
  <si>
    <t>partner</t>
  </si>
  <si>
    <t>partner_foreign</t>
  </si>
  <si>
    <t>group_foreign</t>
  </si>
  <si>
    <t>task_parent_foreign</t>
  </si>
  <si>
    <t>foreignNullable</t>
  </si>
  <si>
    <t>parent</t>
  </si>
  <si>
    <t>returned</t>
  </si>
  <si>
    <t>dismissed</t>
  </si>
  <si>
    <t>completed</t>
  </si>
  <si>
    <t>progress</t>
  </si>
  <si>
    <t>['No','Yes']</t>
  </si>
  <si>
    <t>returnable</t>
  </si>
  <si>
    <t>dismissable</t>
  </si>
  <si>
    <t>editable</t>
  </si>
  <si>
    <t>default('No')</t>
  </si>
  <si>
    <t>weightage</t>
  </si>
  <si>
    <t>tinyInteger</t>
  </si>
  <si>
    <t>default('100')</t>
  </si>
  <si>
    <t>completion</t>
  </si>
  <si>
    <t>['Description','Attachment','Sub Task']</t>
  </si>
  <si>
    <t>assign</t>
  </si>
  <si>
    <t>task_foreign</t>
  </si>
  <si>
    <t>task</t>
  </si>
  <si>
    <t>attachment1</t>
  </si>
  <si>
    <t>bigInteger</t>
  </si>
  <si>
    <t>attachment2</t>
  </si>
  <si>
    <t>attachment3</t>
  </si>
  <si>
    <t>task_assign</t>
  </si>
  <si>
    <t>bigIncrements</t>
  </si>
  <si>
    <t>default('Description')</t>
  </si>
  <si>
    <t>Partner</t>
  </si>
  <si>
    <t>GroupPartner</t>
  </si>
  <si>
    <t>Task</t>
  </si>
  <si>
    <t>PartnerTask</t>
  </si>
  <si>
    <t>Users of Task Management Application</t>
  </si>
  <si>
    <t>Group of users to whom a task can assign</t>
  </si>
  <si>
    <t>Partners of groups</t>
  </si>
  <si>
    <t>Tasks</t>
  </si>
  <si>
    <t>Tasks that are assigned to partners</t>
  </si>
  <si>
    <t>Partners</t>
  </si>
  <si>
    <t>Partner Groups</t>
  </si>
  <si>
    <t>email</t>
  </si>
  <si>
    <t>password</t>
  </si>
  <si>
    <t>actions_availability</t>
  </si>
  <si>
    <t>actions</t>
  </si>
  <si>
    <t>truncate</t>
  </si>
  <si>
    <t>Task Administrator</t>
  </si>
  <si>
    <t>task_administrator</t>
  </si>
  <si>
    <t>Administrator to manage tasks</t>
  </si>
  <si>
    <t>User to handle tasks</t>
  </si>
  <si>
    <t>All</t>
  </si>
  <si>
    <t>Init</t>
  </si>
  <si>
    <t>task_administrators</t>
  </si>
  <si>
    <t>Task Administrators</t>
  </si>
  <si>
    <t>PartnerGroups</t>
  </si>
  <si>
    <t>Groups a partner belongs to</t>
  </si>
  <si>
    <t>belongsToMany</t>
  </si>
  <si>
    <t>PartnerTasks</t>
  </si>
  <si>
    <t>Tasks that assigned to a partner</t>
  </si>
  <si>
    <t>hasMany</t>
  </si>
  <si>
    <t>Progress</t>
  </si>
  <si>
    <t>GroupPartners</t>
  </si>
  <si>
    <t>The partners having this group assigned</t>
  </si>
  <si>
    <t>TaskProgress</t>
  </si>
  <si>
    <t>ParentTask</t>
  </si>
  <si>
    <t>The main task of a parent task</t>
  </si>
  <si>
    <t>Main</t>
  </si>
  <si>
    <t>belongsTo</t>
  </si>
  <si>
    <t>SubTasks</t>
  </si>
  <si>
    <t>The child tasks of a task</t>
  </si>
  <si>
    <t>default('New')</t>
  </si>
  <si>
    <t>NewTasks</t>
  </si>
  <si>
    <t>Get new tasks</t>
  </si>
  <si>
    <t>new</t>
  </si>
  <si>
    <t>Get completed tasks</t>
  </si>
  <si>
    <t>Get dismissed tasks</t>
  </si>
  <si>
    <t>CompletedTasks</t>
  </si>
  <si>
    <t>DismissedTasks</t>
  </si>
  <si>
    <t>ReturnedTasks</t>
  </si>
  <si>
    <t>Get returned tasks</t>
  </si>
  <si>
    <t>CreateGroup</t>
  </si>
  <si>
    <t>Create new partner group</t>
  </si>
  <si>
    <t>Save</t>
  </si>
  <si>
    <t>Group/CreateGroup</t>
  </si>
  <si>
    <t>text</t>
  </si>
  <si>
    <t>textarea</t>
  </si>
  <si>
    <t>select</t>
  </si>
  <si>
    <t>Group Name</t>
  </si>
  <si>
    <t>Status</t>
  </si>
  <si>
    <t>Enum</t>
  </si>
  <si>
    <t>Group/CreateGroup/name</t>
  </si>
  <si>
    <t>inline</t>
  </si>
  <si>
    <t>Group/CreateGroup/description</t>
  </si>
  <si>
    <t>Group/CreateGroup/status</t>
  </si>
  <si>
    <t>CreateFormAction</t>
  </si>
  <si>
    <t>Action to call group create form</t>
  </si>
  <si>
    <t>(Forms) Group/CreateGroup</t>
  </si>
  <si>
    <t>GroupList</t>
  </si>
  <si>
    <t>List all groups</t>
  </si>
  <si>
    <t>Group/GroupList</t>
  </si>
  <si>
    <t>ListGroupsAction</t>
  </si>
  <si>
    <t>List All</t>
  </si>
  <si>
    <t>(Lists) Group/GroupList</t>
  </si>
  <si>
    <t>CreatePartner</t>
  </si>
  <si>
    <t>Create new partner</t>
  </si>
  <si>
    <t>Partner/CreatePartner</t>
  </si>
  <si>
    <t>Email</t>
  </si>
  <si>
    <t>Password</t>
  </si>
  <si>
    <t>Partner/CreatePartner/name</t>
  </si>
  <si>
    <t>Partner/CreatePartner/email</t>
  </si>
  <si>
    <t>Partner/CreatePartner/password</t>
  </si>
  <si>
    <t>CreatePartnerAction</t>
  </si>
  <si>
    <t>Action to call create partner form</t>
  </si>
  <si>
    <t>New Partner</t>
  </si>
  <si>
    <t>(Forms) Partner/CreatePartner</t>
  </si>
  <si>
    <t>ListPartnerAction</t>
  </si>
  <si>
    <t>Action to call list to list groups</t>
  </si>
  <si>
    <t>Action to call list to list all partners</t>
  </si>
  <si>
    <t>PartnerList</t>
  </si>
  <si>
    <t>List all partners</t>
  </si>
  <si>
    <t>Partner/PartnerList</t>
  </si>
  <si>
    <t>(Lists) Partner/PartnerList</t>
  </si>
  <si>
    <t>Name is mandatory</t>
  </si>
  <si>
    <t>Email is required for partner to login</t>
  </si>
  <si>
    <t>Password is mandatory</t>
  </si>
  <si>
    <t>unique</t>
  </si>
  <si>
    <t>Email already exists.</t>
  </si>
  <si>
    <t>-r:update</t>
  </si>
  <si>
    <t>required</t>
  </si>
  <si>
    <t>ManagePartnerGroups</t>
  </si>
  <si>
    <t>Action to manage partner groups</t>
  </si>
  <si>
    <t>Manage Groups</t>
  </si>
  <si>
    <t>ManageRelation</t>
  </si>
  <si>
    <t>(Relation) Partner/Groups</t>
  </si>
  <si>
    <t>Partner/ManagePartnerGroups</t>
  </si>
  <si>
    <t>ManageGroupPartners</t>
  </si>
  <si>
    <t>Action to manage group partners</t>
  </si>
  <si>
    <t>Manage Partners</t>
  </si>
  <si>
    <t>(Relation) Group/Partners</t>
  </si>
  <si>
    <t>Group/ManageGroupPartners</t>
  </si>
  <si>
    <t>CreateTask</t>
  </si>
  <si>
    <t>Create new task</t>
  </si>
  <si>
    <t>Task/CreateTask</t>
  </si>
  <si>
    <t>Task Name</t>
  </si>
  <si>
    <t>Task/CreateTask/name</t>
  </si>
  <si>
    <t>Task/CreateTask/description</t>
  </si>
  <si>
    <t>Task List</t>
  </si>
  <si>
    <t>List all tasks</t>
  </si>
  <si>
    <t>Task/Task List</t>
  </si>
  <si>
    <t>CreateTaskAction</t>
  </si>
  <si>
    <t>Action to call form to create task</t>
  </si>
  <si>
    <t>New Task</t>
  </si>
  <si>
    <t>(Forms) Task/CreateTask</t>
  </si>
  <si>
    <t>ListTaskAction</t>
  </si>
  <si>
    <t>Action to call list to list all tasks</t>
  </si>
  <si>
    <t>(Lists) Task/Task List</t>
  </si>
  <si>
    <t>Returnable</t>
  </si>
  <si>
    <t>Dismissable</t>
  </si>
  <si>
    <t>Editable</t>
  </si>
  <si>
    <t>Completion Type</t>
  </si>
  <si>
    <t>Assign To</t>
  </si>
  <si>
    <t>Task/CreateTask/returnable</t>
  </si>
  <si>
    <t>Task/CreateTask/dismissable</t>
  </si>
  <si>
    <t>Task/CreateTask/editable</t>
  </si>
  <si>
    <t>Task/CreateTask/completion</t>
  </si>
  <si>
    <t>Task/CreateTask/assign</t>
  </si>
  <si>
    <t>TaskPartners</t>
  </si>
  <si>
    <t>The Partners assigned for this task</t>
  </si>
  <si>
    <t>The progress of tasks</t>
  </si>
  <si>
    <t>PartnerProgress</t>
  </si>
  <si>
    <t>The progress of partner</t>
  </si>
  <si>
    <t>ManageTaskPartners</t>
  </si>
  <si>
    <t>Action to manage partners for a task</t>
  </si>
  <si>
    <t>(Relation) Task/Partners</t>
  </si>
  <si>
    <t>Task/ManageTaskPartners</t>
  </si>
  <si>
    <t>NewTaskList</t>
  </si>
  <si>
    <t>List of all new task</t>
  </si>
  <si>
    <t>New Tasks</t>
  </si>
  <si>
    <t>PartnerTask/NewTaskList</t>
  </si>
  <si>
    <t>PartnerTask/NewTasks</t>
  </si>
  <si>
    <t>TaskDetails</t>
  </si>
  <si>
    <t>Details of task this record belongs to</t>
  </si>
  <si>
    <t>PartnerTask/Task</t>
  </si>
  <si>
    <t>List of all dismissed task</t>
  </si>
  <si>
    <t>Dismissed Tasks</t>
  </si>
  <si>
    <t>List of all returned task</t>
  </si>
  <si>
    <t>Returned Tasks</t>
  </si>
  <si>
    <t>List of all completed task</t>
  </si>
  <si>
    <t>Completed Tasks</t>
  </si>
  <si>
    <t>PartnerTask/DismissedTasks</t>
  </si>
  <si>
    <t>PartnerTask/ReturnedTasks</t>
  </si>
  <si>
    <t>PartnerTask/CompletedTasks</t>
  </si>
  <si>
    <t>Action to list new tasks</t>
  </si>
  <si>
    <t>(Lists) PartnerTask/NewTaskList</t>
  </si>
  <si>
    <t>(Lists) PartnerTask/DismissedTasks</t>
  </si>
  <si>
    <t>(Lists) PartnerTask/ReturnedTasks</t>
  </si>
  <si>
    <t>(Lists) PartnerTask/CompletedTasks</t>
  </si>
  <si>
    <t>Dismissed</t>
  </si>
  <si>
    <t>Completed</t>
  </si>
  <si>
    <t>Returned</t>
  </si>
  <si>
    <t>ListCompletedTasksAction</t>
  </si>
  <si>
    <t>ListDismissedTasksAction</t>
  </si>
  <si>
    <t>ListReturnedTasksAction</t>
  </si>
  <si>
    <t>ListNewTasksAction</t>
  </si>
  <si>
    <t>Action to list completed tasks</t>
  </si>
  <si>
    <t>Action to list dismissed tasks</t>
  </si>
  <si>
    <t>Action to list returned tasks</t>
  </si>
  <si>
    <t>Task progress details</t>
  </si>
  <si>
    <t>TaskCompleteDescription</t>
  </si>
  <si>
    <t>Form to make task complete by updating complete_comment</t>
  </si>
  <si>
    <t>Complete</t>
  </si>
  <si>
    <t>PartnerTask/TaskCompleteDescription</t>
  </si>
  <si>
    <t>static</t>
  </si>
  <si>
    <t>task.name</t>
  </si>
  <si>
    <t>task.description</t>
  </si>
  <si>
    <t>staticTextarea</t>
  </si>
  <si>
    <t>PartnerTask/TaskCompleteDescription/task.name</t>
  </si>
  <si>
    <t>PartnerTask/TaskCompleteDescription/task.description</t>
  </si>
  <si>
    <t>PartnerTask/TaskProgress</t>
  </si>
  <si>
    <t>PartnerTask/TaskCompleteDescription/progress</t>
  </si>
  <si>
    <t>Set new status</t>
  </si>
  <si>
    <t>CompleteDescriptionTaskFormAction</t>
  </si>
  <si>
    <t>(Forms) PartnerTask/TaskCompleteDescription</t>
  </si>
  <si>
    <t>(Data) PartnerTask/TaskProgress</t>
  </si>
  <si>
    <t>PartnerTask/CompleteDescriptionTaskFormAction</t>
  </si>
  <si>
    <t>New Status</t>
  </si>
  <si>
    <t>TaskCompleteAttachment</t>
  </si>
  <si>
    <t>Form to make task complete by attaching files</t>
  </si>
  <si>
    <t>PartnerTask/TaskCompleteAttachment</t>
  </si>
  <si>
    <t>file</t>
  </si>
  <si>
    <t>Attachment 01</t>
  </si>
  <si>
    <t>Attachment 02</t>
  </si>
  <si>
    <t>Attachment 03</t>
  </si>
  <si>
    <t>PartnerTask/TaskCompleteAttachment/task.name</t>
  </si>
  <si>
    <t>PartnerTask/TaskCompleteAttachment/task.description</t>
  </si>
  <si>
    <t>PartnerTask/TaskCompleteAttachment/progress</t>
  </si>
  <si>
    <t>PartnerTask/TaskCompleteAttachment/attachment1</t>
  </si>
  <si>
    <t>Need atleast one attachment</t>
  </si>
  <si>
    <t>CompleteAttachmentTaskFormAction</t>
  </si>
  <si>
    <t>Action to call the form for task completion with attachment</t>
  </si>
  <si>
    <t>Action to call the form for task completion with description</t>
  </si>
  <si>
    <t>(Forms) PartnerTask/TaskCompleteAttachment</t>
  </si>
  <si>
    <t>PartnerTask/CompleteAttachmentTaskFormAction</t>
  </si>
  <si>
    <t>icon</t>
  </si>
  <si>
    <t>on</t>
  </si>
  <si>
    <t>confirm</t>
  </si>
  <si>
    <t>[[Primary]:[Confirm]]</t>
  </si>
  <si>
    <t>record.task.completion === "Description"</t>
  </si>
  <si>
    <t>record.task.completion === "Attachment"</t>
  </si>
  <si>
    <t>RecentlyUpdated</t>
  </si>
  <si>
    <t>Get tasks which are updated recently</t>
  </si>
  <si>
    <t>recent</t>
  </si>
  <si>
    <t>PartnerTask/RecentlyUpdated</t>
  </si>
  <si>
    <t>recentlyCompleted</t>
  </si>
  <si>
    <t>RecentlyCompleted</t>
  </si>
  <si>
    <t>Tasks which are completed recently.</t>
  </si>
  <si>
    <t>TaskUser</t>
  </si>
  <si>
    <t>Detail of user this record belongs to</t>
  </si>
  <si>
    <t>PartnerTask/Partner</t>
  </si>
  <si>
    <t>RecentlyCompletedTasks</t>
  </si>
  <si>
    <t>List of recently completed tasks</t>
  </si>
  <si>
    <t>Date</t>
  </si>
  <si>
    <t>updated_at</t>
  </si>
  <si>
    <t>PartnerTask/RecentlyCompletedTasks</t>
  </si>
  <si>
    <t>ListRelation</t>
  </si>
  <si>
    <t>(Relation) Task/Progress</t>
  </si>
  <si>
    <t>Recently Completed Partners</t>
  </si>
  <si>
    <t>PartnerTask/TaskProgress/1</t>
  </si>
  <si>
    <t>PartnerTask/TaskProgress/2</t>
  </si>
  <si>
    <t>PartnerTask/TaskProgress/3</t>
  </si>
  <si>
    <t>Attachments</t>
  </si>
  <si>
    <t>Attachment 1</t>
  </si>
  <si>
    <t>Attachment 2</t>
  </si>
  <si>
    <t>Attachment 3</t>
  </si>
  <si>
    <t>partner.name</t>
  </si>
  <si>
    <t>Action to view completion details of a task</t>
  </si>
  <si>
    <t>TaskDismissForm</t>
  </si>
  <si>
    <t>Form to dismiss a task</t>
  </si>
  <si>
    <t>Dismiss</t>
  </si>
  <si>
    <t>PartnerTask/TaskDismissForm</t>
  </si>
  <si>
    <t>PartnerTask/TaskDismissForm/task.name</t>
  </si>
  <si>
    <t>PartnerTask/TaskDismissForm/task.description</t>
  </si>
  <si>
    <t>DismissTaskAction</t>
  </si>
  <si>
    <t>Action to call form to dismiss a task</t>
  </si>
  <si>
    <t>(Forms) PartnerTask/TaskDismissForm</t>
  </si>
  <si>
    <t>TaskPartnerProgress</t>
  </si>
  <si>
    <t>Action to view partners progress on a task</t>
  </si>
  <si>
    <t>View Partner Progress</t>
  </si>
  <si>
    <t>List task partner progress</t>
  </si>
  <si>
    <t>Task Progress</t>
  </si>
  <si>
    <t>PartnerTask/TaskPartnerProgress</t>
  </si>
  <si>
    <t>(Lists) PartnerTask/TaskPartnerProgress</t>
  </si>
  <si>
    <t>Task/TaskPartnerProgress</t>
  </si>
  <si>
    <t>PartnerTask/DismissTaskAction</t>
  </si>
  <si>
    <t>PartnerTaskProgress</t>
  </si>
  <si>
    <t>List partner task progress</t>
  </si>
  <si>
    <t>Partner Progress</t>
  </si>
  <si>
    <t>PartnerTask/PartnerTaskProgress</t>
  </si>
  <si>
    <t>PartnerTaskProgressAction</t>
  </si>
  <si>
    <t>Action to list a partner task progresses</t>
  </si>
  <si>
    <t>(Relation) Partner/Progress</t>
  </si>
  <si>
    <t>(Lists) PartnerTask/PartnerTaskProgress</t>
  </si>
  <si>
    <t>Partner/PartnerTaskProgressAction</t>
  </si>
  <si>
    <t>Only</t>
  </si>
  <si>
    <t>['New','Dismissed','Returned','Completed']</t>
  </si>
  <si>
    <t>task_type</t>
  </si>
  <si>
    <t>['Main','Sub']</t>
  </si>
  <si>
    <t>default('Main')</t>
  </si>
  <si>
    <t>Status Detail</t>
  </si>
  <si>
    <t>remarks</t>
  </si>
  <si>
    <t>Remarks</t>
  </si>
  <si>
    <t>PartnerTask/TaskCompleteDescription/remarks</t>
  </si>
  <si>
    <t>PartnerTask/TaskCompleteAttachment/remarks</t>
  </si>
  <si>
    <t>PartnerTask/TaskDismissForm/progress</t>
  </si>
  <si>
    <t>PartnerTask/TaskDismissForm/remarks</t>
  </si>
  <si>
    <t>Remarks is mandatory</t>
  </si>
  <si>
    <t>Remarks required</t>
  </si>
  <si>
    <t>TaskProgressDetails</t>
  </si>
  <si>
    <t>Progress Details</t>
  </si>
  <si>
    <t>record.progress === "New" &amp;&amp; record.task.dismissable === "Yes"</t>
  </si>
  <si>
    <t>PartnerTask/TaskProgressDetails</t>
  </si>
  <si>
    <t>categories</t>
  </si>
  <si>
    <t>TaskUpdateForm</t>
  </si>
  <si>
    <t>Form to update a task status</t>
  </si>
  <si>
    <t>PartnerTask/TaskUpdateForm</t>
  </si>
  <si>
    <t>New Progress</t>
  </si>
  <si>
    <t>PartnerTask/TaskUpdateForm/task.name</t>
  </si>
  <si>
    <t>PartnerTask/TaskUpdateForm/progress</t>
  </si>
  <si>
    <t>PartnerTask/TaskUpdateForm/remarks</t>
  </si>
  <si>
    <t>PartnerTaskStatusUpdateAction</t>
  </si>
  <si>
    <t>Action to call a form with data to update status and remarks</t>
  </si>
  <si>
    <t>Update Status</t>
  </si>
  <si>
    <t>(Forms) PartnerTask/TaskUpdateForm</t>
  </si>
  <si>
    <t>PartnerTask/PartnerTaskStatusUpdateAction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</si>
</sst>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000000"/>
      <name val="Calibri"/>
      <family val="2"/>
    </font>
    <font>
      <sz val="9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000000"/>
      <name val="Calibri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1"/>
    <xf numFmtId="0" fontId="1" fillId="0" borderId="0" xfId="0" applyFont="1" applyBorder="1"/>
    <xf numFmtId="0" fontId="1" fillId="0" borderId="0" xfId="0" applyNumberFormat="1" applyFont="1" applyAlignment="1">
      <alignment horizontal="center"/>
    </xf>
    <xf numFmtId="0" fontId="2" fillId="0" borderId="0" xfId="0" applyFont="1" applyBorder="1"/>
    <xf numFmtId="0" fontId="2" fillId="0" borderId="0" xfId="0" applyFont="1"/>
    <xf numFmtId="0" fontId="1" fillId="0" borderId="0" xfId="0" applyNumberFormat="1" applyFont="1"/>
    <xf numFmtId="0" fontId="2" fillId="0" borderId="0" xfId="0" applyNumberFormat="1" applyFont="1" applyBorder="1"/>
    <xf numFmtId="0" fontId="2" fillId="0" borderId="0" xfId="0" applyNumberFormat="1" applyFont="1"/>
    <xf numFmtId="0" fontId="1" fillId="0" borderId="0" xfId="0" applyNumberFormat="1" applyFont="1" applyBorder="1"/>
    <xf numFmtId="0" fontId="3" fillId="0" borderId="0" xfId="0" applyFont="1"/>
    <xf numFmtId="0" fontId="1" fillId="0" borderId="0" xfId="0" applyFont="1" applyAlignment="1">
      <alignment horizontal="center"/>
    </xf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0" xfId="0" applyNumberFormat="1" applyFont="1" applyAlignment="1">
      <alignment horizontal="left"/>
    </xf>
    <xf numFmtId="0" fontId="1" fillId="0" borderId="0" xfId="0" applyNumberFormat="1" applyFont="1" applyBorder="1" applyAlignment="1">
      <alignment horizontal="left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6" fillId="0" borderId="0" xfId="0" applyFont="1" applyAlignment="1">
      <alignment horizontal="center"/>
    </xf>
    <xf numFmtId="0" fontId="5" fillId="0" borderId="0" xfId="0" quotePrefix="1" applyFont="1"/>
    <xf numFmtId="0" fontId="6" fillId="0" borderId="0" xfId="0" applyFont="1"/>
    <xf numFmtId="0" fontId="7" fillId="0" borderId="0" xfId="0" applyFont="1"/>
    <xf numFmtId="0" fontId="6" fillId="0" borderId="0" xfId="0" applyFont="1" applyAlignment="1">
      <alignment horizontal="left"/>
    </xf>
    <xf numFmtId="0" fontId="8" fillId="0" borderId="0" xfId="0" applyFont="1"/>
    <xf numFmtId="0" fontId="8" fillId="0" borderId="0" xfId="0" applyFont="1" applyAlignment="1">
      <alignment horizontal="center"/>
    </xf>
    <xf numFmtId="0" fontId="11" fillId="0" borderId="0" xfId="0" applyFont="1"/>
    <xf numFmtId="0" fontId="6" fillId="0" borderId="0" xfId="0" quotePrefix="1" applyFont="1"/>
    <xf numFmtId="0" fontId="2" fillId="0" borderId="0" xfId="0" applyNumberFormat="1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1" fillId="0" borderId="0" xfId="0" applyFont="1" applyAlignment="1"/>
    <xf numFmtId="0" fontId="1" fillId="0" borderId="0" xfId="0" applyFont="1" applyFill="1"/>
    <xf numFmtId="0" fontId="1" fillId="0" borderId="0" xfId="0" applyFont="1" applyFill="1" applyAlignment="1">
      <alignment horizontal="left"/>
    </xf>
    <xf numFmtId="0" fontId="4" fillId="0" borderId="0" xfId="0" applyNumberFormat="1" applyFont="1" applyAlignment="1">
      <alignment horizontal="left"/>
    </xf>
    <xf numFmtId="0" fontId="1" fillId="0" borderId="0" xfId="0" applyNumberFormat="1" applyFont="1" applyFill="1" applyAlignment="1">
      <alignment horizontal="left"/>
    </xf>
    <xf numFmtId="0" fontId="1" fillId="0" borderId="0" xfId="0" applyNumberFormat="1" applyFont="1" applyFill="1" applyBorder="1" applyAlignment="1">
      <alignment horizontal="left"/>
    </xf>
    <xf numFmtId="0" fontId="1" fillId="0" borderId="0" xfId="0" applyNumberFormat="1" applyFont="1" applyFill="1"/>
    <xf numFmtId="0" fontId="10" fillId="0" borderId="0" xfId="0" applyNumberFormat="1" applyFont="1" applyFill="1" applyAlignment="1">
      <alignment horizontal="left"/>
    </xf>
    <xf numFmtId="0" fontId="1" fillId="3" borderId="0" xfId="0" applyFont="1" applyFill="1"/>
    <xf numFmtId="0" fontId="10" fillId="3" borderId="0" xfId="0" applyFont="1" applyFill="1"/>
    <xf numFmtId="0" fontId="1" fillId="4" borderId="0" xfId="0" applyFont="1" applyFill="1"/>
    <xf numFmtId="0" fontId="1" fillId="4" borderId="0" xfId="0" applyNumberFormat="1" applyFont="1" applyFill="1"/>
    <xf numFmtId="0" fontId="1" fillId="4" borderId="0" xfId="0" applyNumberFormat="1" applyFont="1" applyFill="1" applyAlignment="1">
      <alignment horizontal="left"/>
    </xf>
    <xf numFmtId="0" fontId="1" fillId="4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1" fillId="2" borderId="0" xfId="0" applyNumberFormat="1" applyFont="1" applyFill="1"/>
    <xf numFmtId="0" fontId="1" fillId="2" borderId="0" xfId="0" applyNumberFormat="1" applyFont="1" applyFill="1" applyAlignment="1">
      <alignment horizontal="center"/>
    </xf>
    <xf numFmtId="0" fontId="5" fillId="0" borderId="0" xfId="0" applyFont="1"/>
    <xf numFmtId="0" fontId="4" fillId="0" borderId="0" xfId="0" applyFont="1" applyAlignment="1">
      <alignment horizontal="left"/>
    </xf>
    <xf numFmtId="0" fontId="0" fillId="0" borderId="0" xfId="0" applyAlignment="1"/>
    <xf numFmtId="0" fontId="4" fillId="0" borderId="0" xfId="0" applyNumberFormat="1" applyFont="1" applyAlignment="1">
      <alignment horizontal="center"/>
    </xf>
    <xf numFmtId="0" fontId="1" fillId="0" borderId="0" xfId="0" applyNumberFormat="1" applyFont="1" applyFill="1" applyAlignment="1">
      <alignment horizontal="center"/>
    </xf>
    <xf numFmtId="0" fontId="1" fillId="0" borderId="0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2" borderId="0" xfId="0" applyNumberFormat="1" applyFont="1" applyFill="1" applyAlignment="1">
      <alignment horizontal="left"/>
    </xf>
    <xf numFmtId="0" fontId="13" fillId="0" borderId="0" xfId="0" applyFont="1" applyFill="1" applyAlignment="1">
      <alignment horizontal="left"/>
    </xf>
    <xf numFmtId="0" fontId="13" fillId="0" borderId="0" xfId="0" applyFont="1" applyFill="1"/>
    <xf numFmtId="0" fontId="13" fillId="0" borderId="0" xfId="0" applyNumberFormat="1" applyFont="1" applyAlignment="1">
      <alignment horizontal="left"/>
    </xf>
    <xf numFmtId="0" fontId="13" fillId="0" borderId="0" xfId="0" applyFont="1" applyBorder="1"/>
    <xf numFmtId="0" fontId="13" fillId="0" borderId="0" xfId="0" applyNumberFormat="1" applyFont="1"/>
    <xf numFmtId="0" fontId="13" fillId="0" borderId="0" xfId="0" applyFont="1"/>
    <xf numFmtId="0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left"/>
    </xf>
    <xf numFmtId="0" fontId="13" fillId="0" borderId="0" xfId="0" applyFont="1" applyAlignment="1">
      <alignment horizontal="center"/>
    </xf>
    <xf numFmtId="0" fontId="14" fillId="0" borderId="0" xfId="0" applyNumberFormat="1" applyFont="1"/>
    <xf numFmtId="0" fontId="14" fillId="0" borderId="0" xfId="0" applyNumberFormat="1" applyFont="1" applyAlignment="1">
      <alignment horizontal="left"/>
    </xf>
    <xf numFmtId="0" fontId="14" fillId="0" borderId="0" xfId="0" applyNumberFormat="1" applyFont="1" applyAlignment="1">
      <alignment horizontal="center"/>
    </xf>
    <xf numFmtId="0" fontId="13" fillId="0" borderId="0" xfId="0" applyNumberFormat="1" applyFont="1" applyFill="1"/>
    <xf numFmtId="0" fontId="13" fillId="0" borderId="0" xfId="0" applyNumberFormat="1" applyFont="1" applyFill="1" applyAlignment="1">
      <alignment horizontal="left"/>
    </xf>
    <xf numFmtId="0" fontId="15" fillId="0" borderId="0" xfId="0" applyNumberFormat="1" applyFont="1" applyFill="1" applyAlignment="1">
      <alignment horizontal="left"/>
    </xf>
    <xf numFmtId="0" fontId="15" fillId="3" borderId="0" xfId="0" applyFont="1" applyFill="1"/>
    <xf numFmtId="0" fontId="13" fillId="4" borderId="0" xfId="0" applyFont="1" applyFill="1"/>
    <xf numFmtId="0" fontId="13" fillId="4" borderId="0" xfId="0" applyNumberFormat="1" applyFont="1" applyFill="1"/>
    <xf numFmtId="0" fontId="13" fillId="4" borderId="0" xfId="0" applyNumberFormat="1" applyFont="1" applyFill="1" applyAlignment="1">
      <alignment horizontal="left"/>
    </xf>
    <xf numFmtId="0" fontId="13" fillId="4" borderId="0" xfId="0" applyFont="1" applyFill="1" applyAlignment="1">
      <alignment horizontal="center"/>
    </xf>
    <xf numFmtId="0" fontId="13" fillId="0" borderId="0" xfId="0" applyNumberFormat="1" applyFont="1" applyFill="1" applyAlignment="1">
      <alignment horizontal="center"/>
    </xf>
    <xf numFmtId="0" fontId="13" fillId="3" borderId="0" xfId="0" applyFont="1" applyFill="1" applyAlignment="1">
      <alignment horizontal="left"/>
    </xf>
    <xf numFmtId="0" fontId="13" fillId="4" borderId="0" xfId="0" applyFont="1" applyFill="1" applyAlignment="1">
      <alignment horizontal="left"/>
    </xf>
    <xf numFmtId="0" fontId="13" fillId="2" borderId="0" xfId="0" applyNumberFormat="1" applyFont="1" applyFill="1"/>
    <xf numFmtId="0" fontId="13" fillId="2" borderId="0" xfId="0" applyNumberFormat="1" applyFont="1" applyFill="1" applyAlignment="1">
      <alignment horizontal="center"/>
    </xf>
    <xf numFmtId="0" fontId="13" fillId="2" borderId="0" xfId="0" applyNumberFormat="1" applyFont="1" applyFill="1" applyAlignment="1">
      <alignment horizontal="left"/>
    </xf>
    <xf numFmtId="0" fontId="4" fillId="0" borderId="0" xfId="0" applyNumberFormat="1" applyFont="1"/>
    <xf numFmtId="0" fontId="1" fillId="4" borderId="0" xfId="0" applyFont="1" applyFill="1" applyAlignment="1">
      <alignment horizontal="center"/>
    </xf>
    <xf numFmtId="0" fontId="12" fillId="0" borderId="0" xfId="0" applyFont="1" applyAlignment="1">
      <alignment horizontal="left" wrapText="1"/>
    </xf>
    <xf numFmtId="0" fontId="5" fillId="0" borderId="0" xfId="0" applyFont="1"/>
    <xf numFmtId="0" fontId="5" fillId="0" borderId="0" xfId="0" applyFont="1" applyAlignment="1">
      <alignment horizontal="left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left"/>
    </xf>
  </cellXfs>
  <cellStyles count="1">
    <cellStyle name="Normal" xfId="0" builtinId="0"/>
  </cellStyles>
  <dxfs count="474"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solid">
          <fgColor indexed="64"/>
          <bgColor theme="9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solid">
          <fgColor indexed="64"/>
          <bgColor theme="9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solid">
          <fgColor indexed="64"/>
          <bgColor theme="9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id="1" name="Tables" displayName="Tables" ref="A1:J51" totalsRowShown="0" dataDxfId="473">
  <autoFilter ref="A1:J51"/>
  <tableColumns count="10">
    <tableColumn id="2" name="Name" dataDxfId="472"/>
    <tableColumn id="10" name="Table" dataDxfId="471">
      <calculatedColumnFormula>Tables[Name]</calculatedColumnFormula>
    </tableColumn>
    <tableColumn id="5" name="Singular Name" dataDxfId="470">
      <calculatedColumnFormula>IF(RIGHT(Tables[Name],3)="ies",MID(Tables[Name],1,LEN(Tables[Name])-3)&amp;"y",IF(RIGHT(Tables[Name],1)="s",MID(Tables[Name],1,LEN(Tables[Name])-1),Tables[Name]))</calculatedColumnFormula>
    </tableColumn>
    <tableColumn id="8" name="Model NS" dataDxfId="469">
      <calculatedColumnFormula>"Milestone\Task\Model"</calculatedColumnFormula>
    </tableColumn>
    <tableColumn id="4" name="Class Name" dataDxfId="468">
      <calculatedColumnFormula>SUBSTITUTE(PROPER(Tables[Singular Name]),"_","")</calculatedColumnFormula>
    </tableColumn>
    <tableColumn id="1" name="Migration Artisan" dataDxfId="467">
      <calculatedColumnFormula>"php artisan make:migration create_"&amp;Tables[Table]&amp;"_table --create="&amp;Tables[Table]</calculatedColumnFormula>
    </tableColumn>
    <tableColumn id="6" name="Model Artisan" dataDxfId="466">
      <calculatedColumnFormula>"php artisan make:model "&amp;Tables[Class Name]</calculatedColumnFormula>
    </tableColumn>
    <tableColumn id="3" name="Model Statement" dataDxfId="465">
      <calculatedColumnFormula>"protected $table = '"&amp;Tables[Table]&amp;"';"</calculatedColumnFormula>
    </tableColumn>
    <tableColumn id="7" name="Seeder Artisan" dataDxfId="464">
      <calculatedColumnFormula>"php artisan make:seed "&amp;Tables[Class Name]&amp;"TableSeeder"</calculatedColumnFormula>
    </tableColumn>
    <tableColumn id="9" name="Seeder Class" dataDxfId="463">
      <calculatedColumnFormula>Tables[Class Name]&amp;"TableSeeder"&amp;"::class,"</calculatedColumnFormula>
    </tableColumn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id="15" name="ResourceAction" displayName="ResourceAction" ref="A1:AB22" totalsRowShown="0" headerRowDxfId="351" dataDxfId="350">
  <autoFilter ref="A1:AB22"/>
  <tableColumns count="28">
    <tableColumn id="10" name="Primary" dataDxfId="349">
      <calculatedColumnFormula>'Table Seed Map'!$A$34&amp;"-"&amp;(COUNTA($E$1:ResourceAction[[#This Row],[Resource]])-2)</calculatedColumnFormula>
    </tableColumn>
    <tableColumn id="13" name="Display" dataDxfId="348">
      <calculatedColumnFormula>ResourceAction[[#This Row],[Resource Name]]&amp;"/"&amp;ResourceAction[[#This Row],[Name]]</calculatedColumnFormula>
    </tableColumn>
    <tableColumn id="2" name="Resource Name" dataDxfId="347"/>
    <tableColumn id="11" name="No" dataDxfId="346">
      <calculatedColumnFormula>IF(ResourceAction[[#This Row],[Resource Name]]="","id",COUNTA($C$1:ResourceAction[[#This Row],[Resource Name]])-1+IF(VLOOKUP('Table Seed Map'!$A$34,SeedMap[],9,0),VLOOKUP('Table Seed Map'!$A$34,SeedMap[],9,0),0))</calculatedColumnFormula>
    </tableColumn>
    <tableColumn id="3" name="Resource" dataDxfId="345">
      <calculatedColumnFormula>IFERROR(VLOOKUP(ResourceAction[[#This Row],[Resource Name]],ResourceTable[[RName]:[No]],3,0),"resource")</calculatedColumnFormula>
    </tableColumn>
    <tableColumn id="4" name="Name" dataDxfId="344"/>
    <tableColumn id="6" name="Description" dataDxfId="343"/>
    <tableColumn id="7" name="Title" dataDxfId="342"/>
    <tableColumn id="8" name="Type" dataDxfId="341"/>
    <tableColumn id="9" name="Menu" dataDxfId="340"/>
    <tableColumn id="26" name="icon" dataDxfId="339"/>
    <tableColumn id="27" name="on" dataDxfId="338"/>
    <tableColumn id="28" name="confirm" dataDxfId="337"/>
    <tableColumn id="20" name="Primary Method" dataDxfId="336">
      <calculatedColumnFormula>'Table Seed Map'!$A$35&amp;"-"&amp;(COUNTA($E$1:ResourceAction[[#This Row],[Resource]])-2)</calculatedColumnFormula>
    </tableColumn>
    <tableColumn id="12" name="Method ID" dataDxfId="335">
      <calculatedColumnFormula>IF(ResourceAction[[#This Row],[No]]="id","id",-2+COUNTA($E$1:ResourceAction[[#This Row],[Resource]])+IF(ISNUMBER(VLOOKUP('Table Seed Map'!$A$35,SeedMap[],9,0)),VLOOKUP('Table Seed Map'!$A$35,SeedMap[],9,0),0))</calculatedColumnFormula>
    </tableColumn>
    <tableColumn id="14" name="Method Action ID" dataDxfId="334">
      <calculatedColumnFormula>IF(ResourceAction[[#This Row],[No]]="id","resource_action",ResourceAction[[#This Row],[No]])</calculatedColumnFormula>
    </tableColumn>
    <tableColumn id="15" name="Method Type" dataDxfId="333"/>
    <tableColumn id="16" name="IDN 1" dataDxfId="332">
      <calculatedColumnFormula>IF(ResourceAction[[#This Row],[Resource Name]]="","idn1",IF(ResourceAction[[#This Row],[IDN1]]="","",VLOOKUP(ResourceAction[[#This Row],[IDN1]],IDNMaps[[Display]:[ID]],2,0)))</calculatedColumnFormula>
    </tableColumn>
    <tableColumn id="17" name="IDN 2" dataDxfId="331">
      <calculatedColumnFormula>IF(ResourceAction[[#This Row],[Resource Name]]="","idn2",IF(ResourceAction[[#This Row],[IDN2]]="","",VLOOKUP(ResourceAction[[#This Row],[IDN2]],IDNMaps[[Display]:[ID]],2,0)))</calculatedColumnFormula>
    </tableColumn>
    <tableColumn id="5" name="IDN 3" dataDxfId="330">
      <calculatedColumnFormula>IF(ResourceAction[[#This Row],[Resource Name]]="","idn3",IF(ResourceAction[[#This Row],[IDN3]]="","",VLOOKUP(ResourceAction[[#This Row],[IDN3]],IDNMaps[[Display]:[ID]],2,0)))</calculatedColumnFormula>
    </tableColumn>
    <tableColumn id="18" name="IDN 4" dataDxfId="329">
      <calculatedColumnFormula>IF(ResourceAction[[#This Row],[Resource Name]]="","idn4",IF(ResourceAction[[#This Row],[IDN4]]="","",VLOOKUP(ResourceAction[[#This Row],[IDN4]],IDNMaps[[Display]:[ID]],2,0)))</calculatedColumnFormula>
    </tableColumn>
    <tableColumn id="19" name="IDN 5" dataDxfId="328">
      <calculatedColumnFormula>IF(ResourceAction[[#This Row],[Resource Name]]="","idn5",IF(ResourceAction[[#This Row],[IDN5]]="","",VLOOKUP(ResourceAction[[#This Row],[IDN5]],IDNMaps[[Display]:[ID]],2,0)))</calculatedColumnFormula>
    </tableColumn>
    <tableColumn id="21" name="IDN1" dataDxfId="327"/>
    <tableColumn id="22" name="IDN2" dataDxfId="326"/>
    <tableColumn id="24" name="IDN3" dataDxfId="325"/>
    <tableColumn id="25" name="IDN4" dataDxfId="324"/>
    <tableColumn id="23" name="IDN5" dataDxfId="323"/>
    <tableColumn id="1" name="AID" dataDxfId="322">
      <calculatedColumnFormula>ResourceAction[No]</calculatedColumnFormula>
    </tableColumn>
  </tableColumns>
  <tableStyleInfo name="TableStyleLight9" showFirstColumn="0" showLastColumn="0" showRowStripes="1" showColumnStripes="0"/>
</table>
</file>

<file path=xl/tables/table11.xml><?xml version="1.0" encoding="utf-8"?>
<table xmlns="http://schemas.openxmlformats.org/spreadsheetml/2006/main" id="16" name="ActionListNData" displayName="ActionListNData" ref="AD1:AO16" totalsRowShown="0" headerRowDxfId="321" dataDxfId="320">
  <autoFilter ref="AD1:AO16"/>
  <tableColumns count="12">
    <tableColumn id="1" name="Action Name" dataDxfId="319"/>
    <tableColumn id="3" name="Action" dataDxfId="318">
      <calculatedColumnFormula>VLOOKUP(ActionListNData[[#This Row],[Action Name]],ResourceAction[[Display]:[No]],3,0)</calculatedColumnFormula>
    </tableColumn>
    <tableColumn id="5" name="Resource List" dataDxfId="317"/>
    <tableColumn id="6" name="Resource Data" dataDxfId="316"/>
    <tableColumn id="9" name="Primary List" dataDxfId="315">
      <calculatedColumnFormula>'Table Seed Map'!$A$37&amp;"-"&amp;-1+COUNTA($AF$1:ActionListNData[[#This Row],[Resource List]])</calculatedColumnFormula>
    </tableColumn>
    <tableColumn id="10" name="List ID" dataDxfId="314">
      <calculatedColumnFormula>IF(ActionListNData[[#This Row],[Action Name]]="","id",-1+COUNTA($AF$1:ActionListNData[[#This Row],[Resource List]])+IF(ISNUMBER(VLOOKUP('Table Seed Map'!$A$37,SeedMap[],9,0)),VLOOKUP('Table Seed Map'!$A$37,SeedMap[],9,0),0))</calculatedColumnFormula>
    </tableColumn>
    <tableColumn id="11" name="Action 1" dataDxfId="313">
      <calculatedColumnFormula>ActionListNData[[#This Row],[Action]]</calculatedColumnFormula>
    </tableColumn>
    <tableColumn id="4" name="List" dataDxfId="312">
      <calculatedColumnFormula>IF(ActionListNData[[#This Row],[Action Name]]="","resource_list",IFERROR(VLOOKUP(ActionListNData[[#This Row],[Resource List]],ResourceList[[ListDisplayName]:[No]],2,0),""))</calculatedColumnFormula>
    </tableColumn>
    <tableColumn id="8" name="Primary Data" dataDxfId="311">
      <calculatedColumnFormula>'Table Seed Map'!$A$38&amp;"-"&amp;-1+COUNTA($AG$1:ActionListNData[[#This Row],[Resource Data]])</calculatedColumnFormula>
    </tableColumn>
    <tableColumn id="12" name="Data ID" dataDxfId="310">
      <calculatedColumnFormula>IF(ActionListNData[[#This Row],[Action Name]]="","id",-1+COUNTA($AG$1:ActionListNData[[#This Row],[Resource Data]])+IF(ISNUMBER(VLOOKUP('Table Seed Map'!$A$38,SeedMap[],9,0)),VLOOKUP('Table Seed Map'!$A$38,SeedMap[],9,0),0))</calculatedColumnFormula>
    </tableColumn>
    <tableColumn id="7" name="Action 2" dataDxfId="309">
      <calculatedColumnFormula>ActionListNData[[#This Row],[Action]]</calculatedColumnFormula>
    </tableColumn>
    <tableColumn id="2" name="Data" dataDxfId="308">
      <calculatedColumnFormula>IF(ActionListNData[[#This Row],[Action Name]]="","resource_data",IFERROR(VLOOKUP(ActionListNData[[#This Row],[Resource Data]],ResourceData[[DataDisplayName]:[No]],2,0),""))</calculatedColumnFormula>
    </tableColumn>
  </tableColumns>
  <tableStyleInfo name="TableStyleLight3" showFirstColumn="0" showLastColumn="0" showRowStripes="1" showColumnStripes="0"/>
</table>
</file>

<file path=xl/tables/table12.xml><?xml version="1.0" encoding="utf-8"?>
<table xmlns="http://schemas.openxmlformats.org/spreadsheetml/2006/main" id="26" name="ActionAttr" displayName="ActionAttr" ref="AQ1:AV2" totalsRowShown="0" headerRowDxfId="307" dataDxfId="306">
  <autoFilter ref="AQ1:AV2"/>
  <tableColumns count="6">
    <tableColumn id="1" name="Action Name for Attr" dataDxfId="305"/>
    <tableColumn id="5" name="Primary" dataDxfId="304">
      <calculatedColumnFormula>'Table Seed Map'!$A$36&amp;"-"&amp;(COUNTA($AQ$2:ActionAttr[[#This Row],[Action Name for Attr]]))</calculatedColumnFormula>
    </tableColumn>
    <tableColumn id="6" name="No" dataDxfId="303">
      <calculatedColumnFormula>IF(ActionAttr[[#This Row],[Action Name for Attr]]="","id",IFERROR($AS1+1,IF(ISNUMBER(VLOOKUP('Table Seed Map'!$A$36,SeedMap[],9,0)),VLOOKUP('Table Seed Map'!$A$36,SeedMap[],9,0)+1,1)))</calculatedColumnFormula>
    </tableColumn>
    <tableColumn id="4" name="Action" dataDxfId="302">
      <calculatedColumnFormula>IF(ActionAttr[[#This Row],[Action Name for Attr]]="","resource_action",VLOOKUP(ActionAttr[[#This Row],[Action Name for Attr]],ResourceAction[[Display]:[No]],3,0))</calculatedColumnFormula>
    </tableColumn>
    <tableColumn id="2" name="Name" dataDxfId="301"/>
    <tableColumn id="3" name="Value" dataDxfId="300"/>
  </tableColumns>
  <tableStyleInfo name="TableStyleLight2" showFirstColumn="0" showLastColumn="0" showRowStripes="1" showColumnStripes="0"/>
</table>
</file>

<file path=xl/tables/table13.xml><?xml version="1.0" encoding="utf-8"?>
<table xmlns="http://schemas.openxmlformats.org/spreadsheetml/2006/main" id="6" name="ResourceForms" displayName="ResourceForms" ref="A1:K9" totalsRowShown="0" headerRowDxfId="299" dataDxfId="298">
  <autoFilter ref="A1:K9"/>
  <tableColumns count="11">
    <tableColumn id="1" name="Primary" dataDxfId="297">
      <calculatedColumnFormula>'Table Seed Map'!$A$11&amp;"-"&amp;(COUNTA($F$1:ResourceForms[[#This Row],[Resource]])-2)</calculatedColumnFormula>
    </tableColumn>
    <tableColumn id="11" name="FormName" dataDxfId="296">
      <calculatedColumnFormula>ResourceForms[[#This Row],[Resource Name]]&amp;"/"&amp;ResourceForms[[#This Row],[Name]]</calculatedColumnFormula>
    </tableColumn>
    <tableColumn id="10" name="No" dataDxfId="295">
      <calculatedColumnFormula>COUNTA($A$1:ResourceForms[[#This Row],[Primary]])-2</calculatedColumnFormula>
    </tableColumn>
    <tableColumn id="2" name="Resource Name" dataDxfId="294"/>
    <tableColumn id="12" name="ID" dataDxfId="293">
      <calculatedColumnFormula>IF(ResourceForms[[#This Row],[No]]=0,"id",ResourceForms[[#This Row],[No]]+IF(ISNUMBER(VLOOKUP('Table Seed Map'!$A$11,SeedMap[],9,0)),VLOOKUP('Table Seed Map'!$A$11,SeedMap[],9,0),0))</calculatedColumnFormula>
    </tableColumn>
    <tableColumn id="3" name="Resource" dataDxfId="292">
      <calculatedColumnFormula>IFERROR(VLOOKUP(ResourceForms[[#This Row],[Resource Name]],ResourceTable[[RName]:[No]],3,0),"resource")</calculatedColumnFormula>
    </tableColumn>
    <tableColumn id="4" name="Name" dataDxfId="291"/>
    <tableColumn id="5" name="Description" dataDxfId="290"/>
    <tableColumn id="6" name="Title" dataDxfId="289"/>
    <tableColumn id="7" name="Action Text" dataDxfId="288"/>
    <tableColumn id="8" name="Form ID" dataDxfId="287">
      <calculatedColumnFormula>ResourceForms[ID]</calculatedColumnFormula>
    </tableColumn>
  </tableColumns>
  <tableStyleInfo name="TableStyleMedium5" showFirstColumn="0" showLastColumn="0" showRowStripes="1" showColumnStripes="0"/>
</table>
</file>

<file path=xl/tables/table14.xml><?xml version="1.0" encoding="utf-8"?>
<table xmlns="http://schemas.openxmlformats.org/spreadsheetml/2006/main" id="12" name="FormFields" displayName="FormFields" ref="M1:BA33" headerRowDxfId="286" dataDxfId="285">
  <autoFilter ref="M1:BA33"/>
  <tableColumns count="41">
    <tableColumn id="23" name="Primary" dataDxfId="284">
      <calculatedColumnFormula>'Table Seed Map'!$A$12&amp;"-"&amp;FormFields[[#This Row],[No]]</calculatedColumnFormula>
    </tableColumn>
    <tableColumn id="1" name="Form Name" totalsRowLabel="Total" dataDxfId="283"/>
    <tableColumn id="44" name="No" dataDxfId="282">
      <calculatedColumnFormula>COUNTA($N$1:FormFields[[#This Row],[Form Name]])-1</calculatedColumnFormula>
    </tableColumn>
    <tableColumn id="24" name="Field Name" dataDxfId="281">
      <calculatedColumnFormula>FormFields[[#This Row],[Form Name]]&amp;"/"&amp;FormFields[[#This Row],[Name]]</calculatedColumnFormula>
    </tableColumn>
    <tableColumn id="11" name="ID" dataDxfId="280">
      <calculatedColumnFormula>IF(FormFields[[#This Row],[No]]=0,"id",FormFields[[#This Row],[No]]+IF(ISNUMBER(VLOOKUP('Table Seed Map'!$A$12,SeedMap[],9,0)),VLOOKUP('Table Seed Map'!$A$12,SeedMap[],9,0),0))</calculatedColumnFormula>
    </tableColumn>
    <tableColumn id="2" name="Form" dataDxfId="279">
      <calculatedColumnFormula>IFERROR(VLOOKUP(FormFields[[#This Row],[Form Name]],ResourceForms[[FormName]:[ID]],4,0),"resource_form")</calculatedColumnFormula>
    </tableColumn>
    <tableColumn id="3" name="Name" dataDxfId="278"/>
    <tableColumn id="4" name="Type" dataDxfId="277"/>
    <tableColumn id="5" name="Label" dataDxfId="276"/>
    <tableColumn id="6" name="Rel" dataDxfId="275"/>
    <tableColumn id="7" name="Rel1" dataDxfId="274"/>
    <tableColumn id="8" name="Rel2" dataDxfId="273"/>
    <tableColumn id="9" name="Rel3" dataDxfId="272"/>
    <tableColumn id="45" name="Primary FD" dataDxfId="271">
      <calculatedColumnFormula>'Table Seed Map'!$A$13&amp;"-"&amp;FormFields[[#This Row],[NO2]]</calculatedColumnFormula>
    </tableColumn>
    <tableColumn id="46" name="NO2" dataDxfId="270">
      <calculatedColumnFormula>COUNTIFS($AB$1:FormFields[[#This Row],[Exists]],1)-1</calculatedColumnFormula>
    </tableColumn>
    <tableColumn id="49" name="Exists" dataDxfId="269">
      <calculatedColumnFormula>IF(AND(FormFields[[#This Row],[Attribute]]="",FormFields[[#This Row],[Rel]]=""),0,1)</calculatedColumnFormula>
    </tableColumn>
    <tableColumn id="47" name="NO3" dataDxfId="268">
      <calculatedColumnFormula>IF(FormFields[[#This Row],[NO2]]=0,"id",FormFields[[#This Row],[NO2]]+IF(ISNUMBER(VLOOKUP('Table Seed Map'!$A$13,SeedMap[],9,0)),VLOOKUP('Table Seed Map'!$A$13,SeedMap[],9,0),0))</calculatedColumnFormula>
    </tableColumn>
    <tableColumn id="10" name="Data Field ID" dataDxfId="267">
      <calculatedColumnFormula>IF(FormFields[[#This Row],[ID]]="id","form_field",FormFields[[#This Row],[ID]])</calculatedColumnFormula>
    </tableColumn>
    <tableColumn id="40" name="Attribute" dataDxfId="266">
      <calculatedColumnFormula>IF(FormFields[[#This Row],[No]]=0,"attribute",FormFields[[#This Row],[Name]])</calculatedColumnFormula>
    </tableColumn>
    <tableColumn id="12" name="Relation" dataDxfId="265">
      <calculatedColumnFormula>IF(FormFields[[#This Row],[NO2]]=0,"relation",IF(FormFields[[#This Row],[Rel]]="","",VLOOKUP(FormFields[[#This Row],[Rel]],RelationTable[[Display]:[RELID]],2,0)))</calculatedColumnFormula>
    </tableColumn>
    <tableColumn id="13" name="R1" dataDxfId="264">
      <calculatedColumnFormula>IF(FormFields[[#This Row],[NO2]]=0,"nest_relation1",IF(FormFields[[#This Row],[Rel1]]="","",VLOOKUP(FormFields[[#This Row],[Rel1]],RelationTable[[Display]:[RELID]],2,0)))</calculatedColumnFormula>
    </tableColumn>
    <tableColumn id="14" name="R2" dataDxfId="263">
      <calculatedColumnFormula>IF(FormFields[[#This Row],[NO2]]=0,"nest_relation2",IF(FormFields[[#This Row],[Rel2]]="","",VLOOKUP(FormFields[[#This Row],[Rel2]],RelationTable[[Display]:[RELID]],2,0)))</calculatedColumnFormula>
    </tableColumn>
    <tableColumn id="15" name="R3" dataDxfId="262">
      <calculatedColumnFormula>IF(FormFields[[#This Row],[NO2]]=0,"nest_relation3",IF(FormFields[[#This Row],[Rel3]]="","",VLOOKUP(FormFields[[#This Row],[Rel3]],RelationTable[[Display]:[RELID]],2,0)))</calculatedColumnFormula>
    </tableColumn>
    <tableColumn id="52" name="Exists FO" dataDxfId="261">
      <calculatedColumnFormula>IF(OR(FormFields[[#This Row],[Option Type]]="",FormFields[[#This Row],[Option Type]]="type"),0,1)</calculatedColumnFormula>
    </tableColumn>
    <tableColumn id="50" name="Primary FO" dataDxfId="260">
      <calculatedColumnFormula>'Table Seed Map'!$A$14&amp;"-"&amp;FormFields[[#This Row],[NO4]]</calculatedColumnFormula>
    </tableColumn>
    <tableColumn id="51" name="NO4" dataDxfId="259">
      <calculatedColumnFormula>COUNTIF($AJ$2:FormFields[[#This Row],[Exists FO]],1)</calculatedColumnFormula>
    </tableColumn>
    <tableColumn id="53" name="NO5" dataDxfId="258">
      <calculatedColumnFormula>IF(FormFields[[#This Row],[NO4]]=0,"id",FormFields[[#This Row],[NO4]]+IF(ISNUMBER(VLOOKUP('Table Seed Map'!$A$14,SeedMap[],9,0)),VLOOKUP('Table Seed Map'!$A$14,SeedMap[],9,0),0))</calculatedColumnFormula>
    </tableColumn>
    <tableColumn id="17" name="Option Field ID" dataDxfId="257">
      <calculatedColumnFormula>IF(FormFields[[#This Row],[ID]]="id","form_field",FormFields[[#This Row],[ID]])</calculatedColumnFormula>
    </tableColumn>
    <tableColumn id="18" name="Option Type" dataDxfId="256"/>
    <tableColumn id="19" name="Detail" dataDxfId="255"/>
    <tableColumn id="20" name="Value Attr" dataDxfId="254"/>
    <tableColumn id="21" name="Label Attr" dataDxfId="253"/>
    <tableColumn id="22" name="Preload" dataDxfId="252"/>
    <tableColumn id="67" name="Exists FL" dataDxfId="251">
      <calculatedColumnFormula>IF(OR(FormFields[[#This Row],[Colspan]]="",FormFields[[#This Row],[Colspan]]="colspan"),0,1)</calculatedColumnFormula>
    </tableColumn>
    <tableColumn id="68" name="Primary FL" dataDxfId="250">
      <calculatedColumnFormula>'Table Seed Map'!$A$19&amp;"-"&amp;FormFields[[#This Row],[NO8]]</calculatedColumnFormula>
    </tableColumn>
    <tableColumn id="69" name="NO8" dataDxfId="249">
      <calculatedColumnFormula>COUNTIF($AT$1:FormFields[[#This Row],[Exists FL]],1)</calculatedColumnFormula>
    </tableColumn>
    <tableColumn id="70" name="FL ID" dataDxfId="248">
      <calculatedColumnFormula>IF(FormFields[[#This Row],[NO8]]=0,"id",IF(FormFields[[#This Row],[Exists FL]]=1,FormFields[[#This Row],[NO8]]+IF(ISNUMBER(VLOOKUP('Table Seed Map'!$A$19,SeedMap[],9,0)),VLOOKUP('Table Seed Map'!$A$19,SeedMap[],9,0),0),""))</calculatedColumnFormula>
    </tableColumn>
    <tableColumn id="41" name="Layout Form ID" dataDxfId="247">
      <calculatedColumnFormula>FormFields[Form]</calculatedColumnFormula>
    </tableColumn>
    <tableColumn id="42" name="Layout Field ID" dataDxfId="246">
      <calculatedColumnFormula>IF(FormFields[[#This Row],[ID]]="id","form_field",FormFields[[#This Row],[ID]])</calculatedColumnFormula>
    </tableColumn>
    <tableColumn id="43" name="Colspan" dataDxfId="245"/>
    <tableColumn id="16" name="Field ID" dataDxfId="244">
      <calculatedColumnFormula>FormFields[[#This Row],[ID]]</calculatedColumnFormula>
    </tableColumn>
  </tableColumns>
  <tableStyleInfo showFirstColumn="0" showLastColumn="0" showRowStripes="1" showColumnStripes="0"/>
</table>
</file>

<file path=xl/tables/table15.xml><?xml version="1.0" encoding="utf-8"?>
<table xmlns="http://schemas.openxmlformats.org/spreadsheetml/2006/main" id="13" name="FieldAttrs" displayName="FieldAttrs" ref="BC1:BH33" totalsRowShown="0" headerRowDxfId="243" dataDxfId="242">
  <autoFilter ref="BC1:BH33"/>
  <tableColumns count="6">
    <tableColumn id="1" name="ATTR Field" dataDxfId="241"/>
    <tableColumn id="5" name="Primary" dataDxfId="240">
      <calculatedColumnFormula>'Table Seed Map'!$A$15&amp;"-"&amp;(-1+COUNTA($BC$1:FieldAttrs[[#This Row],[ATTR Field]]))</calculatedColumnFormula>
    </tableColumn>
    <tableColumn id="6" name="No" dataDxfId="239">
      <calculatedColumnFormula>IF(FieldAttrs[[#This Row],[ATTR Field]]="","id",-1+COUNTA($BC$1:FieldAttrs[[#This Row],[ATTR Field]])+VLOOKUP('Table Seed Map'!$A$15,SeedMap[],9,0))</calculatedColumnFormula>
    </tableColumn>
    <tableColumn id="4" name="Field" dataDxfId="238">
      <calculatedColumnFormula>IFERROR(VLOOKUP(FieldAttrs[ATTR Field],FormFields[[Field Name]:[ID]],2,0),"form_field")</calculatedColumnFormula>
    </tableColumn>
    <tableColumn id="2" name="Name" dataDxfId="237"/>
    <tableColumn id="3" name="Value" dataDxfId="236"/>
  </tableColumns>
  <tableStyleInfo name="TableStyleLight8" showFirstColumn="0" showLastColumn="0" showRowStripes="1" showColumnStripes="0"/>
</table>
</file>

<file path=xl/tables/table16.xml><?xml version="1.0" encoding="utf-8"?>
<table xmlns="http://schemas.openxmlformats.org/spreadsheetml/2006/main" id="14" name="FieldValidations" displayName="FieldValidations" ref="BJ1:BS12" totalsRowShown="0" headerRowDxfId="235" dataDxfId="234">
  <autoFilter ref="BJ1:BS12"/>
  <tableColumns count="10">
    <tableColumn id="1" name="Validation Field" dataDxfId="233"/>
    <tableColumn id="10" name="ID No" dataDxfId="232">
      <calculatedColumnFormula>COUNTA($BJ$2:FieldValidations[[#This Row],[Validation Field]])</calculatedColumnFormula>
    </tableColumn>
    <tableColumn id="8" name="Primary" dataDxfId="231">
      <calculatedColumnFormula>'Table Seed Map'!$A$17&amp;"-"&amp;FieldValidations[[#This Row],[ID No]]</calculatedColumnFormula>
    </tableColumn>
    <tableColumn id="9" name="No" dataDxfId="230">
      <calculatedColumnFormula>IF(FieldValidations[[#This Row],[ID No]]=0,"id",FieldValidations[[#This Row],[ID No]]+VLOOKUP('Table Seed Map'!$A$17,SeedMap[],9,0))</calculatedColumnFormula>
    </tableColumn>
    <tableColumn id="7" name="Field" dataDxfId="229">
      <calculatedColumnFormula>VLOOKUP(FieldValidations[Validation Field],FormFields[[Field Name]:[ID]],2,0)</calculatedColumnFormula>
    </tableColumn>
    <tableColumn id="2" name="Rule" dataDxfId="228"/>
    <tableColumn id="3" name="Message" dataDxfId="227"/>
    <tableColumn id="4" name="Arg 1" dataDxfId="226"/>
    <tableColumn id="5" name="Arg 2" dataDxfId="225"/>
    <tableColumn id="6" name="Arg 3" dataDxfId="224"/>
  </tableColumns>
  <tableStyleInfo name="TableStyleLight10" showFirstColumn="0" showLastColumn="0" showRowStripes="1" showColumnStripes="0"/>
</table>
</file>

<file path=xl/tables/table17.xml><?xml version="1.0" encoding="utf-8"?>
<table xmlns="http://schemas.openxmlformats.org/spreadsheetml/2006/main" id="7" name="FormDefault" displayName="FormDefault" ref="CF1:CZ2" totalsRowShown="0" dataDxfId="223">
  <autoFilter ref="CF1:CZ2"/>
  <tableColumns count="21">
    <tableColumn id="21" name="No" dataDxfId="222">
      <calculatedColumnFormula>COUNTA($CH$1:FormDefault[[#This Row],[Form for Default]])-1</calculatedColumnFormula>
    </tableColumn>
    <tableColumn id="1" name="Primary" dataDxfId="221">
      <calculatedColumnFormula>'Table Seed Map'!$A$21&amp;"-"&amp;FormDefault[[#This Row],[No]]</calculatedColumnFormula>
    </tableColumn>
    <tableColumn id="2" name="Form for Default" dataDxfId="220"/>
    <tableColumn id="3" name="ID" dataDxfId="219">
      <calculatedColumnFormula>IF(FormDefault[[#This Row],[No]]=0,"id",FormDefault[[#This Row],[No]]+IF(ISNUMBER(VLOOKUP('Table Seed Map'!$A$21,SeedMap[],9,0)),VLOOKUP('Table Seed Map'!$A$21,SeedMap[],9,0),0))</calculatedColumnFormula>
    </tableColumn>
    <tableColumn id="12" name="Form" dataDxfId="218">
      <calculatedColumnFormula>IFERROR(VLOOKUP(FormDefault[[#This Row],[Form for Default]],ResourceForms[[FormName]:[ID]],4,0),"resource_form")</calculatedColumnFormula>
    </tableColumn>
    <tableColumn id="4" name="Name" dataDxfId="217"/>
    <tableColumn id="5" name="Value" dataDxfId="216"/>
    <tableColumn id="6" name="Relation" dataDxfId="215">
      <calculatedColumnFormula>IFERROR(VLOOKUP(FormDefault[[#This Row],[R]],RelationTable[[Display]:[RELID]],2,0),"")</calculatedColumnFormula>
    </tableColumn>
    <tableColumn id="7" name="Attribute" dataDxfId="214"/>
    <tableColumn id="20" name="REL1" dataDxfId="213">
      <calculatedColumnFormula>IFERROR(VLOOKUP(FormDefault[[#This Row],[R1]],RelationTable[[Display]:[RELID]],2,0),"")</calculatedColumnFormula>
    </tableColumn>
    <tableColumn id="19" name="REL2" dataDxfId="212">
      <calculatedColumnFormula>IFERROR(VLOOKUP(FormDefault[[#This Row],[R2]],RelationTable[[Display]:[RELID]],2,0),"")</calculatedColumnFormula>
    </tableColumn>
    <tableColumn id="18" name="REL3" dataDxfId="211">
      <calculatedColumnFormula>IFERROR(VLOOKUP(FormDefault[[#This Row],[R3]],RelationTable[[Display]:[RELID]],2,0),"")</calculatedColumnFormula>
    </tableColumn>
    <tableColumn id="13" name="Method" dataDxfId="210"/>
    <tableColumn id="17" name="R" dataDxfId="209"/>
    <tableColumn id="14" name="R1" dataDxfId="208"/>
    <tableColumn id="15" name="R2" dataDxfId="207"/>
    <tableColumn id="16" name="R3" dataDxfId="206"/>
    <tableColumn id="8" name="R12" dataDxfId="205"/>
    <tableColumn id="9" name="R22" dataDxfId="204"/>
    <tableColumn id="10" name="R32" dataDxfId="203"/>
    <tableColumn id="11" name="Method2" dataDxfId="202"/>
  </tableColumns>
  <tableStyleInfo name="TableStyleLight11" showFirstColumn="0" showLastColumn="0" showRowStripes="1" showColumnStripes="0"/>
</table>
</file>

<file path=xl/tables/table18.xml><?xml version="1.0" encoding="utf-8"?>
<table xmlns="http://schemas.openxmlformats.org/spreadsheetml/2006/main" id="17" name="FormCollection" displayName="FormCollection" ref="BU1:CD2" totalsRowShown="0" headerRowDxfId="201" dataDxfId="200">
  <autoFilter ref="BU1:CD2"/>
  <tableColumns count="10">
    <tableColumn id="1" name="Primary" dataDxfId="199">
      <calculatedColumnFormula>'Table Seed Map'!$A$22&amp;"-"&amp;COUNTA($BV$1:FormCollection[[#This Row],[Main Form for Collection]])-1</calculatedColumnFormula>
    </tableColumn>
    <tableColumn id="2" name="Main Form for Collection" dataDxfId="198"/>
    <tableColumn id="3" name="Collection Form" dataDxfId="197"/>
    <tableColumn id="4" name="Relation" dataDxfId="196"/>
    <tableColumn id="5" name="Foreign Field" dataDxfId="195"/>
    <tableColumn id="6" name="No" dataDxfId="194">
      <calculatedColumnFormula>IF($BZ1="id",IF(ISNUMBER(VLOOKUP('Table Seed Map'!$A$22,SeedMap[],9,0)),VLOOKUP('Table Seed Map'!$A$22,SeedMap[],9,0)+1,1),IFERROR($BZ1+1,"id"))</calculatedColumnFormula>
    </tableColumn>
    <tableColumn id="7" name="Resource Form" dataDxfId="193">
      <calculatedColumnFormula>IFERROR(VLOOKUP(FormCollection[Main Form for Collection],ResourceForms[[FormName]:[ID]],4,0),"resource_form")</calculatedColumnFormula>
    </tableColumn>
    <tableColumn id="8" name="Collection Form2" dataDxfId="192">
      <calculatedColumnFormula>IFERROR(VLOOKUP(FormCollection[Collection Form],ResourceForms[[FormName]:[ID]],4,0),"collection_form")</calculatedColumnFormula>
    </tableColumn>
    <tableColumn id="9" name="Relation3" dataDxfId="191">
      <calculatedColumnFormula>IFERROR(VLOOKUP(FormCollection[Relation],RelationTable[[Display]:[RELID]],2,0),"")</calculatedColumnFormula>
    </tableColumn>
    <tableColumn id="10" name="Foreign" dataDxfId="190">
      <calculatedColumnFormula>IFERROR(VLOOKUP(FormCollection[Foreign Field],FormFields[[Field Name]:[ID]],2,0),"")</calculatedColumnFormula>
    </tableColumn>
  </tableColumns>
  <tableStyleInfo name="TableStyleLight9" showFirstColumn="0" showLastColumn="0" showRowStripes="1" showColumnStripes="0"/>
</table>
</file>

<file path=xl/tables/table19.xml><?xml version="1.0" encoding="utf-8"?>
<table xmlns="http://schemas.openxmlformats.org/spreadsheetml/2006/main" id="29" name="FieldDepends" displayName="FieldDepends" ref="DB1:DL2" totalsRowShown="0" headerRowDxfId="189" dataDxfId="188">
  <autoFilter ref="DB1:DL2"/>
  <tableColumns count="11">
    <tableColumn id="1" name="Field for Depend" dataDxfId="187"/>
    <tableColumn id="9" name="Primary" dataDxfId="186">
      <calculatedColumnFormula>'Table Seed Map'!$A$18&amp;"-"&amp;COUNTA($DB$2:FieldDepends[[#This Row],[Field for Depend]])</calculatedColumnFormula>
    </tableColumn>
    <tableColumn id="10" name="ID" dataDxfId="185">
      <calculatedColumnFormula>IF(FieldDepends[[#This Row],[Field for Depend]]="","id",-1+COUNTA($DB$1:FieldDepends[[#This Row],[Field for Depend]])+VLOOKUP('Table Seed Map'!$A$18,SeedMap[],9,0))</calculatedColumnFormula>
    </tableColumn>
    <tableColumn id="8" name="Field ID" dataDxfId="184">
      <calculatedColumnFormula>IFERROR(VLOOKUP(FieldDepends[[#This Row],[Field for Depend]],FormFields[[Field Name]:[ID]],2,0),"form_field")</calculatedColumnFormula>
    </tableColumn>
    <tableColumn id="2" name="Field name - depends on" dataDxfId="183"/>
    <tableColumn id="3" name="Database Field" dataDxfId="182"/>
    <tableColumn id="4" name="Operator" dataDxfId="181"/>
    <tableColumn id="5" name="Compare Method" dataDxfId="180"/>
    <tableColumn id="11" name="Method" dataDxfId="179"/>
    <tableColumn id="6" name="Value DB Field" dataDxfId="178"/>
    <tableColumn id="7" name="Ignore Null" dataDxfId="177"/>
  </tableColumns>
  <tableStyleInfo name="TableStyleLight7" showFirstColumn="0" showLastColumn="0" showRowStripes="1" showColumnStripes="0"/>
</table>
</file>

<file path=xl/tables/table2.xml><?xml version="1.0" encoding="utf-8"?>
<table xmlns="http://schemas.openxmlformats.org/spreadsheetml/2006/main" id="2" name="Columns" displayName="Columns" ref="A1:J23" totalsRowShown="0" dataDxfId="458">
  <autoFilter ref="A1:J23"/>
  <tableColumns count="10">
    <tableColumn id="1" name="Column" dataDxfId="457"/>
    <tableColumn id="2" name="Type" dataDxfId="456"/>
    <tableColumn id="3" name="Name" dataDxfId="455"/>
    <tableColumn id="4" name="Length/Enum" dataDxfId="454"/>
    <tableColumn id="5" name="Method1" dataDxfId="453"/>
    <tableColumn id="6" name="Method2" dataDxfId="452"/>
    <tableColumn id="7" name="Method3" dataDxfId="451"/>
    <tableColumn id="8" name="Method4" dataDxfId="450"/>
    <tableColumn id="9" name="Method5" dataDxfId="449"/>
    <tableColumn id="10" name="Usage" dataDxfId="448">
      <calculatedColumnFormula>COUNTIF(TableFields[Field],Columns[[#This Row],[Column]])</calculatedColumnFormula>
    </tableColumn>
  </tableColumns>
  <tableStyleInfo name="TableStyleLight9" showFirstColumn="0" showLastColumn="0" showRowStripes="1" showColumnStripes="0"/>
</table>
</file>

<file path=xl/tables/table20.xml><?xml version="1.0" encoding="utf-8"?>
<table xmlns="http://schemas.openxmlformats.org/spreadsheetml/2006/main" id="30" name="FieldDynamic" displayName="FieldDynamic" ref="DN1:DW2" totalsRowShown="0" headerRowDxfId="176" dataDxfId="175">
  <autoFilter ref="DN1:DW2"/>
  <tableColumns count="10">
    <tableColumn id="1" name="Field for Dynamic" dataDxfId="174"/>
    <tableColumn id="9" name="Primary" dataDxfId="173">
      <calculatedColumnFormula>'Table Seed Map'!$A$16&amp;"-"&amp;COUNTA($DN$2:FieldDynamic[[#This Row],[Field for Dynamic]])</calculatedColumnFormula>
    </tableColumn>
    <tableColumn id="10" name="ID" dataDxfId="172">
      <calculatedColumnFormula>IF(FieldDynamic[[#This Row],[Field for Dynamic]]="","id",COUNTA(#REF!:FieldDynamic[[#This Row],[Field for Dynamic]])+IF(VLOOKUP('Table Seed Map'!$A$16,SeedMap[],9,0),VLOOKUP('Table Seed Map'!$A$16,SeedMap[],9,0),0))</calculatedColumnFormula>
    </tableColumn>
    <tableColumn id="8" name="Field ID" dataDxfId="171">
      <calculatedColumnFormula>IFERROR(VLOOKUP(FieldDynamic[[#This Row],[Field for Dynamic]],FormFields[[Field Name]:[ID]],2,0),"form_field")</calculatedColumnFormula>
    </tableColumn>
    <tableColumn id="2" name="Type" dataDxfId="170"/>
    <tableColumn id="3" name="Depend Field" dataDxfId="169"/>
    <tableColumn id="4" name="Alter On" dataDxfId="168"/>
    <tableColumn id="5" name="Value" dataDxfId="167"/>
    <tableColumn id="11" name="Values" dataDxfId="166"/>
    <tableColumn id="6" name="Operator" dataDxfId="165"/>
  </tableColumns>
  <tableStyleInfo name="TableStyleLight6" showFirstColumn="0" showLastColumn="0" showRowStripes="1" showColumnStripes="0"/>
</table>
</file>

<file path=xl/tables/table21.xml><?xml version="1.0" encoding="utf-8"?>
<table xmlns="http://schemas.openxmlformats.org/spreadsheetml/2006/main" id="31" name="FormDataMapping" displayName="FormDataMapping" ref="DY1:ES2" totalsRowShown="0" headerRowDxfId="164" dataDxfId="163">
  <autoFilter ref="DY1:ES2"/>
  <tableColumns count="21">
    <tableColumn id="1" name="Form for Data Mapping" dataDxfId="162"/>
    <tableColumn id="2" name="Resource Data" dataDxfId="161"/>
    <tableColumn id="3" name="Form Field" dataDxfId="160"/>
    <tableColumn id="4" name="Primary" dataDxfId="159">
      <calculatedColumnFormula>'Table Seed Map'!$A$20&amp;"-"&amp;-1+COUNTA($DY$1:FormDataMapping[[#This Row],[Form for Data Mapping]])</calculatedColumnFormula>
    </tableColumn>
    <tableColumn id="5" name="ID" dataDxfId="158">
      <calculatedColumnFormula>IF(FormDataMapping[[#This Row],[Form for Data Mapping]]="","id",-1+COUNTA($DY$1:FormDataMapping[[#This Row],[Form for Data Mapping]])+VLOOKUP('Table Seed Map'!$A$20,SeedMap[],9,0))</calculatedColumnFormula>
    </tableColumn>
    <tableColumn id="6" name="Form" dataDxfId="157">
      <calculatedColumnFormula>IF(FormDataMapping[[#This Row],[Form for Data Mapping]]="","resource_form",VLOOKUP(FormDataMapping[Form for Data Mapping],ResourceForms[[FormName]:[ID]],4,0))</calculatedColumnFormula>
    </tableColumn>
    <tableColumn id="7" name="Data" dataDxfId="156">
      <calculatedColumnFormula>IF(FormDataMapping[[#This Row],[Form for Data Mapping]]="","resource_data",VLOOKUP(FormDataMapping[Resource Data],ResourceData[[DataDisplayName]:[ID]],8,0))</calculatedColumnFormula>
    </tableColumn>
    <tableColumn id="8" name="Field" dataDxfId="155">
      <calculatedColumnFormula>IF(FormDataMapping[[#This Row],[Form for Data Mapping]]="","form_field",VLOOKUP(FormDataMapping[Form Field],FormFields[[Field Name]:[ID]],2,0))</calculatedColumnFormula>
    </tableColumn>
    <tableColumn id="9" name="Attribute" dataDxfId="154"/>
    <tableColumn id="10" name="R0" dataDxfId="153">
      <calculatedColumnFormula>IF(FormDataMapping[[#This Row],[Form for Data Mapping]]="","relation",IFERROR(VLOOKUP(FormDataMapping[Relation],RelationTable[[Display]:[RELID]],2,0),""))</calculatedColumnFormula>
    </tableColumn>
    <tableColumn id="11" name="R1" dataDxfId="152">
      <calculatedColumnFormula>IF(FormDataMapping[[#This Row],[Form for Data Mapping]]="","nest_relation1",IFERROR(VLOOKUP(FormDataMapping[Rel1],RelationTable[[Display]:[RELID]],2,0),""))</calculatedColumnFormula>
    </tableColumn>
    <tableColumn id="12" name="R2" dataDxfId="151">
      <calculatedColumnFormula>IF(FormDataMapping[[#This Row],[Form for Data Mapping]]="","nest_relation2",IFERROR(VLOOKUP(FormDataMapping[Rel2],RelationTable[[Display]:[RELID]],2,0),""))</calculatedColumnFormula>
    </tableColumn>
    <tableColumn id="13" name="R3" dataDxfId="150">
      <calculatedColumnFormula>IF(FormDataMapping[[#This Row],[Form for Data Mapping]]="","nest_relation3",IFERROR(VLOOKUP(FormDataMapping[Rel3],RelationTable[[Display]:[RELID]],2,0),""))</calculatedColumnFormula>
    </tableColumn>
    <tableColumn id="14" name="R4" dataDxfId="149">
      <calculatedColumnFormula>IF(FormDataMapping[[#This Row],[Form for Data Mapping]]="","nest_relation4",IFERROR(VLOOKUP(FormDataMapping[Rel4],RelationTable[[Display]:[RELID]],2,0),""))</calculatedColumnFormula>
    </tableColumn>
    <tableColumn id="15" name="R5" dataDxfId="148">
      <calculatedColumnFormula>IF(FormDataMapping[[#This Row],[Form for Data Mapping]]="","nest_relation5",IFERROR(VLOOKUP(FormDataMapping[Rel5],RelationTable[[Display]:[RELID]],2,0),""))</calculatedColumnFormula>
    </tableColumn>
    <tableColumn id="16" name="Relation" dataDxfId="147"/>
    <tableColumn id="17" name="Rel1" dataDxfId="146"/>
    <tableColumn id="18" name="Rel2" dataDxfId="145"/>
    <tableColumn id="19" name="Rel3" dataDxfId="144"/>
    <tableColumn id="20" name="Rel4" dataDxfId="143"/>
    <tableColumn id="21" name="Rel5" dataDxfId="142"/>
  </tableColumns>
  <tableStyleInfo name="TableStyleLight19" showFirstColumn="0" showLastColumn="0" showRowStripes="1" showColumnStripes="0"/>
</table>
</file>

<file path=xl/tables/table22.xml><?xml version="1.0" encoding="utf-8"?>
<table xmlns="http://schemas.openxmlformats.org/spreadsheetml/2006/main" id="4" name="MigrationRenamer" displayName="MigrationRenamer" ref="A1:H44" totalsRowShown="0" dataDxfId="141">
  <autoFilter ref="A1:H44"/>
  <tableColumns count="8">
    <tableColumn id="1" name="No" dataDxfId="140">
      <calculatedColumnFormula>IFERROR($A1+1,1)</calculatedColumnFormula>
    </tableColumn>
    <tableColumn id="2" name="Filename" dataDxfId="139"/>
    <tableColumn id="9" name="Table" dataDxfId="138">
      <calculatedColumnFormula>MID(MigrationRenamer[Filename],26,LEN(MigrationRenamer[Filename])-35)</calculatedColumnFormula>
    </tableColumn>
    <tableColumn id="3" name="Date Part" dataDxfId="137">
      <calculatedColumnFormula>"2019_01_24_"</calculatedColumnFormula>
    </tableColumn>
    <tableColumn id="4" name="Sequence" dataDxfId="136">
      <calculatedColumnFormula>TEXT(MATCH(MigrationRenamer[[#This Row],[Table]],Tables[Table],0),"000000")</calculatedColumnFormula>
    </tableColumn>
    <tableColumn id="5" name="Name Part" dataDxfId="135">
      <calculatedColumnFormula>RIGHT(MigrationRenamer[Filename],LEN(MigrationRenamer[Filename])-LEN(MigrationRenamer[Date Part])-LEN(MigrationRenamer[Sequence]))</calculatedColumnFormula>
    </tableColumn>
    <tableColumn id="6" name="New Name" dataDxfId="134">
      <calculatedColumnFormula>MigrationRenamer[Date Part]&amp;MigrationRenamer[Sequence]&amp;MigrationRenamer[Name Part]</calculatedColumnFormula>
    </tableColumn>
    <tableColumn id="7" name="CMD" dataDxfId="133">
      <calculatedColumnFormula>IFERROR("ren "&amp;MigrationRenamer[Filename]&amp;" "&amp;MigrationRenamer[New Name],"del "&amp;MigrationRenamer[Filename])</calculatedColumnFormula>
    </tableColumn>
  </tableColumns>
  <tableStyleInfo name="TableStyleLight21" showFirstColumn="0" showLastColumn="0" showRowStripes="1" showColumnStripes="0"/>
</table>
</file>

<file path=xl/tables/table23.xml><?xml version="1.0" encoding="utf-8"?>
<table xmlns="http://schemas.openxmlformats.org/spreadsheetml/2006/main" id="18" name="ResourceList" displayName="ResourceList" ref="A1:K12" totalsRowShown="0" dataDxfId="132">
  <autoFilter ref="A1:K12"/>
  <tableColumns count="11">
    <tableColumn id="1" name="Primary" dataDxfId="131">
      <calculatedColumnFormula>'Table Seed Map'!$A$24&amp;"-"&amp;COUNTA($B$1:ResourceList[[#This Row],[Resource Name]])-1</calculatedColumnFormula>
    </tableColumn>
    <tableColumn id="2" name="Resource Name" dataDxfId="130"/>
    <tableColumn id="8" name="ListDisplayName" dataDxfId="129">
      <calculatedColumnFormula>ResourceList[[#This Row],[Resource Name]]&amp;"/"&amp;ResourceList[[#This Row],[Name]]</calculatedColumnFormula>
    </tableColumn>
    <tableColumn id="3" name="No" dataDxfId="128">
      <calculatedColumnFormula>IF(ResourceList[[#This Row],[Resource Name]]="","id",COUNTA($B$2:ResourceList[[#This Row],[Resource Name]])+IF(ISNUMBER(VLOOKUP('Table Seed Map'!$A$24,SeedMap[],9,0)),VLOOKUP('Table Seed Map'!$A$24,SeedMap[],9,0),0))</calculatedColumnFormula>
    </tableColumn>
    <tableColumn id="7" name="Resource" dataDxfId="127">
      <calculatedColumnFormula>IFERROR(VLOOKUP(ResourceList[[#This Row],[Resource Name]],ResourceTable[[RName]:[No]],3,0),"resource")</calculatedColumnFormula>
    </tableColumn>
    <tableColumn id="4" name="Name" dataDxfId="126"/>
    <tableColumn id="5" name="Description" dataDxfId="125"/>
    <tableColumn id="6" name="Title" dataDxfId="124"/>
    <tableColumn id="11" name="Identity" dataDxfId="123"/>
    <tableColumn id="10" name="Page" dataDxfId="122"/>
    <tableColumn id="9" name="ID" dataDxfId="121">
      <calculatedColumnFormula>ResourceList[No]</calculatedColumnFormula>
    </tableColumn>
  </tableColumns>
  <tableStyleInfo name="TableStyleLight12" showFirstColumn="0" showLastColumn="0" showRowStripes="1" showColumnStripes="0"/>
</table>
</file>

<file path=xl/tables/table24.xml><?xml version="1.0" encoding="utf-8"?>
<table xmlns="http://schemas.openxmlformats.org/spreadsheetml/2006/main" id="19" name="ListExtras" displayName="ListExtras" ref="M1:AD10" totalsRowShown="0" headerRowDxfId="120" dataDxfId="119">
  <autoFilter ref="M1:AD10"/>
  <tableColumns count="18">
    <tableColumn id="1" name="List Name" dataDxfId="118"/>
    <tableColumn id="2" name="LID" dataDxfId="117">
      <calculatedColumnFormula>VLOOKUP(ListExtras[[#This Row],[List Name]],ResourceList[[ListDisplayName]:[No]],2,0)</calculatedColumnFormula>
    </tableColumn>
    <tableColumn id="3" name="Scope Name" dataDxfId="116"/>
    <tableColumn id="4" name="Relation Name" dataDxfId="115"/>
    <tableColumn id="5" name="R1 Name" dataDxfId="114"/>
    <tableColumn id="6" name="R2 Name" dataDxfId="113"/>
    <tableColumn id="7" name="R3 Name" dataDxfId="112"/>
    <tableColumn id="8" name="Scope Primary" dataDxfId="111">
      <calculatedColumnFormula>'Table Seed Map'!$A$25&amp;"-"&amp;COUNT($W$1:ListExtras[[#This Row],[Scope ID]])</calculatedColumnFormula>
    </tableColumn>
    <tableColumn id="9" name="Scope Table ID" dataDxfId="110">
      <calculatedColumnFormula>IF(ListExtras[[#This Row],[LID]]=0,"id",IF(ListExtras[[#This Row],[Scope ID]]="","",COUNT($W$2:ListExtras[[#This Row],[Scope ID]])+IF(ISNUMBER(VLOOKUP('Table Seed Map'!$A$25,SeedMap[],9,0)),VLOOKUP('Table Seed Map'!$A$25,SeedMap[],9,0),0)))</calculatedColumnFormula>
    </tableColumn>
    <tableColumn id="10" name="Scope - Resource List" dataDxfId="109">
      <calculatedColumnFormula>IF(ListExtras[[#This Row],[LID]]=0,"resource_list",ListExtras[[#This Row],[LID]])</calculatedColumnFormula>
    </tableColumn>
    <tableColumn id="11" name="Scope ID" dataDxfId="108">
      <calculatedColumnFormula>IFERROR(VLOOKUP(ListExtras[[#This Row],[Scope Name]],ResourceScopes[[ScopesDisplayNames]:[No]],2,0),IF(ListExtras[[#This Row],[LID]]=0,"scope",""))</calculatedColumnFormula>
    </tableColumn>
    <tableColumn id="12" name="Relation Primary" dataDxfId="107">
      <calculatedColumnFormula>'Table Seed Map'!$A$26&amp;"-"&amp;COUNT($AA$1:ListExtras[[#This Row],[Relation]])</calculatedColumnFormula>
    </tableColumn>
    <tableColumn id="13" name="Relation Table ID" dataDxfId="106">
      <calculatedColumnFormula>IF(ListExtras[[#This Row],[LID]]=0,"id",IF(ListExtras[[#This Row],[Relation]]="","",COUNT($AA$2:ListExtras[[#This Row],[Relation]])+IF(ISNUMBER(VLOOKUP('Table Seed Map'!$A$26,SeedMap[],9,0)),VLOOKUP('Table Seed Map'!$A$26,SeedMap[],9,0),0)))</calculatedColumnFormula>
    </tableColumn>
    <tableColumn id="14" name="Relation - Resource List" dataDxfId="105">
      <calculatedColumnFormula>IF(ListExtras[[#This Row],[LID]]=0,"resource_list",ListExtras[[#This Row],[LID]])</calculatedColumnFormula>
    </tableColumn>
    <tableColumn id="15" name="Relation" dataDxfId="104">
      <calculatedColumnFormula>IFERROR(VLOOKUP(ListExtras[[#This Row],[Relation Name]],RelationTable[[Display]:[RELID]],2,0),IF(ListExtras[[#This Row],[LID]]=0,"relation",""))</calculatedColumnFormula>
    </tableColumn>
    <tableColumn id="16" name="R1" dataDxfId="103">
      <calculatedColumnFormula>IFERROR(VLOOKUP(ListExtras[[#This Row],[R1 Name]],RelationTable[[Display]:[RELID]],2,0),IF(ListExtras[[#This Row],[LID]]=0,"nest_relation1",""))</calculatedColumnFormula>
    </tableColumn>
    <tableColumn id="17" name="R2" dataDxfId="102">
      <calculatedColumnFormula>IFERROR(VLOOKUP(ListExtras[[#This Row],[R2 Name]],RelationTable[[Display]:[RELID]],2,0),IF(ListExtras[[#This Row],[LID]]=0,"nest_relation2",""))</calculatedColumnFormula>
    </tableColumn>
    <tableColumn id="18" name="R3" dataDxfId="101">
      <calculatedColumnFormula>IFERROR(VLOOKUP(ListExtras[[#This Row],[R3 Name]],RelationTable[[Display]:[RELID]],2,0),IF(ListExtras[[#This Row],[LID]]=0,"nest_relation3",""))</calculatedColumnFormula>
    </tableColumn>
  </tableColumns>
  <tableStyleInfo name="TableStyleLight1" showFirstColumn="0" showLastColumn="0" showRowStripes="1" showColumnStripes="0"/>
</table>
</file>

<file path=xl/tables/table25.xml><?xml version="1.0" encoding="utf-8"?>
<table xmlns="http://schemas.openxmlformats.org/spreadsheetml/2006/main" id="20" name="ListSearch" displayName="ListSearch" ref="AF1:AR28" totalsRowShown="0" headerRowDxfId="100" dataDxfId="99">
  <autoFilter ref="AF1:AR28"/>
  <tableColumns count="13">
    <tableColumn id="13" name="Primary" dataDxfId="98">
      <calculatedColumnFormula>'Table Seed Map'!$A$28&amp;"-"&amp;COUNTA($AH$1:ListSearch[[#This Row],[No]])-2</calculatedColumnFormula>
    </tableColumn>
    <tableColumn id="1" name="List Name for Search" dataDxfId="97"/>
    <tableColumn id="2" name="No" dataDxfId="96">
      <calculatedColumnFormula>IF(ListSearch[[#This Row],[List Name for Search]]="","id",-1+COUNTA($AG$1:ListSearch[[#This Row],[List Name for Search]])+IF(ISNUMBER(VLOOKUP('Table Seed Map'!$A$28,SeedMap[],9,0)),VLOOKUP('Table Seed Map'!$A$28,SeedMap[],9,0),0))</calculatedColumnFormula>
    </tableColumn>
    <tableColumn id="3" name="List ID" dataDxfId="95">
      <calculatedColumnFormula>IFERROR(VLOOKUP(ListSearch[[#This Row],[List Name for Search]],ResourceList[[ListDisplayName]:[No]],2,0),"resource_list")</calculatedColumnFormula>
    </tableColumn>
    <tableColumn id="4" name="Field" dataDxfId="94"/>
    <tableColumn id="5" name="REL" dataDxfId="93">
      <calculatedColumnFormula>IF(ListSearch[[#This Row],[List Name for Search]]="","relation",IFERROR(VLOOKUP(ListSearch[[#This Row],[Relation]],RelationTable[[Display]:[RELID]],2,0),""))</calculatedColumnFormula>
    </tableColumn>
    <tableColumn id="6" name="R1" dataDxfId="92">
      <calculatedColumnFormula>IF(ListSearch[[#This Row],[List Name for Search]]="","nest_relation1",IFERROR(VLOOKUP(ListSearch[[#This Row],[Relation 1]],RelationTable[[Display]:[RELID]],2,0),""))</calculatedColumnFormula>
    </tableColumn>
    <tableColumn id="7" name="R2" dataDxfId="91">
      <calculatedColumnFormula>IF(ListSearch[[#This Row],[List Name for Search]]="","nest_relation2",IFERROR(VLOOKUP(ListSearch[[#This Row],[Relation 2]],RelationTable[[Display]:[RELID]],2,0),""))</calculatedColumnFormula>
    </tableColumn>
    <tableColumn id="8" name="R3" dataDxfId="90">
      <calculatedColumnFormula>IF(ListSearch[[#This Row],[List Name for Search]]="","nest_relation3",IFERROR(VLOOKUP(ListSearch[[#This Row],[Relation 3]],RelationTable[[Display]:[RELID]],2,0),""))</calculatedColumnFormula>
    </tableColumn>
    <tableColumn id="9" name="Relation" dataDxfId="89"/>
    <tableColumn id="10" name="Relation 1" dataDxfId="88"/>
    <tableColumn id="11" name="Relation 2" dataDxfId="87"/>
    <tableColumn id="12" name="Relation 3" dataDxfId="86"/>
  </tableColumns>
  <tableStyleInfo name="TableStyleLight2" showFirstColumn="0" showLastColumn="0" showRowStripes="1" showColumnStripes="0"/>
</table>
</file>

<file path=xl/tables/table26.xml><?xml version="1.0" encoding="utf-8"?>
<table xmlns="http://schemas.openxmlformats.org/spreadsheetml/2006/main" id="21" name="ListLayout" displayName="ListLayout" ref="AT1:BE25" totalsRowShown="0" headerRowDxfId="85" dataDxfId="84">
  <autoFilter ref="AT1:BE25"/>
  <tableColumns count="12">
    <tableColumn id="13" name="Primary" dataDxfId="83">
      <calculatedColumnFormula>'Table Seed Map'!$A$27&amp;"-"&amp;COUNTA($AV$1:ListLayout[[#This Row],[No]])-2</calculatedColumnFormula>
    </tableColumn>
    <tableColumn id="1" name="List Name for Layout" dataDxfId="82"/>
    <tableColumn id="2" name="No" dataDxfId="81">
      <calculatedColumnFormula>IF(ListLayout[[#This Row],[List Name for Layout]]="","id",COUNTA($AU$2:ListLayout[[#This Row],[List Name for Layout]])+IF(ISNUMBER(VLOOKUP('Table Seed Map'!$A$27,SeedMap[],9,0)),VLOOKUP('Table Seed Map'!$A$27,SeedMap[],9,0),0))</calculatedColumnFormula>
    </tableColumn>
    <tableColumn id="3" name="List ID" dataDxfId="80">
      <calculatedColumnFormula>IFERROR(VLOOKUP(ListLayout[[#This Row],[List Name for Layout]],ResourceList[[ListDisplayName]:[No]],2,0),"resource_list")</calculatedColumnFormula>
    </tableColumn>
    <tableColumn id="14" name="Label" dataDxfId="79"/>
    <tableColumn id="4" name="Field" dataDxfId="78"/>
    <tableColumn id="5" name="REL" dataDxfId="77">
      <calculatedColumnFormula>IF(ListLayout[[#This Row],[List Name for Layout]]="","relation",IFERROR(VLOOKUP(ListLayout[[#This Row],[Relation]],RelationTable[[Display]:[RELID]],2,0),""))</calculatedColumnFormula>
    </tableColumn>
    <tableColumn id="6" name="R1" dataDxfId="76">
      <calculatedColumnFormula>IF(ListLayout[[#This Row],[List Name for Layout]]="","nest_relation1",IFERROR(VLOOKUP(ListLayout[[#This Row],[Relation 1]],RelationTable[[Display]:[RELID]],2,0),""))</calculatedColumnFormula>
    </tableColumn>
    <tableColumn id="7" name="R2" dataDxfId="75">
      <calculatedColumnFormula>IF(ListLayout[[#This Row],[List Name for Layout]]="","nest_relation2",IFERROR(VLOOKUP(ListLayout[[#This Row],[Relation 2]],RelationTable[[Display]:[RELID]],2,0),""))</calculatedColumnFormula>
    </tableColumn>
    <tableColumn id="9" name="Relation" dataDxfId="74"/>
    <tableColumn id="10" name="Relation 1" dataDxfId="73"/>
    <tableColumn id="11" name="Relation 2" dataDxfId="72"/>
  </tableColumns>
  <tableStyleInfo name="TableStyleLight2" showFirstColumn="0" showLastColumn="0" showRowStripes="1" showColumnStripes="0"/>
</table>
</file>

<file path=xl/tables/table27.xml><?xml version="1.0" encoding="utf-8"?>
<table xmlns="http://schemas.openxmlformats.org/spreadsheetml/2006/main" id="22" name="ResourceData" displayName="ResourceData" ref="A1:J3" totalsRowShown="0" dataDxfId="71">
  <autoFilter ref="A1:J3"/>
  <tableColumns count="10">
    <tableColumn id="1" name="Primary" dataDxfId="70">
      <calculatedColumnFormula>'Table Seed Map'!$A$29&amp;"-"&amp;COUNTA($E$1:ResourceData[[#This Row],[Resource]])-2</calculatedColumnFormula>
    </tableColumn>
    <tableColumn id="2" name="Resource Name" dataDxfId="69"/>
    <tableColumn id="8" name="DataDisplayName" dataDxfId="68">
      <calculatedColumnFormula>ResourceData[[#This Row],[Resource Name]]&amp;"/"&amp;ResourceData[[#This Row],[Name]]</calculatedColumnFormula>
    </tableColumn>
    <tableColumn id="3" name="No" dataDxfId="67">
      <calculatedColumnFormula>IF(COUNTA($E$1:ResourceData[[#This Row],[Resource]])=2,"id",-2+COUNTA($E$1:ResourceData[[#This Row],[Resource]])+IF(ISNUMBER(VLOOKUP('Table Seed Map'!$A$29,SeedMap[],9,0)),VLOOKUP('Table Seed Map'!$A$29,SeedMap[],9,0),0))</calculatedColumnFormula>
    </tableColumn>
    <tableColumn id="7" name="Resource" dataDxfId="66">
      <calculatedColumnFormula>IFERROR(VLOOKUP(ResourceData[[#This Row],[Resource Name]],ResourceTable[[RName]:[No]],3,0),"resource")</calculatedColumnFormula>
    </tableColumn>
    <tableColumn id="4" name="Name" dataDxfId="65"/>
    <tableColumn id="5" name="Description" dataDxfId="64"/>
    <tableColumn id="6" name="Title Field" dataDxfId="63"/>
    <tableColumn id="9" name="Method" dataDxfId="62"/>
    <tableColumn id="10" name="ID" dataDxfId="61">
      <calculatedColumnFormula>ResourceData[No]</calculatedColumnFormula>
    </tableColumn>
  </tableColumns>
  <tableStyleInfo name="TableStyleLight12" showFirstColumn="0" showLastColumn="0" showRowStripes="1" showColumnStripes="0"/>
</table>
</file>

<file path=xl/tables/table28.xml><?xml version="1.0" encoding="utf-8"?>
<table xmlns="http://schemas.openxmlformats.org/spreadsheetml/2006/main" id="23" name="DataExtra" displayName="DataExtra" ref="L1:AC4" totalsRowShown="0" headerRowDxfId="60" dataDxfId="59">
  <autoFilter ref="L1:AC4"/>
  <tableColumns count="18">
    <tableColumn id="1" name="Data Name" dataDxfId="58"/>
    <tableColumn id="2" name="DID" dataDxfId="57">
      <calculatedColumnFormula>VLOOKUP(DataExtra[[#This Row],[Data Name]],ResourceData[[DataDisplayName]:[No]],2,0)</calculatedColumnFormula>
    </tableColumn>
    <tableColumn id="3" name="Scope Name" dataDxfId="56"/>
    <tableColumn id="4" name="Relation Name" dataDxfId="55"/>
    <tableColumn id="5" name="R1 Name" dataDxfId="54"/>
    <tableColumn id="6" name="R2 Name" dataDxfId="53"/>
    <tableColumn id="7" name="R3 Name" dataDxfId="52"/>
    <tableColumn id="8" name="Scope Primary" dataDxfId="51">
      <calculatedColumnFormula>'Table Seed Map'!$A$30&amp;"-"&amp;COUNT($V$1:DataExtra[[#This Row],[Scope ID]])</calculatedColumnFormula>
    </tableColumn>
    <tableColumn id="9" name="Scope Table ID" dataDxfId="50">
      <calculatedColumnFormula>IF(DataExtra[[#This Row],[DID]]=0,"id",IF(DataExtra[[#This Row],[Scope ID]]="","",COUNT($V$2:DataExtra[[#This Row],[Scope ID]])+IF(ISNUMBER(VLOOKUP('Table Seed Map'!$A$30,SeedMap[],9,0)),VLOOKUP('Table Seed Map'!$A$30,SeedMap[],9,0),0)))</calculatedColumnFormula>
    </tableColumn>
    <tableColumn id="10" name="Scope - Resource Data" dataDxfId="49">
      <calculatedColumnFormula>IF(DataExtra[[#This Row],[DID]]=0,"resource_data",DataExtra[[#This Row],[DID]])</calculatedColumnFormula>
    </tableColumn>
    <tableColumn id="11" name="Scope ID" dataDxfId="48">
      <calculatedColumnFormula>IFERROR(VLOOKUP(DataExtra[[#This Row],[Scope Name]],ResourceScopes[[ScopesDisplayNames]:[No]],2,0),IF(DataExtra[[#This Row],[DID]]=0,"scope",""))</calculatedColumnFormula>
    </tableColumn>
    <tableColumn id="12" name="Relation Primary" dataDxfId="47">
      <calculatedColumnFormula>'Table Seed Map'!$A$31&amp;"-"&amp;COUNT($Z$1:DataExtra[[#This Row],[Relation]])</calculatedColumnFormula>
    </tableColumn>
    <tableColumn id="13" name="Relation Table ID" dataDxfId="46">
      <calculatedColumnFormula>IF(DataExtra[[#This Row],[DID]]=0,"id",IF(DataExtra[[#This Row],[Relation]]="","",COUNT($Z$2:DataExtra[[#This Row],[Relation]])+IF(ISNUMBER(VLOOKUP('Table Seed Map'!$A$31,SeedMap[],9,0)),VLOOKUP('Table Seed Map'!$A$31,SeedMap[],9,0),0)))</calculatedColumnFormula>
    </tableColumn>
    <tableColumn id="14" name="Relation - Resource Data" dataDxfId="45">
      <calculatedColumnFormula>IF(DataExtra[[#This Row],[DID]]=0,"resource_data",DataExtra[[#This Row],[DID]])</calculatedColumnFormula>
    </tableColumn>
    <tableColumn id="15" name="Relation" dataDxfId="44">
      <calculatedColumnFormula>IFERROR(VLOOKUP(DataExtra[[#This Row],[Relation Name]],RelationTable[[Display]:[RELID]],2,0),IF(DataExtra[[#This Row],[DID]]=0,"relation",""))</calculatedColumnFormula>
    </tableColumn>
    <tableColumn id="16" name="R1" dataDxfId="43">
      <calculatedColumnFormula>IFERROR(VLOOKUP(DataExtra[[#This Row],[R1 Name]],RelationTable[[Display]:[RELID]],2,0),IF(DataExtra[[#This Row],[DID]]=0,"nest_relation1",""))</calculatedColumnFormula>
    </tableColumn>
    <tableColumn id="17" name="R2" dataDxfId="42">
      <calculatedColumnFormula>IFERROR(VLOOKUP(DataExtra[[#This Row],[R2 Name]],RelationTable[[Display]:[RELID]],2,0),IF(DataExtra[[#This Row],[DID]]=0,"nest_relation2",""))</calculatedColumnFormula>
    </tableColumn>
    <tableColumn id="18" name="R3" dataDxfId="41">
      <calculatedColumnFormula>IFERROR(VLOOKUP(DataExtra[[#This Row],[R3 Name]],RelationTable[[Display]:[RELID]],2,0),IF(DataExtra[[#This Row],[DID]]=0,"nest_relation3",""))</calculatedColumnFormula>
    </tableColumn>
  </tableColumns>
  <tableStyleInfo name="TableStyleLight1" showFirstColumn="0" showLastColumn="0" showRowStripes="1" showColumnStripes="0"/>
</table>
</file>

<file path=xl/tables/table29.xml><?xml version="1.0" encoding="utf-8"?>
<table xmlns="http://schemas.openxmlformats.org/spreadsheetml/2006/main" id="24" name="DataViewSection" displayName="DataViewSection" ref="AE1:AN5" totalsRowShown="0" headerRowDxfId="40" dataDxfId="39">
  <autoFilter ref="AE1:AN5"/>
  <tableColumns count="10">
    <tableColumn id="13" name="Primary" dataDxfId="38">
      <calculatedColumnFormula>'Table Seed Map'!$A$32&amp;"-"&amp;COUNTA($AF$1:DataViewSection[[#This Row],[Data Name for Layout]])-1</calculatedColumnFormula>
    </tableColumn>
    <tableColumn id="1" name="Data Name for Layout" dataDxfId="37"/>
    <tableColumn id="17" name="DataSectionDisplayName" dataDxfId="36">
      <calculatedColumnFormula>DataViewSection[[#This Row],[Data Name for Layout]]&amp;"/"&amp;COUNTIF($AI$1:DataViewSection[[#This Row],[Data ID]],DataViewSection[[#This Row],[Data ID]])</calculatedColumnFormula>
    </tableColumn>
    <tableColumn id="2" name="No" dataDxfId="35">
      <calculatedColumnFormula>IF(DataViewSection[[#This Row],[Data Name for Layout]]="","id",-1+COUNTA($AF$1:DataViewSection[[#This Row],[Data Name for Layout]])+VLOOKUP('Table Seed Map'!$A$32,SeedMap[],9,0))</calculatedColumnFormula>
    </tableColumn>
    <tableColumn id="3" name="Data ID" dataDxfId="34">
      <calculatedColumnFormula>IFERROR(VLOOKUP(DataViewSection[[#This Row],[Data Name for Layout]],ResourceData[[DataDisplayName]:[No]],2,0),"resource_data")</calculatedColumnFormula>
    </tableColumn>
    <tableColumn id="14" name="Title" dataDxfId="33"/>
    <tableColumn id="15" name="Title Field" dataDxfId="32"/>
    <tableColumn id="16" name="Rel" dataDxfId="31">
      <calculatedColumnFormula>IFERROR(VLOOKUP(DataViewSection[[#This Row],[Relation]],RelationTable[[Display]:[RELID]],2,0),"")</calculatedColumnFormula>
    </tableColumn>
    <tableColumn id="4" name="Colspan" dataDxfId="30"/>
    <tableColumn id="9" name="Relation" dataDxfId="29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id="3" name="TableFields" displayName="TableFields" ref="A1:K36" totalsRowShown="0" dataDxfId="447">
  <autoFilter ref="A1:K36"/>
  <tableColumns count="11">
    <tableColumn id="2" name="Table" dataDxfId="446"/>
    <tableColumn id="3" name="Field" dataDxfId="445"/>
    <tableColumn id="5" name="Type" dataDxfId="444">
      <calculatedColumnFormula>VLOOKUP(TableFields[Field],Columns[],2,0)&amp;"("</calculatedColumnFormula>
    </tableColumn>
    <tableColumn id="4" name="Name" dataDxfId="443">
      <calculatedColumnFormula>IF(VLOOKUP(TableFields[Field],Columns[],3,0)&lt;&gt;"","'"&amp;VLOOKUP(TableFields[Field],Columns[],3,0)&amp;"'","")</calculatedColumnFormula>
    </tableColumn>
    <tableColumn id="6" name="Arg2" dataDxfId="442">
      <calculatedColumnFormula>IF(VLOOKUP(TableFields[Field],Columns[],4,0)&lt;&gt;0,", "&amp;IF(ISERR(SEARCH(",",VLOOKUP(TableFields[Field],Columns[],4,0))),"'"&amp;VLOOKUP(TableFields[Field],Columns[],4,0)&amp;"'",VLOOKUP(TableFields[Field],Columns[],4,0))&amp;")",")")</calculatedColumnFormula>
    </tableColumn>
    <tableColumn id="7" name="Method1" dataDxfId="441">
      <calculatedColumnFormula>IF(VLOOKUP(TableFields[Field],Columns[],5,0)=0,"","-&gt;"&amp;VLOOKUP(TableFields[Field],Columns[],5,0))</calculatedColumnFormula>
    </tableColumn>
    <tableColumn id="8" name="Method2" dataDxfId="440">
      <calculatedColumnFormula>IF(VLOOKUP(TableFields[Field],Columns[],6,0)=0,"","-&gt;"&amp;VLOOKUP(TableFields[Field],Columns[],6,0))</calculatedColumnFormula>
    </tableColumn>
    <tableColumn id="9" name="Method3" dataDxfId="439">
      <calculatedColumnFormula>IF(VLOOKUP(TableFields[Field],Columns[],7,0)=0,"","-&gt;"&amp;VLOOKUP(TableFields[Field],Columns[],7,0))</calculatedColumnFormula>
    </tableColumn>
    <tableColumn id="10" name="Method4" dataDxfId="438">
      <calculatedColumnFormula>IF(VLOOKUP(TableFields[Field],Columns[],8,0)=0,"","-&gt;"&amp;VLOOKUP(TableFields[Field],Columns[],8,0))</calculatedColumnFormula>
    </tableColumn>
    <tableColumn id="11" name="Method5" dataDxfId="437">
      <calculatedColumnFormula>IF(VLOOKUP(TableFields[Field],Columns[],9,0)=0,"","-&gt;"&amp;VLOOKUP(TableFields[Field],Columns[],9,0))</calculatedColumnFormula>
    </tableColumn>
    <tableColumn id="12" name="Statement" dataDxfId="436">
      <calculatedColumnFormula>"$table-&gt;"&amp;TableFields[Type]&amp;TableFields[Name]&amp;TableFields[Arg2]&amp;TableFields[Method1]&amp;TableFields[Method2]&amp;TableFields[Method3]&amp;TableFields[Method4]&amp;TableFields[Method5]&amp;";"</calculatedColumnFormula>
    </tableColumn>
  </tableColumns>
  <tableStyleInfo name="TableStyleMedium4" showFirstColumn="0" showLastColumn="0" showRowStripes="1" showColumnStripes="0"/>
</table>
</file>

<file path=xl/tables/table30.xml><?xml version="1.0" encoding="utf-8"?>
<table xmlns="http://schemas.openxmlformats.org/spreadsheetml/2006/main" id="25" name="DataViewSectionItem" displayName="DataViewSectionItem" ref="AP1:AW10" totalsRowShown="0" headerRowDxfId="28" dataDxfId="27">
  <autoFilter ref="AP1:AW10"/>
  <tableColumns count="8">
    <tableColumn id="13" name="Primary" dataDxfId="26">
      <calculatedColumnFormula>'Table Seed Map'!$A$33&amp;"-"&amp;-1+COUNTA($AQ$1:DataViewSectionItem[[#This Row],[Data Section for Items]])</calculatedColumnFormula>
    </tableColumn>
    <tableColumn id="1" name="Data Section for Items" dataDxfId="25"/>
    <tableColumn id="2" name="No" dataDxfId="24">
      <calculatedColumnFormula>IF(DataViewSectionItem[[#This Row],[Data Section for Items]]="","id",-1+COUNTA($AQ$1:DataViewSectionItem[[#This Row],[Data Section for Items]])+IF(ISNUMBER(VLOOKUP('Table Seed Map'!$A$33,SeedMap[],9,0)),VLOOKUP('Table Seed Map'!$A$33,SeedMap[],9,0),0))</calculatedColumnFormula>
    </tableColumn>
    <tableColumn id="3" name="Section ID" dataDxfId="23">
      <calculatedColumnFormula>IF(DataViewSectionItem[[#This Row],[Data Section for Items]]="","section",VLOOKUP(DataViewSectionItem[[#This Row],[Data Section for Items]],DataViewSection[[DataSectionDisplayName]:[No]],2,0))</calculatedColumnFormula>
    </tableColumn>
    <tableColumn id="14" name="Label" dataDxfId="22"/>
    <tableColumn id="4" name="Attribute" dataDxfId="21"/>
    <tableColumn id="5" name="REL" dataDxfId="20">
      <calculatedColumnFormula>IF(DataViewSectionItem[[#This Row],[Data Section for Items]]="","relation",IFERROR(VLOOKUP(DataViewSectionItem[[#This Row],[Relation]],RelationTable[[Display]:[RELID]],2,0),""))</calculatedColumnFormula>
    </tableColumn>
    <tableColumn id="9" name="Relation" dataDxfId="19"/>
  </tableColumns>
  <tableStyleInfo name="TableStyleLight2" showFirstColumn="0" showLastColumn="0" showRowStripes="1" showColumnStripes="0"/>
</table>
</file>

<file path=xl/tables/table31.xml><?xml version="1.0" encoding="utf-8"?>
<table xmlns="http://schemas.openxmlformats.org/spreadsheetml/2006/main" id="27" name="RecordCount" displayName="RecordCount" ref="A1:H6" totalsRowShown="0" headerRowDxfId="18" dataDxfId="17">
  <autoFilter ref="A1:H6"/>
  <tableColumns count="8">
    <tableColumn id="1" name="Type" dataDxfId="16"/>
    <tableColumn id="2" name="Table Name" dataDxfId="15"/>
    <tableColumn id="3" name="Count Field" dataDxfId="14"/>
    <tableColumn id="4" name="Count Reduce" dataDxfId="13"/>
    <tableColumn id="5" name="Records" dataDxfId="12">
      <calculatedColumnFormula>COUNTA(INDIRECT(RecordCount[[#This Row],[Table Name]]&amp;"["&amp;RecordCount[[#This Row],[Count Field]]&amp;"]"))-RecordCount[[#This Row],[Count Reduce]]</calculatedColumnFormula>
    </tableColumn>
    <tableColumn id="7" name="Count Field Text" dataDxfId="11"/>
    <tableColumn id="8" name="Name Field Position" dataDxfId="10"/>
    <tableColumn id="9" name="ID Field Position" dataDxfId="9"/>
  </tableColumns>
  <tableStyleInfo name="TableStyleMedium9" showFirstColumn="0" showLastColumn="0" showRowStripes="1" showColumnStripes="0"/>
</table>
</file>

<file path=xl/tables/table32.xml><?xml version="1.0" encoding="utf-8"?>
<table xmlns="http://schemas.openxmlformats.org/spreadsheetml/2006/main" id="28" name="IDNMaps" displayName="IDNMaps" ref="J1:P501" totalsRowShown="0" headerRowDxfId="8" dataDxfId="7">
  <autoFilter ref="J1:P501"/>
  <tableColumns count="7">
    <tableColumn id="1" name="No" dataDxfId="6">
      <calculatedColumnFormula>IFERROR($J1+1,1)</calculatedColumnFormula>
    </tableColumn>
    <tableColumn id="2" name="Type" dataDxfId="5">
      <calculatedColumnFormula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calculatedColumnFormula>
    </tableColumn>
    <tableColumn id="3" name="Type Count" dataDxfId="4">
      <calculatedColumnFormula>IF(IDNMaps[[#This Row],[Type]]="","",COUNTIF($K$1:IDNMaps[[#This Row],[Type]],IDNMaps[[#This Row],[Type]]))</calculatedColumnFormula>
    </tableColumn>
    <tableColumn id="4" name="Primary" dataDxfId="3">
      <calculatedColumnFormula>IFERROR(VLOOKUP(IDNMaps[[#This Row],[Type]],RecordCount[],6,0)&amp;"-"&amp;IDNMaps[[#This Row],[Type Count]],"")</calculatedColumnFormula>
    </tableColumn>
    <tableColumn id="5" name="Name" dataDxfId="2">
      <calculatedColumnFormula>IFERROR(VLOOKUP(IDNMaps[[#This Row],[Primary]],INDIRECT(VLOOKUP(IDNMaps[[#This Row],[Type]],RecordCount[],2,0)),VLOOKUP(IDNMaps[[#This Row],[Type]],RecordCount[],7,0),0),"")</calculatedColumnFormula>
    </tableColumn>
    <tableColumn id="6" name="Display" dataDxfId="1">
      <calculatedColumnFormula>IF(IDNMaps[[#This Row],[Name]]="","","("&amp;IDNMaps[[#This Row],[Type]]&amp;") "&amp;IDNMaps[[#This Row],[Name]])</calculatedColumnFormula>
    </tableColumn>
    <tableColumn id="7" name="ID" dataDxfId="0">
      <calculatedColumnFormula>IFERROR(VLOOKUP(IDNMaps[[#This Row],[Primary]],INDIRECT(VLOOKUP(IDNMaps[[#This Row],[Type]],RecordCount[],2,0)),VLOOKUP(IDNMaps[[#This Row],[Type]],RecordCount[],8,0),0),"")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1" name="TableData" displayName="TableData" ref="A1:R19" totalsRowShown="0" headerRowDxfId="435" dataDxfId="434">
  <autoFilter ref="A1:R19"/>
  <tableColumns count="18">
    <tableColumn id="19" name="TRCode" dataDxfId="433">
      <calculatedColumnFormula>TableData[Table Name]&amp;"-"&amp;(COUNTIF($B$1:TableData[[#This Row],[Table Name]],TableData[[#This Row],[Table Name]])-1)</calculatedColumnFormula>
    </tableColumn>
    <tableColumn id="1" name="Table Name" dataDxfId="432"/>
    <tableColumn id="2" name="Record No" dataDxfId="431">
      <calculatedColumnFormula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calculatedColumnFormula>
    </tableColumn>
    <tableColumn id="3" name="1" dataDxfId="430"/>
    <tableColumn id="4" name="2" dataDxfId="429"/>
    <tableColumn id="5" name="3" dataDxfId="428"/>
    <tableColumn id="6" name="4" dataDxfId="427"/>
    <tableColumn id="7" name="5" dataDxfId="426"/>
    <tableColumn id="8" name="6" dataDxfId="425"/>
    <tableColumn id="9" name="7" dataDxfId="424"/>
    <tableColumn id="10" name="8" dataDxfId="423"/>
    <tableColumn id="11" name="9" dataDxfId="422"/>
    <tableColumn id="12" name="10" dataDxfId="421"/>
    <tableColumn id="13" name="11" dataDxfId="420"/>
    <tableColumn id="14" name="12" dataDxfId="419"/>
    <tableColumn id="15" name="13" dataDxfId="418"/>
    <tableColumn id="16" name="14" dataDxfId="417"/>
    <tableColumn id="17" name="15" dataDxfId="416"/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id="10" name="SeedMap" displayName="SeedMap" ref="A1:L48" totalsRowShown="0" dataDxfId="415">
  <autoFilter ref="A1:L48"/>
  <tableColumns count="12">
    <tableColumn id="1" name="Name" dataDxfId="414"/>
    <tableColumn id="3" name="Table Name" dataDxfId="413"/>
    <tableColumn id="20" name="NS" dataDxfId="412">
      <calculatedColumnFormula>VLOOKUP(SeedMap[Table Name],Tables[],4,0)</calculatedColumnFormula>
    </tableColumn>
    <tableColumn id="21" name="Model" dataDxfId="411">
      <calculatedColumnFormula>VLOOKUP(SeedMap[Table Name],Tables[],5,0)</calculatedColumnFormula>
    </tableColumn>
    <tableColumn id="6" name="Data Table" dataDxfId="410"/>
    <tableColumn id="7" name="Data Range" dataDxfId="409"/>
    <tableColumn id="8" name="Skip Columns" dataDxfId="408"/>
    <tableColumn id="4" name="Query Method" dataDxfId="407"/>
    <tableColumn id="2" name="Last ID" dataDxfId="406"/>
    <tableColumn id="5" name="AI Change Query" dataDxfId="405">
      <calculatedColumnFormula>IF(ISNUMBER(SeedMap[Last ID]),"\DB::statement('ALTER TABLE `" &amp;VLOOKUP(SeedMap[[#This Row],[Table Name]],Tables[[Name]:[Table]],2,0) &amp; "`  AUTO_INCREMENT=" &amp; SeedMap[Last ID]+1&amp;"');","")</calculatedColumnFormula>
    </tableColumn>
    <tableColumn id="9" name="Reset" dataDxfId="404">
      <calculatedColumnFormula>IF(SeedMap[[#This Row],[Query Method]]="truncate","","\DB::statement('DELETE FROM "&amp;VLOOKUP(SeedMap[[#This Row],[Table Name]],Tables[[Name]:[Table]],2,0)&amp;" WHERE id &gt; "&amp;SeedMap[[#This Row],[Last ID]]&amp;"');")</calculatedColumnFormula>
    </tableColumn>
    <tableColumn id="10" name="Init" dataDxfId="403">
      <calculatedColumnFormula>IF(SeedMap[[#This Row],[Query Method]]="truncate","","\DB::statement('ALTER TABLE `" &amp;VLOOKUP(SeedMap[[#This Row],[Table Name]],Tables[[Name]:[Table]],2,0) &amp; "` AUTO_INCREMENT=1');")</calculatedColumnFormula>
    </tableColumn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id="8" name="ResourceTable" displayName="ResourceTable" ref="A1:M7" totalsRowShown="0" dataDxfId="402">
  <autoFilter ref="A1:M7"/>
  <tableColumns count="13">
    <tableColumn id="11" name="Primary" dataDxfId="401">
      <calculatedColumnFormula>Page&amp;"-"&amp;(COUNTA($E$1:ResourceTable[[#This Row],[Name]])-2)</calculatedColumnFormula>
    </tableColumn>
    <tableColumn id="12" name="RName" dataDxfId="400">
      <calculatedColumnFormula>ResourceTable[[#This Row],[Name]]</calculatedColumnFormula>
    </tableColumn>
    <tableColumn id="13" name="RID" dataDxfId="399">
      <calculatedColumnFormula>COUNTA($A$1:ResourceTable[[#This Row],[Primary]])-2</calculatedColumnFormula>
    </tableColumn>
    <tableColumn id="1" name="No" dataDxfId="398">
      <calculatedColumnFormula>IF(ResourceTable[[#This Row],[RID]]=0,"id",ResourceTable[[#This Row],[RID]]+IF(ISNUMBER(VLOOKUP(Page,SeedMap[],9,0)),VLOOKUP(Page,SeedMap[],9,0),0))</calculatedColumnFormula>
    </tableColumn>
    <tableColumn id="2" name="Name" dataDxfId="397"/>
    <tableColumn id="3" name="Description" dataDxfId="396"/>
    <tableColumn id="4" name="Title" dataDxfId="395"/>
    <tableColumn id="5" name="NS" dataDxfId="394">
      <calculatedColumnFormula>"Milestone\Appframe\Model"</calculatedColumnFormula>
    </tableColumn>
    <tableColumn id="6" name="Table" dataDxfId="393"/>
    <tableColumn id="8" name="Controller" dataDxfId="392"/>
    <tableColumn id="9" name="Controller NS" dataDxfId="391"/>
    <tableColumn id="7" name="Development" dataDxfId="390"/>
    <tableColumn id="10" name="RID2" dataDxfId="389">
      <calculatedColumnFormula>ResourceTable[No]</calculatedColumnFormula>
    </tableColumn>
  </tableColumns>
  <tableStyleInfo name="TableStyleMedium12" showFirstColumn="0" showLastColumn="0" showRowStripes="1" showColumnStripes="0"/>
</table>
</file>

<file path=xl/tables/table7.xml><?xml version="1.0" encoding="utf-8"?>
<table xmlns="http://schemas.openxmlformats.org/spreadsheetml/2006/main" id="32" name="ResourceDefaultsTable" displayName="ResourceDefaultsTable" ref="O1:Z2" totalsRowShown="0" dataDxfId="388">
  <autoFilter ref="O1:Z2"/>
  <tableColumns count="12">
    <tableColumn id="1" name="Select Resource for Default" dataDxfId="387"/>
    <tableColumn id="2" name="List" dataDxfId="386"/>
    <tableColumn id="3" name="Form" dataDxfId="385"/>
    <tableColumn id="4" name="Data" dataDxfId="384"/>
    <tableColumn id="5" name="FormWithData" dataDxfId="383"/>
    <tableColumn id="6" name="Primary" dataDxfId="382">
      <calculatedColumnFormula>'Table Seed Map'!$A$39&amp;"-"&amp;COUNTA($O$2:ResourceDefaultsTable[[#This Row],[Select Resource for Default]])</calculatedColumnFormula>
    </tableColumn>
    <tableColumn id="12" name="ID" dataDxfId="381">
      <calculatedColumnFormula>IF(ResourceDefaultsTable[[#This Row],[Select Resource for Default]]="","id",COUNTA($O$2:ResourceDefaultsTable[[#This Row],[Select Resource for Default]])+VLOOKUP('Table Seed Map'!$A$39,SeedMap[],9,0))</calculatedColumnFormula>
    </tableColumn>
    <tableColumn id="7" name="Resource" dataDxfId="380">
      <calculatedColumnFormula>IF(ResourceDefaultsTable[[#This Row],[Select Resource for Default]]="","resource",VLOOKUP(ResourceDefaultsTable[[#This Row],[Select Resource for Default]],ResourceTable[[RName]:[No]],3,0))</calculatedColumnFormula>
    </tableColumn>
    <tableColumn id="8" name="List2" dataDxfId="379">
      <calculatedColumnFormula>IF(ResourceDefaultsTable[[#This Row],[Select Resource for Default]]="","list",IFERROR(VLOOKUP(ResourceDefaultsTable[[#This Row],[List]],ResourceAction[[Display]:[No]],3,0),""))</calculatedColumnFormula>
    </tableColumn>
    <tableColumn id="9" name="Create" dataDxfId="378">
      <calculatedColumnFormula>IF(ResourceDefaultsTable[[#This Row],[Select Resource for Default]]="","create",IFERROR(VLOOKUP(ResourceDefaultsTable[[#This Row],[Form]],ResourceAction[[Display]:[No]],3,0),""))</calculatedColumnFormula>
    </tableColumn>
    <tableColumn id="10" name="Read" dataDxfId="377">
      <calculatedColumnFormula>IF(ResourceDefaultsTable[[#This Row],[Select Resource for Default]]="","read",IFERROR(VLOOKUP(ResourceDefaultsTable[[#This Row],[Data]],ResourceAction[[Display]:[No]],3,0),""))</calculatedColumnFormula>
    </tableColumn>
    <tableColumn id="11" name="Update" dataDxfId="376">
      <calculatedColumnFormula>IF(ResourceDefaultsTable[[#This Row],[Select Resource for Default]]="","update",IFERROR(VLOOKUP(ResourceDefaultsTable[[#This Row],[FormWithData]],ResourceAction[[Display]:[No]],3,0),""))</calculatedColumnFormula>
    </tableColumn>
  </tableColumns>
  <tableStyleInfo name="TableStyleLight13" showFirstColumn="0" showLastColumn="0" showRowStripes="1" showColumnStripes="0"/>
</table>
</file>

<file path=xl/tables/table8.xml><?xml version="1.0" encoding="utf-8"?>
<table xmlns="http://schemas.openxmlformats.org/spreadsheetml/2006/main" id="9" name="RelationTable" displayName="RelationTable" ref="A1:N12" totalsRowShown="0" dataDxfId="375">
  <autoFilter ref="A1:N12"/>
  <tableColumns count="14">
    <tableColumn id="11" name="Primary" dataDxfId="374">
      <calculatedColumnFormula>Page&amp;"-"&amp;(COUNTA($E$1:RelationTable[[#This Row],[Resource]])-1)</calculatedColumnFormula>
    </tableColumn>
    <tableColumn id="1" name="No" dataDxfId="373">
      <calculatedColumnFormula>IF(RelationTable[[#This Row],[Resource]]="","id",COUNTA($E$2:RelationTable[[#This Row],[Resource]])+IF(ISNUMBER(VLOOKUP('Table Seed Map'!$A$10,SeedMap[],9,0)),VLOOKUP('Table Seed Map'!$A$10,SeedMap[],9,0),0))</calculatedColumnFormula>
    </tableColumn>
    <tableColumn id="13" name="Display" dataDxfId="372">
      <calculatedColumnFormula>RelationTable[[#This Row],[Resource]]&amp;"/"&amp;RelationTable[[#This Row],[Method]]</calculatedColumnFormula>
    </tableColumn>
    <tableColumn id="14" name="RELID" dataDxfId="371">
      <calculatedColumnFormula>RelationTable[[#This Row],[No]]</calculatedColumnFormula>
    </tableColumn>
    <tableColumn id="3" name="Resource" dataDxfId="370"/>
    <tableColumn id="4" name="Relate Resource" dataDxfId="369"/>
    <tableColumn id="12" name="ID" dataDxfId="368">
      <calculatedColumnFormula>RelationTable[[#This Row],[No]]</calculatedColumnFormula>
    </tableColumn>
    <tableColumn id="2" name="Resource Id" dataDxfId="367">
      <calculatedColumnFormula>IF(RelationTable[[#This Row],[No]]="id","resource",VLOOKUP(RelationTable[Resource],CHOOSE({1,2},ResourceTable[Name],ResourceTable[No]),2,0))</calculatedColumnFormula>
    </tableColumn>
    <tableColumn id="5" name="Name" dataDxfId="366"/>
    <tableColumn id="6" name="Description" dataDxfId="365"/>
    <tableColumn id="7" name="Method" dataDxfId="364"/>
    <tableColumn id="8" name="Type" dataDxfId="363"/>
    <tableColumn id="10" name="Relate Id" dataDxfId="362">
      <calculatedColumnFormula>VLOOKUP(RelationTable[Relate Resource],CHOOSE({1,2},ResourceTable[Name],ResourceTable[No]),2,0)</calculatedColumnFormula>
    </tableColumn>
    <tableColumn id="9" name="RID" dataDxfId="361">
      <calculatedColumnFormula>RelationTable[RELID]</calculatedColumnFormula>
    </tableColumn>
  </tableColumns>
  <tableStyleInfo name="TableStyleMedium12" showFirstColumn="0" showLastColumn="0" showRowStripes="1" showColumnStripes="0"/>
</table>
</file>

<file path=xl/tables/table9.xml><?xml version="1.0" encoding="utf-8"?>
<table xmlns="http://schemas.openxmlformats.org/spreadsheetml/2006/main" id="5" name="ResourceScopes" displayName="ResourceScopes" ref="P1:W8" totalsRowShown="0" dataDxfId="360">
  <autoFilter ref="P1:W8"/>
  <tableColumns count="8">
    <tableColumn id="1" name="Primary" dataDxfId="359">
      <calculatedColumnFormula>'Table Seed Map'!$A$9&amp;"-"&amp;COUNTA($Q$1:ResourceScopes[[#This Row],[Resource for Scope]])-1</calculatedColumnFormula>
    </tableColumn>
    <tableColumn id="2" name="Resource for Scope" dataDxfId="358"/>
    <tableColumn id="8" name="ScopesDisplayNames" dataDxfId="357">
      <calculatedColumnFormula>ResourceScopes[[#This Row],[Resource for Scope]]&amp;"/"&amp;ResourceScopes[[#This Row],[Name]]</calculatedColumnFormula>
    </tableColumn>
    <tableColumn id="3" name="No" dataDxfId="356">
      <calculatedColumnFormula>IF(ResourceScopes[[#This Row],[Resource for Scope]]="","id",-1+COUNTA($Q$1:ResourceScopes[[#This Row],[Resource for Scope]])+VLOOKUP('Table Seed Map'!$A$9,SeedMap[],9,0))</calculatedColumnFormula>
    </tableColumn>
    <tableColumn id="7" name="Resource ID" dataDxfId="355">
      <calculatedColumnFormula>IFERROR(VLOOKUP(ResourceScopes[[#This Row],[Resource for Scope]],CHOOSE({1,2},ResourceTable[Name],ResourceTable[No]),2,0),"resource")</calculatedColumnFormula>
    </tableColumn>
    <tableColumn id="4" name="Name" dataDxfId="354"/>
    <tableColumn id="5" name="Description" dataDxfId="353"/>
    <tableColumn id="6" name="Method" dataDxfId="352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9.xml"/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9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10" Type="http://schemas.openxmlformats.org/officeDocument/2006/relationships/table" Target="../tables/table21.xml"/><Relationship Id="rId4" Type="http://schemas.openxmlformats.org/officeDocument/2006/relationships/table" Target="../tables/table15.xml"/><Relationship Id="rId9" Type="http://schemas.openxmlformats.org/officeDocument/2006/relationships/table" Target="../tables/table2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4.xml"/><Relationship Id="rId2" Type="http://schemas.openxmlformats.org/officeDocument/2006/relationships/table" Target="../tables/table23.xml"/><Relationship Id="rId1" Type="http://schemas.openxmlformats.org/officeDocument/2006/relationships/printerSettings" Target="../printerSettings/printerSettings11.bin"/><Relationship Id="rId5" Type="http://schemas.openxmlformats.org/officeDocument/2006/relationships/table" Target="../tables/table26.xml"/><Relationship Id="rId4" Type="http://schemas.openxmlformats.org/officeDocument/2006/relationships/table" Target="../tables/table25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9.xml"/><Relationship Id="rId2" Type="http://schemas.openxmlformats.org/officeDocument/2006/relationships/table" Target="../tables/table28.xml"/><Relationship Id="rId1" Type="http://schemas.openxmlformats.org/officeDocument/2006/relationships/table" Target="../tables/table27.xml"/><Relationship Id="rId4" Type="http://schemas.openxmlformats.org/officeDocument/2006/relationships/table" Target="../tables/table30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2.xml"/><Relationship Id="rId1" Type="http://schemas.openxmlformats.org/officeDocument/2006/relationships/table" Target="../tables/table3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"/>
  <sheetViews>
    <sheetView topLeftCell="A34" workbookViewId="0">
      <selection activeCell="A49" sqref="A49"/>
    </sheetView>
  </sheetViews>
  <sheetFormatPr defaultRowHeight="15" x14ac:dyDescent="0.25"/>
  <cols>
    <col min="1" max="1" width="23.28515625" bestFit="1" customWidth="1"/>
    <col min="2" max="2" width="22.5703125" customWidth="1"/>
    <col min="3" max="3" width="23.5703125" bestFit="1" customWidth="1"/>
    <col min="4" max="4" width="21.42578125" bestFit="1" customWidth="1"/>
    <col min="5" max="5" width="23.28515625" bestFit="1" customWidth="1"/>
    <col min="6" max="6" width="84.85546875" bestFit="1" customWidth="1"/>
    <col min="7" max="7" width="38.7109375" bestFit="1" customWidth="1"/>
    <col min="8" max="8" width="37.140625" bestFit="1" customWidth="1"/>
    <col min="9" max="9" width="46.42578125" bestFit="1" customWidth="1"/>
    <col min="10" max="10" width="35" bestFit="1" customWidth="1"/>
  </cols>
  <sheetData>
    <row r="1" spans="1:10" x14ac:dyDescent="0.25">
      <c r="A1" t="s">
        <v>1</v>
      </c>
      <c r="B1" s="18" t="s">
        <v>12</v>
      </c>
      <c r="C1" t="s">
        <v>68</v>
      </c>
      <c r="D1" s="17" t="s">
        <v>108</v>
      </c>
      <c r="E1" t="s">
        <v>67</v>
      </c>
      <c r="F1" s="12" t="s">
        <v>88</v>
      </c>
      <c r="G1" t="s">
        <v>69</v>
      </c>
      <c r="H1" s="12" t="s">
        <v>90</v>
      </c>
      <c r="I1" t="s">
        <v>70</v>
      </c>
      <c r="J1" s="12" t="s">
        <v>91</v>
      </c>
    </row>
    <row r="2" spans="1:10" x14ac:dyDescent="0.25">
      <c r="A2" s="5" t="s">
        <v>75</v>
      </c>
      <c r="B2" s="6" t="s">
        <v>75</v>
      </c>
      <c r="C2" s="8" t="s">
        <v>64</v>
      </c>
      <c r="D2" s="6" t="s">
        <v>545</v>
      </c>
      <c r="E2" s="8" t="s">
        <v>74</v>
      </c>
      <c r="F2" s="8" t="s">
        <v>546</v>
      </c>
      <c r="G2" s="8" t="s">
        <v>547</v>
      </c>
      <c r="H2" s="8" t="s">
        <v>548</v>
      </c>
      <c r="I2" s="8" t="s">
        <v>549</v>
      </c>
      <c r="J2" s="8" t="s">
        <v>550</v>
      </c>
    </row>
    <row r="3" spans="1:10" x14ac:dyDescent="0.25">
      <c r="A3" s="1" t="s">
        <v>59</v>
      </c>
      <c r="B3" s="8" t="s">
        <v>77</v>
      </c>
      <c r="C3" s="8" t="s">
        <v>63</v>
      </c>
      <c r="D3" s="6" t="s">
        <v>545</v>
      </c>
      <c r="E3" s="8" t="s">
        <v>96</v>
      </c>
      <c r="F3" s="8" t="s">
        <v>551</v>
      </c>
      <c r="G3" s="8" t="s">
        <v>552</v>
      </c>
      <c r="H3" s="8" t="s">
        <v>553</v>
      </c>
      <c r="I3" s="8" t="s">
        <v>554</v>
      </c>
      <c r="J3" s="8" t="s">
        <v>555</v>
      </c>
    </row>
    <row r="4" spans="1:10" x14ac:dyDescent="0.25">
      <c r="A4" s="5" t="s">
        <v>60</v>
      </c>
      <c r="B4" s="8" t="s">
        <v>556</v>
      </c>
      <c r="C4" s="8" t="s">
        <v>557</v>
      </c>
      <c r="D4" s="6" t="s">
        <v>545</v>
      </c>
      <c r="E4" s="8" t="s">
        <v>558</v>
      </c>
      <c r="F4" s="8" t="s">
        <v>559</v>
      </c>
      <c r="G4" s="8" t="s">
        <v>560</v>
      </c>
      <c r="H4" s="8" t="s">
        <v>561</v>
      </c>
      <c r="I4" s="8" t="s">
        <v>562</v>
      </c>
      <c r="J4" s="8" t="s">
        <v>563</v>
      </c>
    </row>
    <row r="5" spans="1:10" x14ac:dyDescent="0.25">
      <c r="A5" s="5" t="s">
        <v>61</v>
      </c>
      <c r="B5" s="8" t="s">
        <v>80</v>
      </c>
      <c r="C5" s="8" t="s">
        <v>65</v>
      </c>
      <c r="D5" s="6" t="s">
        <v>545</v>
      </c>
      <c r="E5" s="8" t="s">
        <v>112</v>
      </c>
      <c r="F5" s="8" t="s">
        <v>564</v>
      </c>
      <c r="G5" s="8" t="s">
        <v>565</v>
      </c>
      <c r="H5" s="8" t="s">
        <v>566</v>
      </c>
      <c r="I5" s="8" t="s">
        <v>567</v>
      </c>
      <c r="J5" s="8" t="s">
        <v>568</v>
      </c>
    </row>
    <row r="6" spans="1:10" x14ac:dyDescent="0.25">
      <c r="A6" s="5" t="s">
        <v>62</v>
      </c>
      <c r="B6" s="8" t="s">
        <v>569</v>
      </c>
      <c r="C6" s="8" t="s">
        <v>570</v>
      </c>
      <c r="D6" s="6" t="s">
        <v>545</v>
      </c>
      <c r="E6" s="8" t="s">
        <v>571</v>
      </c>
      <c r="F6" s="8" t="s">
        <v>572</v>
      </c>
      <c r="G6" s="8" t="s">
        <v>573</v>
      </c>
      <c r="H6" s="8" t="s">
        <v>574</v>
      </c>
      <c r="I6" s="8" t="s">
        <v>575</v>
      </c>
      <c r="J6" s="8" t="s">
        <v>576</v>
      </c>
    </row>
    <row r="7" spans="1:10" x14ac:dyDescent="0.25">
      <c r="A7" s="1" t="s">
        <v>2</v>
      </c>
      <c r="B7" s="6" t="s">
        <v>87</v>
      </c>
      <c r="C7" s="6" t="s">
        <v>22</v>
      </c>
      <c r="D7" s="6" t="s">
        <v>545</v>
      </c>
      <c r="E7" s="8" t="s">
        <v>86</v>
      </c>
      <c r="F7" s="8" t="s">
        <v>577</v>
      </c>
      <c r="G7" s="8" t="s">
        <v>578</v>
      </c>
      <c r="H7" s="8" t="s">
        <v>579</v>
      </c>
      <c r="I7" s="8" t="s">
        <v>580</v>
      </c>
      <c r="J7" s="8" t="s">
        <v>581</v>
      </c>
    </row>
    <row r="8" spans="1:10" x14ac:dyDescent="0.25">
      <c r="A8" s="5" t="s">
        <v>89</v>
      </c>
      <c r="B8" s="8" t="s">
        <v>132</v>
      </c>
      <c r="C8" s="8" t="s">
        <v>582</v>
      </c>
      <c r="D8" s="6" t="s">
        <v>545</v>
      </c>
      <c r="E8" s="8" t="s">
        <v>131</v>
      </c>
      <c r="F8" s="8" t="s">
        <v>583</v>
      </c>
      <c r="G8" s="8" t="s">
        <v>584</v>
      </c>
      <c r="H8" s="8" t="s">
        <v>585</v>
      </c>
      <c r="I8" s="8" t="s">
        <v>586</v>
      </c>
      <c r="J8" s="8" t="s">
        <v>587</v>
      </c>
    </row>
    <row r="9" spans="1:10" x14ac:dyDescent="0.25">
      <c r="A9" s="2" t="s">
        <v>3</v>
      </c>
      <c r="B9" s="8" t="s">
        <v>207</v>
      </c>
      <c r="C9" s="8" t="s">
        <v>184</v>
      </c>
      <c r="D9" s="6" t="s">
        <v>545</v>
      </c>
      <c r="E9" s="8" t="s">
        <v>206</v>
      </c>
      <c r="F9" s="8" t="s">
        <v>588</v>
      </c>
      <c r="G9" s="8" t="s">
        <v>589</v>
      </c>
      <c r="H9" s="8" t="s">
        <v>590</v>
      </c>
      <c r="I9" s="8" t="s">
        <v>591</v>
      </c>
      <c r="J9" s="8" t="s">
        <v>592</v>
      </c>
    </row>
    <row r="10" spans="1:10" x14ac:dyDescent="0.25">
      <c r="A10" s="2" t="s">
        <v>0</v>
      </c>
      <c r="B10" s="8" t="s">
        <v>190</v>
      </c>
      <c r="C10" s="8" t="s">
        <v>593</v>
      </c>
      <c r="D10" s="6" t="s">
        <v>545</v>
      </c>
      <c r="E10" s="8" t="s">
        <v>189</v>
      </c>
      <c r="F10" s="8" t="s">
        <v>594</v>
      </c>
      <c r="G10" s="8" t="s">
        <v>595</v>
      </c>
      <c r="H10" s="8" t="s">
        <v>596</v>
      </c>
      <c r="I10" s="8" t="s">
        <v>597</v>
      </c>
      <c r="J10" s="8" t="s">
        <v>598</v>
      </c>
    </row>
    <row r="11" spans="1:10" x14ac:dyDescent="0.25">
      <c r="A11" s="2" t="s">
        <v>6</v>
      </c>
      <c r="B11" s="8" t="s">
        <v>135</v>
      </c>
      <c r="C11" s="8" t="s">
        <v>52</v>
      </c>
      <c r="D11" s="6" t="s">
        <v>545</v>
      </c>
      <c r="E11" s="8" t="s">
        <v>133</v>
      </c>
      <c r="F11" s="8" t="s">
        <v>599</v>
      </c>
      <c r="G11" s="8" t="s">
        <v>600</v>
      </c>
      <c r="H11" s="8" t="s">
        <v>601</v>
      </c>
      <c r="I11" s="8" t="s">
        <v>602</v>
      </c>
      <c r="J11" s="8" t="s">
        <v>603</v>
      </c>
    </row>
    <row r="12" spans="1:10" x14ac:dyDescent="0.25">
      <c r="A12" s="2" t="s">
        <v>48</v>
      </c>
      <c r="B12" s="8" t="s">
        <v>138</v>
      </c>
      <c r="C12" s="8" t="s">
        <v>604</v>
      </c>
      <c r="D12" s="6" t="s">
        <v>545</v>
      </c>
      <c r="E12" s="8" t="s">
        <v>136</v>
      </c>
      <c r="F12" s="8" t="s">
        <v>605</v>
      </c>
      <c r="G12" s="8" t="s">
        <v>606</v>
      </c>
      <c r="H12" s="8" t="s">
        <v>607</v>
      </c>
      <c r="I12" s="8" t="s">
        <v>608</v>
      </c>
      <c r="J12" s="8" t="s">
        <v>609</v>
      </c>
    </row>
    <row r="13" spans="1:10" x14ac:dyDescent="0.25">
      <c r="A13" s="2" t="s">
        <v>49</v>
      </c>
      <c r="B13" s="8" t="s">
        <v>167</v>
      </c>
      <c r="C13" s="8" t="s">
        <v>610</v>
      </c>
      <c r="D13" s="6" t="s">
        <v>545</v>
      </c>
      <c r="E13" s="8" t="s">
        <v>166</v>
      </c>
      <c r="F13" s="8" t="s">
        <v>611</v>
      </c>
      <c r="G13" s="8" t="s">
        <v>612</v>
      </c>
      <c r="H13" s="8" t="s">
        <v>613</v>
      </c>
      <c r="I13" s="8" t="s">
        <v>614</v>
      </c>
      <c r="J13" s="8" t="s">
        <v>615</v>
      </c>
    </row>
    <row r="14" spans="1:10" x14ac:dyDescent="0.25">
      <c r="A14" s="2" t="s">
        <v>50</v>
      </c>
      <c r="B14" s="8" t="s">
        <v>183</v>
      </c>
      <c r="C14" s="8" t="s">
        <v>50</v>
      </c>
      <c r="D14" s="6" t="s">
        <v>545</v>
      </c>
      <c r="E14" s="8" t="s">
        <v>181</v>
      </c>
      <c r="F14" s="8" t="s">
        <v>616</v>
      </c>
      <c r="G14" s="8" t="s">
        <v>617</v>
      </c>
      <c r="H14" s="8" t="s">
        <v>618</v>
      </c>
      <c r="I14" s="8" t="s">
        <v>619</v>
      </c>
      <c r="J14" s="8" t="s">
        <v>620</v>
      </c>
    </row>
    <row r="15" spans="1:10" x14ac:dyDescent="0.25">
      <c r="A15" s="2" t="s">
        <v>51</v>
      </c>
      <c r="B15" s="8" t="s">
        <v>176</v>
      </c>
      <c r="C15" s="8" t="s">
        <v>621</v>
      </c>
      <c r="D15" s="6" t="s">
        <v>545</v>
      </c>
      <c r="E15" s="8" t="s">
        <v>175</v>
      </c>
      <c r="F15" s="8" t="s">
        <v>622</v>
      </c>
      <c r="G15" s="8" t="s">
        <v>623</v>
      </c>
      <c r="H15" s="8" t="s">
        <v>624</v>
      </c>
      <c r="I15" s="8" t="s">
        <v>625</v>
      </c>
      <c r="J15" s="8" t="s">
        <v>626</v>
      </c>
    </row>
    <row r="16" spans="1:10" x14ac:dyDescent="0.25">
      <c r="A16" s="2" t="s">
        <v>168</v>
      </c>
      <c r="B16" s="8" t="s">
        <v>174</v>
      </c>
      <c r="C16" s="8" t="s">
        <v>627</v>
      </c>
      <c r="D16" s="6" t="s">
        <v>545</v>
      </c>
      <c r="E16" s="8" t="s">
        <v>172</v>
      </c>
      <c r="F16" s="8" t="s">
        <v>628</v>
      </c>
      <c r="G16" s="8" t="s">
        <v>629</v>
      </c>
      <c r="H16" s="8" t="s">
        <v>630</v>
      </c>
      <c r="I16" s="8" t="s">
        <v>631</v>
      </c>
      <c r="J16" s="8" t="s">
        <v>632</v>
      </c>
    </row>
    <row r="17" spans="1:10" x14ac:dyDescent="0.25">
      <c r="A17" s="2" t="s">
        <v>237</v>
      </c>
      <c r="B17" s="8" t="s">
        <v>244</v>
      </c>
      <c r="C17" s="8" t="s">
        <v>633</v>
      </c>
      <c r="D17" s="6" t="s">
        <v>545</v>
      </c>
      <c r="E17" s="8" t="s">
        <v>243</v>
      </c>
      <c r="F17" s="8" t="s">
        <v>634</v>
      </c>
      <c r="G17" s="8" t="s">
        <v>635</v>
      </c>
      <c r="H17" s="8" t="s">
        <v>636</v>
      </c>
      <c r="I17" s="8" t="s">
        <v>637</v>
      </c>
      <c r="J17" s="8" t="s">
        <v>638</v>
      </c>
    </row>
    <row r="18" spans="1:10" x14ac:dyDescent="0.25">
      <c r="A18" s="2" t="s">
        <v>265</v>
      </c>
      <c r="B18" s="8" t="s">
        <v>269</v>
      </c>
      <c r="C18" s="8" t="s">
        <v>265</v>
      </c>
      <c r="D18" s="6" t="s">
        <v>545</v>
      </c>
      <c r="E18" s="8" t="s">
        <v>268</v>
      </c>
      <c r="F18" s="8" t="s">
        <v>639</v>
      </c>
      <c r="G18" s="8" t="s">
        <v>640</v>
      </c>
      <c r="H18" s="8" t="s">
        <v>641</v>
      </c>
      <c r="I18" s="8" t="s">
        <v>642</v>
      </c>
      <c r="J18" s="8" t="s">
        <v>643</v>
      </c>
    </row>
    <row r="19" spans="1:10" x14ac:dyDescent="0.25">
      <c r="A19" s="2" t="s">
        <v>211</v>
      </c>
      <c r="B19" s="8" t="s">
        <v>215</v>
      </c>
      <c r="C19" s="8" t="s">
        <v>211</v>
      </c>
      <c r="D19" s="6" t="s">
        <v>545</v>
      </c>
      <c r="E19" s="8" t="s">
        <v>213</v>
      </c>
      <c r="F19" s="8" t="s">
        <v>644</v>
      </c>
      <c r="G19" s="8" t="s">
        <v>645</v>
      </c>
      <c r="H19" s="8" t="s">
        <v>646</v>
      </c>
      <c r="I19" s="8" t="s">
        <v>647</v>
      </c>
      <c r="J19" s="8" t="s">
        <v>648</v>
      </c>
    </row>
    <row r="20" spans="1:10" x14ac:dyDescent="0.25">
      <c r="A20" s="2" t="s">
        <v>225</v>
      </c>
      <c r="B20" s="8" t="s">
        <v>228</v>
      </c>
      <c r="C20" s="8" t="s">
        <v>225</v>
      </c>
      <c r="D20" s="6" t="s">
        <v>545</v>
      </c>
      <c r="E20" s="8" t="s">
        <v>226</v>
      </c>
      <c r="F20" s="8" t="s">
        <v>649</v>
      </c>
      <c r="G20" s="8" t="s">
        <v>650</v>
      </c>
      <c r="H20" s="8" t="s">
        <v>651</v>
      </c>
      <c r="I20" s="8" t="s">
        <v>652</v>
      </c>
      <c r="J20" s="8" t="s">
        <v>653</v>
      </c>
    </row>
    <row r="21" spans="1:10" x14ac:dyDescent="0.25">
      <c r="A21" s="2" t="s">
        <v>285</v>
      </c>
      <c r="B21" s="8" t="s">
        <v>293</v>
      </c>
      <c r="C21" s="8" t="s">
        <v>285</v>
      </c>
      <c r="D21" s="6" t="s">
        <v>545</v>
      </c>
      <c r="E21" s="8" t="s">
        <v>291</v>
      </c>
      <c r="F21" s="8" t="s">
        <v>654</v>
      </c>
      <c r="G21" s="8" t="s">
        <v>655</v>
      </c>
      <c r="H21" s="8" t="s">
        <v>656</v>
      </c>
      <c r="I21" s="8" t="s">
        <v>657</v>
      </c>
      <c r="J21" s="8" t="s">
        <v>658</v>
      </c>
    </row>
    <row r="22" spans="1:10" x14ac:dyDescent="0.25">
      <c r="A22" s="2" t="s">
        <v>66</v>
      </c>
      <c r="B22" s="9" t="s">
        <v>180</v>
      </c>
      <c r="C22" s="9" t="s">
        <v>659</v>
      </c>
      <c r="D22" s="6" t="s">
        <v>545</v>
      </c>
      <c r="E22" s="8" t="s">
        <v>178</v>
      </c>
      <c r="F22" s="8" t="s">
        <v>660</v>
      </c>
      <c r="G22" s="8" t="s">
        <v>661</v>
      </c>
      <c r="H22" s="8" t="s">
        <v>662</v>
      </c>
      <c r="I22" s="8" t="s">
        <v>663</v>
      </c>
      <c r="J22" s="8" t="s">
        <v>664</v>
      </c>
    </row>
    <row r="23" spans="1:10" x14ac:dyDescent="0.25">
      <c r="A23" s="2" t="s">
        <v>5</v>
      </c>
      <c r="B23" s="9" t="s">
        <v>186</v>
      </c>
      <c r="C23" s="9" t="s">
        <v>43</v>
      </c>
      <c r="D23" s="6" t="s">
        <v>545</v>
      </c>
      <c r="E23" s="8" t="s">
        <v>185</v>
      </c>
      <c r="F23" s="8" t="s">
        <v>665</v>
      </c>
      <c r="G23" s="8" t="s">
        <v>666</v>
      </c>
      <c r="H23" s="8" t="s">
        <v>667</v>
      </c>
      <c r="I23" s="8" t="s">
        <v>668</v>
      </c>
      <c r="J23" s="8" t="s">
        <v>669</v>
      </c>
    </row>
    <row r="24" spans="1:10" x14ac:dyDescent="0.25">
      <c r="A24" s="4" t="s">
        <v>10</v>
      </c>
      <c r="B24" s="7" t="s">
        <v>188</v>
      </c>
      <c r="C24" s="7" t="s">
        <v>670</v>
      </c>
      <c r="D24" s="6" t="s">
        <v>545</v>
      </c>
      <c r="E24" s="8" t="s">
        <v>187</v>
      </c>
      <c r="F24" s="8" t="s">
        <v>671</v>
      </c>
      <c r="G24" s="8" t="s">
        <v>672</v>
      </c>
      <c r="H24" s="8" t="s">
        <v>673</v>
      </c>
      <c r="I24" s="8" t="s">
        <v>674</v>
      </c>
      <c r="J24" s="8" t="s">
        <v>675</v>
      </c>
    </row>
    <row r="25" spans="1:10" x14ac:dyDescent="0.25">
      <c r="A25" s="4" t="s">
        <v>11</v>
      </c>
      <c r="B25" s="7" t="s">
        <v>193</v>
      </c>
      <c r="C25" s="7" t="s">
        <v>676</v>
      </c>
      <c r="D25" s="6" t="s">
        <v>545</v>
      </c>
      <c r="E25" s="8" t="s">
        <v>191</v>
      </c>
      <c r="F25" s="8" t="s">
        <v>677</v>
      </c>
      <c r="G25" s="8" t="s">
        <v>678</v>
      </c>
      <c r="H25" s="8" t="s">
        <v>679</v>
      </c>
      <c r="I25" s="8" t="s">
        <v>680</v>
      </c>
      <c r="J25" s="8" t="s">
        <v>681</v>
      </c>
    </row>
    <row r="26" spans="1:10" x14ac:dyDescent="0.25">
      <c r="A26" s="4" t="s">
        <v>200</v>
      </c>
      <c r="B26" s="7" t="s">
        <v>204</v>
      </c>
      <c r="C26" s="7" t="s">
        <v>200</v>
      </c>
      <c r="D26" s="6" t="s">
        <v>545</v>
      </c>
      <c r="E26" s="8" t="s">
        <v>202</v>
      </c>
      <c r="F26" s="8" t="s">
        <v>682</v>
      </c>
      <c r="G26" s="8" t="s">
        <v>683</v>
      </c>
      <c r="H26" s="8" t="s">
        <v>684</v>
      </c>
      <c r="I26" s="8" t="s">
        <v>685</v>
      </c>
      <c r="J26" s="8" t="s">
        <v>686</v>
      </c>
    </row>
    <row r="27" spans="1:10" x14ac:dyDescent="0.25">
      <c r="A27" s="4" t="s">
        <v>233</v>
      </c>
      <c r="B27" s="7" t="s">
        <v>236</v>
      </c>
      <c r="C27" s="7" t="s">
        <v>233</v>
      </c>
      <c r="D27" s="6" t="s">
        <v>545</v>
      </c>
      <c r="E27" s="8" t="s">
        <v>234</v>
      </c>
      <c r="F27" s="8" t="s">
        <v>687</v>
      </c>
      <c r="G27" s="8" t="s">
        <v>688</v>
      </c>
      <c r="H27" s="8" t="s">
        <v>689</v>
      </c>
      <c r="I27" s="8" t="s">
        <v>690</v>
      </c>
      <c r="J27" s="8" t="s">
        <v>691</v>
      </c>
    </row>
    <row r="28" spans="1:10" x14ac:dyDescent="0.25">
      <c r="A28" s="2" t="s">
        <v>4</v>
      </c>
      <c r="B28" s="9" t="s">
        <v>195</v>
      </c>
      <c r="C28" s="9" t="s">
        <v>4</v>
      </c>
      <c r="D28" s="6" t="s">
        <v>545</v>
      </c>
      <c r="E28" s="8" t="s">
        <v>194</v>
      </c>
      <c r="F28" s="8" t="s">
        <v>692</v>
      </c>
      <c r="G28" s="8" t="s">
        <v>693</v>
      </c>
      <c r="H28" s="8" t="s">
        <v>694</v>
      </c>
      <c r="I28" s="8" t="s">
        <v>695</v>
      </c>
      <c r="J28" s="8" t="s">
        <v>696</v>
      </c>
    </row>
    <row r="29" spans="1:10" x14ac:dyDescent="0.25">
      <c r="A29" s="4" t="s">
        <v>9</v>
      </c>
      <c r="B29" s="7" t="s">
        <v>198</v>
      </c>
      <c r="C29" s="7" t="s">
        <v>697</v>
      </c>
      <c r="D29" s="6" t="s">
        <v>545</v>
      </c>
      <c r="E29" s="8" t="s">
        <v>196</v>
      </c>
      <c r="F29" s="8" t="s">
        <v>698</v>
      </c>
      <c r="G29" s="8" t="s">
        <v>699</v>
      </c>
      <c r="H29" s="8" t="s">
        <v>700</v>
      </c>
      <c r="I29" s="8" t="s">
        <v>701</v>
      </c>
      <c r="J29" s="8" t="s">
        <v>702</v>
      </c>
    </row>
    <row r="30" spans="1:10" x14ac:dyDescent="0.25">
      <c r="A30" s="4" t="s">
        <v>205</v>
      </c>
      <c r="B30" s="7" t="s">
        <v>703</v>
      </c>
      <c r="C30" s="7" t="s">
        <v>704</v>
      </c>
      <c r="D30" s="6" t="s">
        <v>545</v>
      </c>
      <c r="E30" s="8" t="s">
        <v>290</v>
      </c>
      <c r="F30" s="8" t="s">
        <v>705</v>
      </c>
      <c r="G30" s="8" t="s">
        <v>706</v>
      </c>
      <c r="H30" s="8" t="s">
        <v>707</v>
      </c>
      <c r="I30" s="8" t="s">
        <v>708</v>
      </c>
      <c r="J30" s="8" t="s">
        <v>709</v>
      </c>
    </row>
    <row r="31" spans="1:10" x14ac:dyDescent="0.25">
      <c r="A31" s="4" t="s">
        <v>216</v>
      </c>
      <c r="B31" s="7" t="s">
        <v>220</v>
      </c>
      <c r="C31" s="7" t="s">
        <v>710</v>
      </c>
      <c r="D31" s="6" t="s">
        <v>545</v>
      </c>
      <c r="E31" s="8" t="s">
        <v>218</v>
      </c>
      <c r="F31" s="8" t="s">
        <v>711</v>
      </c>
      <c r="G31" s="8" t="s">
        <v>712</v>
      </c>
      <c r="H31" s="8" t="s">
        <v>713</v>
      </c>
      <c r="I31" s="8" t="s">
        <v>714</v>
      </c>
      <c r="J31" s="8" t="s">
        <v>715</v>
      </c>
    </row>
    <row r="32" spans="1:10" x14ac:dyDescent="0.25">
      <c r="A32" s="4" t="s">
        <v>217</v>
      </c>
      <c r="B32" s="7" t="s">
        <v>223</v>
      </c>
      <c r="C32" s="7" t="s">
        <v>716</v>
      </c>
      <c r="D32" s="6" t="s">
        <v>545</v>
      </c>
      <c r="E32" s="8" t="s">
        <v>221</v>
      </c>
      <c r="F32" s="8" t="s">
        <v>717</v>
      </c>
      <c r="G32" s="8" t="s">
        <v>718</v>
      </c>
      <c r="H32" s="8" t="s">
        <v>719</v>
      </c>
      <c r="I32" s="8" t="s">
        <v>720</v>
      </c>
      <c r="J32" s="8" t="s">
        <v>721</v>
      </c>
    </row>
    <row r="33" spans="1:10" x14ac:dyDescent="0.25">
      <c r="A33" s="2" t="s">
        <v>481</v>
      </c>
      <c r="B33" s="8" t="s">
        <v>722</v>
      </c>
      <c r="C33" s="8" t="s">
        <v>481</v>
      </c>
      <c r="D33" s="6" t="s">
        <v>545</v>
      </c>
      <c r="E33" s="8" t="s">
        <v>723</v>
      </c>
      <c r="F33" s="8" t="s">
        <v>724</v>
      </c>
      <c r="G33" s="8" t="s">
        <v>725</v>
      </c>
      <c r="H33" s="8" t="s">
        <v>726</v>
      </c>
      <c r="I33" s="8" t="s">
        <v>727</v>
      </c>
      <c r="J33" s="8" t="s">
        <v>728</v>
      </c>
    </row>
    <row r="34" spans="1:10" x14ac:dyDescent="0.25">
      <c r="A34" s="2" t="s">
        <v>8</v>
      </c>
      <c r="B34" s="9" t="s">
        <v>111</v>
      </c>
      <c r="C34" s="9" t="s">
        <v>45</v>
      </c>
      <c r="D34" s="6" t="s">
        <v>545</v>
      </c>
      <c r="E34" s="8" t="s">
        <v>110</v>
      </c>
      <c r="F34" s="8" t="s">
        <v>729</v>
      </c>
      <c r="G34" s="8" t="s">
        <v>730</v>
      </c>
      <c r="H34" s="8" t="s">
        <v>731</v>
      </c>
      <c r="I34" s="8" t="s">
        <v>732</v>
      </c>
      <c r="J34" s="8" t="s">
        <v>733</v>
      </c>
    </row>
    <row r="35" spans="1:10" x14ac:dyDescent="0.25">
      <c r="A35" s="2" t="s">
        <v>46</v>
      </c>
      <c r="B35" s="7" t="s">
        <v>295</v>
      </c>
      <c r="C35" s="7" t="s">
        <v>734</v>
      </c>
      <c r="D35" s="6" t="s">
        <v>545</v>
      </c>
      <c r="E35" s="8" t="s">
        <v>294</v>
      </c>
      <c r="F35" s="8" t="s">
        <v>735</v>
      </c>
      <c r="G35" s="8" t="s">
        <v>736</v>
      </c>
      <c r="H35" s="8" t="s">
        <v>737</v>
      </c>
      <c r="I35" s="8" t="s">
        <v>738</v>
      </c>
      <c r="J35" s="8" t="s">
        <v>739</v>
      </c>
    </row>
    <row r="36" spans="1:10" x14ac:dyDescent="0.25">
      <c r="A36" s="2" t="s">
        <v>47</v>
      </c>
      <c r="B36" s="7" t="s">
        <v>124</v>
      </c>
      <c r="C36" s="7" t="s">
        <v>740</v>
      </c>
      <c r="D36" s="6" t="s">
        <v>545</v>
      </c>
      <c r="E36" s="8" t="s">
        <v>123</v>
      </c>
      <c r="F36" s="8" t="s">
        <v>741</v>
      </c>
      <c r="G36" s="8" t="s">
        <v>742</v>
      </c>
      <c r="H36" s="8" t="s">
        <v>743</v>
      </c>
      <c r="I36" s="8" t="s">
        <v>744</v>
      </c>
      <c r="J36" s="8" t="s">
        <v>745</v>
      </c>
    </row>
    <row r="37" spans="1:10" x14ac:dyDescent="0.25">
      <c r="A37" s="4" t="s">
        <v>57</v>
      </c>
      <c r="B37" s="7" t="s">
        <v>126</v>
      </c>
      <c r="C37" s="7" t="s">
        <v>746</v>
      </c>
      <c r="D37" s="6" t="s">
        <v>545</v>
      </c>
      <c r="E37" s="8" t="s">
        <v>125</v>
      </c>
      <c r="F37" s="8" t="s">
        <v>747</v>
      </c>
      <c r="G37" s="8" t="s">
        <v>748</v>
      </c>
      <c r="H37" s="8" t="s">
        <v>749</v>
      </c>
      <c r="I37" s="8" t="s">
        <v>750</v>
      </c>
      <c r="J37" s="8" t="s">
        <v>751</v>
      </c>
    </row>
    <row r="38" spans="1:10" x14ac:dyDescent="0.25">
      <c r="A38" s="4" t="s">
        <v>58</v>
      </c>
      <c r="B38" s="7" t="s">
        <v>127</v>
      </c>
      <c r="C38" s="7" t="s">
        <v>58</v>
      </c>
      <c r="D38" s="6" t="s">
        <v>545</v>
      </c>
      <c r="E38" s="8" t="s">
        <v>128</v>
      </c>
      <c r="F38" s="8" t="s">
        <v>752</v>
      </c>
      <c r="G38" s="8" t="s">
        <v>753</v>
      </c>
      <c r="H38" s="8" t="s">
        <v>754</v>
      </c>
      <c r="I38" s="8" t="s">
        <v>755</v>
      </c>
      <c r="J38" s="8" t="s">
        <v>756</v>
      </c>
    </row>
    <row r="39" spans="1:10" x14ac:dyDescent="0.25">
      <c r="A39" s="2" t="s">
        <v>7</v>
      </c>
      <c r="B39" s="9" t="s">
        <v>297</v>
      </c>
      <c r="C39" s="9" t="s">
        <v>757</v>
      </c>
      <c r="D39" s="6" t="s">
        <v>545</v>
      </c>
      <c r="E39" s="8" t="s">
        <v>296</v>
      </c>
      <c r="F39" s="8" t="s">
        <v>758</v>
      </c>
      <c r="G39" s="8" t="s">
        <v>759</v>
      </c>
      <c r="H39" s="8" t="s">
        <v>760</v>
      </c>
      <c r="I39" s="8" t="s">
        <v>761</v>
      </c>
      <c r="J39" s="8" t="s">
        <v>762</v>
      </c>
    </row>
    <row r="40" spans="1:10" x14ac:dyDescent="0.25">
      <c r="A40" s="4" t="s">
        <v>247</v>
      </c>
      <c r="B40" s="9" t="s">
        <v>264</v>
      </c>
      <c r="C40" s="7" t="s">
        <v>763</v>
      </c>
      <c r="D40" s="6" t="s">
        <v>545</v>
      </c>
      <c r="E40" s="8" t="s">
        <v>259</v>
      </c>
      <c r="F40" s="8" t="s">
        <v>764</v>
      </c>
      <c r="G40" s="8" t="s">
        <v>765</v>
      </c>
      <c r="H40" s="8" t="s">
        <v>766</v>
      </c>
      <c r="I40" s="8" t="s">
        <v>767</v>
      </c>
      <c r="J40" s="8" t="s">
        <v>768</v>
      </c>
    </row>
    <row r="41" spans="1:10" x14ac:dyDescent="0.25">
      <c r="A41" s="4" t="s">
        <v>248</v>
      </c>
      <c r="B41" s="9" t="s">
        <v>261</v>
      </c>
      <c r="C41" s="9" t="s">
        <v>248</v>
      </c>
      <c r="D41" s="6" t="s">
        <v>545</v>
      </c>
      <c r="E41" s="8" t="s">
        <v>256</v>
      </c>
      <c r="F41" s="8" t="s">
        <v>769</v>
      </c>
      <c r="G41" s="8" t="s">
        <v>770</v>
      </c>
      <c r="H41" s="8" t="s">
        <v>771</v>
      </c>
      <c r="I41" s="8" t="s">
        <v>772</v>
      </c>
      <c r="J41" s="8" t="s">
        <v>773</v>
      </c>
    </row>
    <row r="42" spans="1:10" x14ac:dyDescent="0.25">
      <c r="A42" s="4" t="s">
        <v>249</v>
      </c>
      <c r="B42" s="9" t="s">
        <v>262</v>
      </c>
      <c r="C42" s="9" t="s">
        <v>250</v>
      </c>
      <c r="D42" s="6" t="s">
        <v>545</v>
      </c>
      <c r="E42" s="8" t="s">
        <v>257</v>
      </c>
      <c r="F42" s="8" t="s">
        <v>774</v>
      </c>
      <c r="G42" s="8" t="s">
        <v>775</v>
      </c>
      <c r="H42" s="8" t="s">
        <v>776</v>
      </c>
      <c r="I42" s="8" t="s">
        <v>777</v>
      </c>
      <c r="J42" s="8" t="s">
        <v>778</v>
      </c>
    </row>
    <row r="43" spans="1:10" x14ac:dyDescent="0.25">
      <c r="A43" s="4" t="s">
        <v>251</v>
      </c>
      <c r="B43" s="9" t="s">
        <v>263</v>
      </c>
      <c r="C43" s="9" t="s">
        <v>252</v>
      </c>
      <c r="D43" s="6" t="s">
        <v>545</v>
      </c>
      <c r="E43" s="8" t="s">
        <v>258</v>
      </c>
      <c r="F43" s="8" t="s">
        <v>779</v>
      </c>
      <c r="G43" s="8" t="s">
        <v>780</v>
      </c>
      <c r="H43" s="8" t="s">
        <v>781</v>
      </c>
      <c r="I43" s="8" t="s">
        <v>782</v>
      </c>
      <c r="J43" s="8" t="s">
        <v>783</v>
      </c>
    </row>
    <row r="44" spans="1:10" x14ac:dyDescent="0.25">
      <c r="A44" s="2" t="s">
        <v>81</v>
      </c>
      <c r="B44" s="9" t="s">
        <v>85</v>
      </c>
      <c r="C44" s="9" t="s">
        <v>81</v>
      </c>
      <c r="D44" s="6" t="s">
        <v>545</v>
      </c>
      <c r="E44" s="9" t="s">
        <v>84</v>
      </c>
      <c r="F44" s="9" t="s">
        <v>784</v>
      </c>
      <c r="G44" s="9" t="s">
        <v>785</v>
      </c>
      <c r="H44" s="9" t="s">
        <v>786</v>
      </c>
      <c r="I44" s="9" t="s">
        <v>787</v>
      </c>
      <c r="J44" s="9" t="s">
        <v>788</v>
      </c>
    </row>
    <row r="45" spans="1:10" x14ac:dyDescent="0.25">
      <c r="A45" s="2" t="s">
        <v>82</v>
      </c>
      <c r="B45" s="9" t="s">
        <v>107</v>
      </c>
      <c r="C45" s="9" t="s">
        <v>789</v>
      </c>
      <c r="D45" s="6" t="s">
        <v>545</v>
      </c>
      <c r="E45" s="9" t="s">
        <v>113</v>
      </c>
      <c r="F45" s="9" t="s">
        <v>790</v>
      </c>
      <c r="G45" s="9" t="s">
        <v>791</v>
      </c>
      <c r="H45" s="9" t="s">
        <v>792</v>
      </c>
      <c r="I45" s="9" t="s">
        <v>793</v>
      </c>
      <c r="J45" s="9" t="s">
        <v>794</v>
      </c>
    </row>
    <row r="46" spans="1:10" x14ac:dyDescent="0.25">
      <c r="A46" s="2" t="s">
        <v>803</v>
      </c>
      <c r="B46" s="9" t="s">
        <v>75</v>
      </c>
      <c r="C46" s="7" t="str">
        <f>IF(RIGHT(Tables[Name],3)="ies",MID(Tables[Name],1,LEN(Tables[Name])-3)&amp;"y",IF(RIGHT(Tables[Name],1)="s",MID(Tables[Name],1,LEN(Tables[Name])-1),Tables[Name]))</f>
        <v>partner</v>
      </c>
      <c r="D46" s="7" t="str">
        <f t="shared" ref="D46:D47" si="0">"Milestone\Task\Model"</f>
        <v>Milestone\Task\Model</v>
      </c>
      <c r="E46" s="7" t="str">
        <f>SUBSTITUTE(PROPER(Tables[Singular Name]),"_","")</f>
        <v>Partner</v>
      </c>
      <c r="F46" s="7" t="str">
        <f>"php artisan make:migration create_"&amp;Tables[Table]&amp;"_table --create="&amp;Tables[Table]</f>
        <v>php artisan make:migration create_users_table --create=users</v>
      </c>
      <c r="G46" s="7" t="str">
        <f>"php artisan make:model "&amp;Tables[Class Name]</f>
        <v>php artisan make:model Partner</v>
      </c>
      <c r="H46" s="7" t="str">
        <f>"protected $table = '"&amp;Tables[Table]&amp;"';"</f>
        <v>protected $table = 'users';</v>
      </c>
      <c r="I46" s="7" t="str">
        <f>"php artisan make:seed "&amp;Tables[Class Name]&amp;"TableSeeder"</f>
        <v>php artisan make:seed PartnerTableSeeder</v>
      </c>
      <c r="J46" s="7" t="str">
        <f>Tables[Class Name]&amp;"TableSeeder"&amp;"::class,"</f>
        <v>PartnerTableSeeder::class,</v>
      </c>
    </row>
    <row r="47" spans="1:10" x14ac:dyDescent="0.25">
      <c r="A47" s="61" t="s">
        <v>59</v>
      </c>
      <c r="B47" s="62" t="str">
        <f>Tables[Name]</f>
        <v>groups</v>
      </c>
      <c r="C47" s="62" t="str">
        <f>IF(RIGHT(Tables[Name],3)="ies",MID(Tables[Name],1,LEN(Tables[Name])-3)&amp;"y",IF(RIGHT(Tables[Name],1)="s",MID(Tables[Name],1,LEN(Tables[Name])-1),Tables[Name]))</f>
        <v>group</v>
      </c>
      <c r="D47" s="62" t="str">
        <f t="shared" si="0"/>
        <v>Milestone\Task\Model</v>
      </c>
      <c r="E47" s="62" t="str">
        <f>SUBSTITUTE(PROPER(Tables[Singular Name]),"_","")</f>
        <v>Group</v>
      </c>
      <c r="F47" s="62" t="str">
        <f>"php artisan make:migration create_"&amp;Tables[Table]&amp;"_table --create="&amp;Tables[Table]</f>
        <v>php artisan make:migration create_groups_table --create=groups</v>
      </c>
      <c r="G47" s="62" t="str">
        <f>"php artisan make:model "&amp;Tables[Class Name]</f>
        <v>php artisan make:model Group</v>
      </c>
      <c r="H47" s="62" t="str">
        <f>"protected $table = '"&amp;Tables[Table]&amp;"';"</f>
        <v>protected $table = 'groups';</v>
      </c>
      <c r="I47" s="62" t="str">
        <f>"php artisan make:seed "&amp;Tables[Class Name]&amp;"TableSeeder"</f>
        <v>php artisan make:seed GroupTableSeeder</v>
      </c>
      <c r="J47" s="62" t="str">
        <f>Tables[Class Name]&amp;"TableSeeder"&amp;"::class,"</f>
        <v>GroupTableSeeder::class,</v>
      </c>
    </row>
    <row r="48" spans="1:10" x14ac:dyDescent="0.25">
      <c r="A48" s="63" t="s">
        <v>804</v>
      </c>
      <c r="B48" s="62" t="str">
        <f>Tables[Name]</f>
        <v>group_partners</v>
      </c>
      <c r="C48" s="62" t="str">
        <f>IF(RIGHT(Tables[Name],3)="ies",MID(Tables[Name],1,LEN(Tables[Name])-3)&amp;"y",IF(RIGHT(Tables[Name],1)="s",MID(Tables[Name],1,LEN(Tables[Name])-1),Tables[Name]))</f>
        <v>group_partner</v>
      </c>
      <c r="D48" s="62" t="str">
        <f>"Milestone\Task\Model"</f>
        <v>Milestone\Task\Model</v>
      </c>
      <c r="E48" s="62" t="str">
        <f>SUBSTITUTE(PROPER(Tables[Singular Name]),"_","")</f>
        <v>GroupPartner</v>
      </c>
      <c r="F48" s="62" t="str">
        <f>"php artisan make:migration create_"&amp;Tables[Table]&amp;"_table --create="&amp;Tables[Table]</f>
        <v>php artisan make:migration create_group_partners_table --create=group_partners</v>
      </c>
      <c r="G48" s="62" t="str">
        <f>"php artisan make:model "&amp;Tables[Class Name]</f>
        <v>php artisan make:model GroupPartner</v>
      </c>
      <c r="H48" s="62" t="str">
        <f>"protected $table = '"&amp;Tables[Table]&amp;"';"</f>
        <v>protected $table = 'group_partners';</v>
      </c>
      <c r="I48" s="62" t="str">
        <f>"php artisan make:seed "&amp;Tables[Class Name]&amp;"TableSeeder"</f>
        <v>php artisan make:seed GroupPartnerTableSeeder</v>
      </c>
      <c r="J48" s="62" t="str">
        <f>Tables[Class Name]&amp;"TableSeeder"&amp;"::class,"</f>
        <v>GroupPartnerTableSeeder::class,</v>
      </c>
    </row>
    <row r="49" spans="1:10" x14ac:dyDescent="0.25">
      <c r="A49" s="63" t="s">
        <v>1135</v>
      </c>
      <c r="B49" s="62" t="str">
        <f>Tables[Name]</f>
        <v>categories</v>
      </c>
      <c r="C49" s="62" t="str">
        <f>IF(RIGHT(Tables[Name],3)="ies",MID(Tables[Name],1,LEN(Tables[Name])-3)&amp;"y",IF(RIGHT(Tables[Name],1)="s",MID(Tables[Name],1,LEN(Tables[Name])-1),Tables[Name]))</f>
        <v>category</v>
      </c>
      <c r="D49" s="62" t="str">
        <f>"Milestone\Task\Model"</f>
        <v>Milestone\Task\Model</v>
      </c>
      <c r="E49" s="62" t="str">
        <f>SUBSTITUTE(PROPER(Tables[Singular Name]),"_","")</f>
        <v>Category</v>
      </c>
      <c r="F49" s="62" t="str">
        <f>"php artisan make:migration create_"&amp;Tables[Table]&amp;"_table --create="&amp;Tables[Table]</f>
        <v>php artisan make:migration create_categories_table --create=categories</v>
      </c>
      <c r="G49" s="62" t="str">
        <f>"php artisan make:model "&amp;Tables[Class Name]</f>
        <v>php artisan make:model Category</v>
      </c>
      <c r="H49" s="62" t="str">
        <f>"protected $table = '"&amp;Tables[Table]&amp;"';"</f>
        <v>protected $table = 'categories';</v>
      </c>
      <c r="I49" s="62" t="str">
        <f>"php artisan make:seed "&amp;Tables[Class Name]&amp;"TableSeeder"</f>
        <v>php artisan make:seed CategoryTableSeeder</v>
      </c>
      <c r="J49" s="62" t="str">
        <f>Tables[Class Name]&amp;"TableSeeder"&amp;"::class,"</f>
        <v>CategoryTableSeeder::class,</v>
      </c>
    </row>
    <row r="50" spans="1:10" x14ac:dyDescent="0.25">
      <c r="A50" s="63" t="s">
        <v>802</v>
      </c>
      <c r="B50" s="62" t="str">
        <f>Tables[Name]</f>
        <v>tasks</v>
      </c>
      <c r="C50" s="62" t="str">
        <f>IF(RIGHT(Tables[Name],3)="ies",MID(Tables[Name],1,LEN(Tables[Name])-3)&amp;"y",IF(RIGHT(Tables[Name],1)="s",MID(Tables[Name],1,LEN(Tables[Name])-1),Tables[Name]))</f>
        <v>task</v>
      </c>
      <c r="D50" s="62" t="str">
        <f>"Milestone\Task\Model"</f>
        <v>Milestone\Task\Model</v>
      </c>
      <c r="E50" s="62" t="str">
        <f>SUBSTITUTE(PROPER(Tables[Singular Name]),"_","")</f>
        <v>Task</v>
      </c>
      <c r="F50" s="62" t="str">
        <f>"php artisan make:migration create_"&amp;Tables[Table]&amp;"_table --create="&amp;Tables[Table]</f>
        <v>php artisan make:migration create_tasks_table --create=tasks</v>
      </c>
      <c r="G50" s="62" t="str">
        <f>"php artisan make:model "&amp;Tables[Class Name]</f>
        <v>php artisan make:model Task</v>
      </c>
      <c r="H50" s="62" t="str">
        <f>"protected $table = '"&amp;Tables[Table]&amp;"';"</f>
        <v>protected $table = 'tasks';</v>
      </c>
      <c r="I50" s="62" t="str">
        <f>"php artisan make:seed "&amp;Tables[Class Name]&amp;"TableSeeder"</f>
        <v>php artisan make:seed TaskTableSeeder</v>
      </c>
      <c r="J50" s="62" t="str">
        <f>Tables[Class Name]&amp;"TableSeeder"&amp;"::class,"</f>
        <v>TaskTableSeeder::class,</v>
      </c>
    </row>
    <row r="51" spans="1:10" x14ac:dyDescent="0.25">
      <c r="A51" s="63" t="s">
        <v>805</v>
      </c>
      <c r="B51" s="62" t="str">
        <f>Tables[Name]</f>
        <v>partner_tasks</v>
      </c>
      <c r="C51" s="62" t="str">
        <f>IF(RIGHT(Tables[Name],3)="ies",MID(Tables[Name],1,LEN(Tables[Name])-3)&amp;"y",IF(RIGHT(Tables[Name],1)="s",MID(Tables[Name],1,LEN(Tables[Name])-1),Tables[Name]))</f>
        <v>partner_task</v>
      </c>
      <c r="D51" s="62" t="str">
        <f>"Milestone\Task\Model"</f>
        <v>Milestone\Task\Model</v>
      </c>
      <c r="E51" s="62" t="str">
        <f>SUBSTITUTE(PROPER(Tables[Singular Name]),"_","")</f>
        <v>PartnerTask</v>
      </c>
      <c r="F51" s="62" t="str">
        <f>"php artisan make:migration create_"&amp;Tables[Table]&amp;"_table --create="&amp;Tables[Table]</f>
        <v>php artisan make:migration create_partner_tasks_table --create=partner_tasks</v>
      </c>
      <c r="G51" s="62" t="str">
        <f>"php artisan make:model "&amp;Tables[Class Name]</f>
        <v>php artisan make:model PartnerTask</v>
      </c>
      <c r="H51" s="62" t="str">
        <f>"protected $table = '"&amp;Tables[Table]&amp;"';"</f>
        <v>protected $table = 'partner_tasks';</v>
      </c>
      <c r="I51" s="62" t="str">
        <f>"php artisan make:seed "&amp;Tables[Class Name]&amp;"TableSeeder"</f>
        <v>php artisan make:seed PartnerTaskTableSeeder</v>
      </c>
      <c r="J51" s="62" t="str">
        <f>Tables[Class Name]&amp;"TableSeeder"&amp;"::class,"</f>
        <v>PartnerTaskTableSeeder::class,</v>
      </c>
    </row>
  </sheetData>
  <pageMargins left="0.7" right="0.7" top="0.75" bottom="0.75" header="0.3" footer="0.3"/>
  <pageSetup paperSize="9" orientation="portrait" horizontalDpi="4294967293" verticalDpi="120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S33"/>
  <sheetViews>
    <sheetView topLeftCell="AO12" workbookViewId="0">
      <selection activeCell="BC33" sqref="BC33"/>
    </sheetView>
  </sheetViews>
  <sheetFormatPr defaultRowHeight="15" x14ac:dyDescent="0.25"/>
  <cols>
    <col min="1" max="1" width="13.140625" hidden="1" customWidth="1"/>
    <col min="2" max="2" width="19.7109375" style="20" hidden="1" customWidth="1"/>
    <col min="3" max="3" width="5.140625" style="20" hidden="1" customWidth="1"/>
    <col min="4" max="4" width="25.7109375" customWidth="1"/>
    <col min="5" max="5" width="4.7109375" style="20" hidden="1" customWidth="1"/>
    <col min="6" max="6" width="9.5703125" hidden="1" customWidth="1"/>
    <col min="7" max="7" width="15.85546875" bestFit="1" customWidth="1"/>
    <col min="8" max="8" width="21.85546875" bestFit="1" customWidth="1"/>
    <col min="9" max="9" width="12.85546875" bestFit="1" customWidth="1"/>
    <col min="10" max="10" width="12.140625" bestFit="1" customWidth="1"/>
    <col min="11" max="11" width="8.140625" style="20" customWidth="1"/>
    <col min="13" max="13" width="10" hidden="1" customWidth="1"/>
    <col min="14" max="14" width="29" bestFit="1" customWidth="1"/>
    <col min="15" max="15" width="5.140625" style="20" hidden="1" customWidth="1"/>
    <col min="16" max="16" width="27.140625" style="20" hidden="1" customWidth="1"/>
    <col min="17" max="17" width="4.7109375" hidden="1" customWidth="1"/>
    <col min="18" max="18" width="10.85546875" hidden="1" customWidth="1"/>
    <col min="19" max="21" width="20.42578125" customWidth="1"/>
    <col min="22" max="22" width="18.140625" bestFit="1" customWidth="1"/>
    <col min="23" max="25" width="8.140625" hidden="1" customWidth="1"/>
    <col min="26" max="26" width="10.5703125" style="20" hidden="1" customWidth="1"/>
    <col min="27" max="27" width="6.140625" style="20" hidden="1" customWidth="1"/>
    <col min="28" max="28" width="7.140625" style="20" hidden="1" customWidth="1"/>
    <col min="29" max="29" width="6.140625" style="20" hidden="1" customWidth="1"/>
    <col min="30" max="30" width="11.85546875" hidden="1" customWidth="1"/>
    <col min="31" max="31" width="17.85546875" customWidth="1"/>
    <col min="32" max="32" width="9" hidden="1" customWidth="1"/>
    <col min="33" max="35" width="11" hidden="1" customWidth="1"/>
    <col min="36" max="36" width="9.140625" style="20" hidden="1" customWidth="1"/>
    <col min="37" max="37" width="11.140625" style="20" hidden="1" customWidth="1"/>
    <col min="38" max="39" width="6.140625" style="20" hidden="1" customWidth="1"/>
    <col min="40" max="40" width="13.140625" hidden="1" customWidth="1"/>
    <col min="41" max="45" width="11" customWidth="1"/>
    <col min="46" max="49" width="10.28515625" style="20" hidden="1" customWidth="1"/>
    <col min="50" max="50" width="13.28515625" style="20" hidden="1" customWidth="1"/>
    <col min="51" max="51" width="13.140625" style="20" hidden="1" customWidth="1"/>
    <col min="52" max="52" width="8.7109375" bestFit="1" customWidth="1"/>
    <col min="53" max="53" width="8.7109375" style="20" customWidth="1"/>
    <col min="54" max="54" width="15.140625" customWidth="1"/>
    <col min="55" max="55" width="23.85546875" customWidth="1"/>
    <col min="56" max="57" width="14.28515625" style="20" hidden="1" customWidth="1"/>
    <col min="58" max="58" width="14.28515625" hidden="1" customWidth="1"/>
    <col min="59" max="60" width="14.28515625" customWidth="1"/>
    <col min="62" max="62" width="22.5703125" customWidth="1"/>
    <col min="63" max="63" width="19" style="20" hidden="1" customWidth="1"/>
    <col min="64" max="64" width="9.28515625" style="20" hidden="1" customWidth="1"/>
    <col min="65" max="65" width="9.28515625" hidden="1" customWidth="1"/>
    <col min="66" max="66" width="13.7109375" hidden="1" customWidth="1"/>
    <col min="67" max="67" width="29" customWidth="1"/>
    <col min="68" max="70" width="9.5703125" customWidth="1"/>
    <col min="71" max="71" width="9.5703125" style="20" customWidth="1"/>
    <col min="72" max="72" width="22.7109375" style="20" customWidth="1"/>
    <col min="73" max="73" width="27.7109375" style="20" hidden="1" customWidth="1"/>
    <col min="74" max="74" width="29" style="20" bestFit="1" customWidth="1"/>
    <col min="75" max="75" width="20" style="20" customWidth="1"/>
    <col min="76" max="76" width="39.85546875" style="20" bestFit="1" customWidth="1"/>
    <col min="77" max="77" width="5.140625" style="20" hidden="1" customWidth="1"/>
    <col min="78" max="78" width="13.140625" style="20" hidden="1" customWidth="1"/>
    <col min="79" max="79" width="14.7109375" style="20" hidden="1" customWidth="1"/>
    <col min="80" max="80" width="10.5703125" style="20" hidden="1" customWidth="1"/>
    <col min="81" max="81" width="15.28515625" style="20" hidden="1" customWidth="1"/>
    <col min="82" max="82" width="9.5703125" style="20" customWidth="1"/>
    <col min="83" max="83" width="11.7109375" customWidth="1"/>
    <col min="84" max="84" width="27.5703125" hidden="1" customWidth="1"/>
    <col min="85" max="85" width="32.42578125" hidden="1" customWidth="1"/>
    <col min="86" max="86" width="21.5703125" style="20" customWidth="1"/>
    <col min="87" max="87" width="11.7109375" hidden="1" customWidth="1"/>
    <col min="88" max="88" width="11.7109375" customWidth="1"/>
    <col min="89" max="89" width="11.7109375" hidden="1" customWidth="1"/>
    <col min="90" max="90" width="11.7109375" customWidth="1"/>
    <col min="91" max="95" width="11.7109375" style="20" hidden="1" customWidth="1"/>
    <col min="96" max="96" width="11.7109375" style="20" customWidth="1"/>
    <col min="97" max="98" width="11.7109375" style="20" hidden="1" customWidth="1"/>
    <col min="99" max="101" width="11.7109375" hidden="1" customWidth="1"/>
    <col min="102" max="102" width="10.140625" hidden="1" customWidth="1"/>
    <col min="103" max="103" width="0" hidden="1" customWidth="1"/>
    <col min="104" max="104" width="39.85546875" bestFit="1" customWidth="1"/>
    <col min="105" max="106" width="24.7109375" style="20" customWidth="1"/>
    <col min="107" max="109" width="24.7109375" hidden="1" customWidth="1"/>
    <col min="110" max="114" width="24.7109375" customWidth="1"/>
    <col min="116" max="118" width="28.7109375" customWidth="1"/>
    <col min="119" max="121" width="28.7109375" hidden="1" customWidth="1"/>
    <col min="122" max="125" width="28.7109375" customWidth="1"/>
    <col min="126" max="126" width="9.7109375" customWidth="1"/>
    <col min="127" max="127" width="23.42578125" customWidth="1"/>
    <col min="128" max="128" width="22" customWidth="1"/>
    <col min="129" max="129" width="27.42578125" customWidth="1"/>
    <col min="130" max="130" width="22.140625" customWidth="1"/>
    <col min="131" max="131" width="21.7109375" customWidth="1"/>
    <col min="132" max="134" width="13.28515625" hidden="1" customWidth="1"/>
    <col min="135" max="135" width="20.42578125" hidden="1" customWidth="1"/>
    <col min="136" max="136" width="6.7109375" hidden="1" customWidth="1"/>
    <col min="137" max="137" width="16" customWidth="1"/>
    <col min="138" max="138" width="18" hidden="1" customWidth="1"/>
    <col min="139" max="139" width="20.7109375" hidden="1" customWidth="1"/>
    <col min="140" max="141" width="6.7109375" hidden="1" customWidth="1"/>
    <col min="142" max="143" width="15.42578125" hidden="1" customWidth="1"/>
    <col min="144" max="144" width="18.85546875" customWidth="1"/>
    <col min="145" max="145" width="18.42578125" customWidth="1"/>
    <col min="146" max="147" width="15.42578125" hidden="1" customWidth="1"/>
    <col min="148" max="149" width="0" hidden="1" customWidth="1"/>
  </cols>
  <sheetData>
    <row r="1" spans="1:149" x14ac:dyDescent="0.25">
      <c r="A1" s="1" t="s">
        <v>344</v>
      </c>
      <c r="B1" s="1" t="s">
        <v>349</v>
      </c>
      <c r="C1" s="1" t="s">
        <v>99</v>
      </c>
      <c r="D1" s="1" t="s">
        <v>100</v>
      </c>
      <c r="E1" s="1" t="s">
        <v>307</v>
      </c>
      <c r="F1" s="1" t="s">
        <v>86</v>
      </c>
      <c r="G1" s="1" t="s">
        <v>1</v>
      </c>
      <c r="H1" s="1" t="s">
        <v>102</v>
      </c>
      <c r="I1" s="1" t="s">
        <v>97</v>
      </c>
      <c r="J1" s="1" t="s">
        <v>103</v>
      </c>
      <c r="K1" s="1" t="s">
        <v>451</v>
      </c>
      <c r="M1" s="1" t="s">
        <v>344</v>
      </c>
      <c r="N1" s="1" t="s">
        <v>101</v>
      </c>
      <c r="O1" s="1" t="s">
        <v>99</v>
      </c>
      <c r="P1" s="1" t="s">
        <v>352</v>
      </c>
      <c r="Q1" s="33" t="s">
        <v>307</v>
      </c>
      <c r="R1" s="1" t="s">
        <v>121</v>
      </c>
      <c r="S1" s="41" t="s">
        <v>1</v>
      </c>
      <c r="T1" s="41" t="s">
        <v>14</v>
      </c>
      <c r="U1" s="41" t="s">
        <v>104</v>
      </c>
      <c r="V1" s="43" t="s">
        <v>303</v>
      </c>
      <c r="W1" s="43" t="s">
        <v>304</v>
      </c>
      <c r="X1" s="43" t="s">
        <v>305</v>
      </c>
      <c r="Y1" s="43" t="s">
        <v>306</v>
      </c>
      <c r="Z1" s="43" t="s">
        <v>355</v>
      </c>
      <c r="AA1" s="43" t="s">
        <v>356</v>
      </c>
      <c r="AB1" s="43" t="s">
        <v>359</v>
      </c>
      <c r="AC1" s="43" t="s">
        <v>357</v>
      </c>
      <c r="AD1" s="43" t="s">
        <v>313</v>
      </c>
      <c r="AE1" s="43" t="s">
        <v>106</v>
      </c>
      <c r="AF1" s="1" t="s">
        <v>105</v>
      </c>
      <c r="AG1" s="1" t="s">
        <v>300</v>
      </c>
      <c r="AH1" s="1" t="s">
        <v>301</v>
      </c>
      <c r="AI1" s="1" t="s">
        <v>302</v>
      </c>
      <c r="AJ1" s="1" t="s">
        <v>362</v>
      </c>
      <c r="AK1" s="1" t="s">
        <v>361</v>
      </c>
      <c r="AL1" s="1" t="s">
        <v>358</v>
      </c>
      <c r="AM1" s="1" t="s">
        <v>363</v>
      </c>
      <c r="AN1" s="1" t="s">
        <v>312</v>
      </c>
      <c r="AO1" s="41" t="s">
        <v>309</v>
      </c>
      <c r="AP1" s="41" t="s">
        <v>98</v>
      </c>
      <c r="AQ1" s="41" t="s">
        <v>310</v>
      </c>
      <c r="AR1" s="41" t="s">
        <v>311</v>
      </c>
      <c r="AS1" s="41" t="s">
        <v>272</v>
      </c>
      <c r="AT1" s="1" t="s">
        <v>365</v>
      </c>
      <c r="AU1" s="1" t="s">
        <v>366</v>
      </c>
      <c r="AV1" s="1" t="s">
        <v>367</v>
      </c>
      <c r="AW1" s="1" t="s">
        <v>368</v>
      </c>
      <c r="AX1" s="1" t="s">
        <v>322</v>
      </c>
      <c r="AY1" s="1" t="s">
        <v>323</v>
      </c>
      <c r="AZ1" s="43" t="s">
        <v>324</v>
      </c>
      <c r="BA1" s="59" t="s">
        <v>473</v>
      </c>
      <c r="BC1" s="1" t="s">
        <v>336</v>
      </c>
      <c r="BD1" s="1" t="s">
        <v>344</v>
      </c>
      <c r="BE1" s="1" t="s">
        <v>99</v>
      </c>
      <c r="BF1" s="1" t="s">
        <v>13</v>
      </c>
      <c r="BG1" s="1" t="s">
        <v>1</v>
      </c>
      <c r="BH1" s="1" t="s">
        <v>276</v>
      </c>
      <c r="BJ1" s="1" t="s">
        <v>338</v>
      </c>
      <c r="BK1" s="1" t="s">
        <v>801</v>
      </c>
      <c r="BL1" s="1" t="s">
        <v>344</v>
      </c>
      <c r="BM1" s="1" t="s">
        <v>99</v>
      </c>
      <c r="BN1" s="1" t="s">
        <v>13</v>
      </c>
      <c r="BO1" s="1" t="s">
        <v>273</v>
      </c>
      <c r="BP1" s="1" t="s">
        <v>274</v>
      </c>
      <c r="BQ1" s="1" t="s">
        <v>319</v>
      </c>
      <c r="BR1" s="1" t="s">
        <v>320</v>
      </c>
      <c r="BS1" s="1" t="s">
        <v>321</v>
      </c>
      <c r="BT1" s="1"/>
      <c r="BU1" s="1" t="s">
        <v>344</v>
      </c>
      <c r="BV1" s="1" t="s">
        <v>398</v>
      </c>
      <c r="BW1" s="1" t="s">
        <v>227</v>
      </c>
      <c r="BX1" s="1" t="s">
        <v>105</v>
      </c>
      <c r="BY1" s="1" t="s">
        <v>399</v>
      </c>
      <c r="BZ1" s="1" t="s">
        <v>99</v>
      </c>
      <c r="CA1" s="1" t="s">
        <v>400</v>
      </c>
      <c r="CB1" s="1" t="s">
        <v>401</v>
      </c>
      <c r="CC1" s="1" t="s">
        <v>402</v>
      </c>
      <c r="CD1" s="1" t="s">
        <v>278</v>
      </c>
      <c r="CE1" s="1"/>
      <c r="CF1" s="20" t="s">
        <v>99</v>
      </c>
      <c r="CG1" s="20" t="s">
        <v>344</v>
      </c>
      <c r="CH1" s="20" t="s">
        <v>389</v>
      </c>
      <c r="CI1" s="20" t="s">
        <v>307</v>
      </c>
      <c r="CJ1" s="20" t="s">
        <v>121</v>
      </c>
      <c r="CK1" s="20" t="s">
        <v>1</v>
      </c>
      <c r="CL1" s="20" t="s">
        <v>276</v>
      </c>
      <c r="CM1" s="20" t="s">
        <v>105</v>
      </c>
      <c r="CN1" s="20" t="s">
        <v>106</v>
      </c>
      <c r="CO1" s="20" t="s">
        <v>395</v>
      </c>
      <c r="CP1" s="20" t="s">
        <v>396</v>
      </c>
      <c r="CQ1" s="20" t="s">
        <v>397</v>
      </c>
      <c r="CR1" s="20" t="s">
        <v>120</v>
      </c>
      <c r="CS1" s="20" t="s">
        <v>394</v>
      </c>
      <c r="CT1" s="20" t="s">
        <v>300</v>
      </c>
      <c r="CU1" s="20" t="s">
        <v>301</v>
      </c>
      <c r="CV1" s="20" t="s">
        <v>302</v>
      </c>
      <c r="CW1" s="20" t="s">
        <v>391</v>
      </c>
      <c r="CX1" s="20" t="s">
        <v>392</v>
      </c>
      <c r="CY1" s="20" t="s">
        <v>393</v>
      </c>
      <c r="CZ1" s="20" t="s">
        <v>17</v>
      </c>
      <c r="DA1"/>
      <c r="DB1" s="1" t="s">
        <v>476</v>
      </c>
      <c r="DC1" s="1" t="s">
        <v>344</v>
      </c>
      <c r="DD1" s="1" t="s">
        <v>307</v>
      </c>
      <c r="DE1" s="1" t="s">
        <v>473</v>
      </c>
      <c r="DF1" s="1" t="s">
        <v>471</v>
      </c>
      <c r="DG1" s="1" t="s">
        <v>472</v>
      </c>
      <c r="DH1" s="1" t="s">
        <v>315</v>
      </c>
      <c r="DI1" s="1" t="s">
        <v>275</v>
      </c>
      <c r="DJ1" s="1" t="s">
        <v>120</v>
      </c>
      <c r="DK1" s="1" t="s">
        <v>316</v>
      </c>
      <c r="DL1" s="1" t="s">
        <v>317</v>
      </c>
      <c r="DN1" s="1" t="s">
        <v>477</v>
      </c>
      <c r="DO1" s="1" t="s">
        <v>344</v>
      </c>
      <c r="DP1" s="1" t="s">
        <v>307</v>
      </c>
      <c r="DQ1" s="1" t="s">
        <v>473</v>
      </c>
      <c r="DR1" s="1" t="s">
        <v>14</v>
      </c>
      <c r="DS1" s="1" t="s">
        <v>314</v>
      </c>
      <c r="DT1" s="1" t="s">
        <v>318</v>
      </c>
      <c r="DU1" s="1" t="s">
        <v>276</v>
      </c>
      <c r="DV1" s="1" t="s">
        <v>277</v>
      </c>
      <c r="DW1" s="1" t="s">
        <v>315</v>
      </c>
      <c r="DY1" s="1" t="s">
        <v>483</v>
      </c>
      <c r="DZ1" s="1" t="s">
        <v>199</v>
      </c>
      <c r="EA1" s="1" t="s">
        <v>484</v>
      </c>
      <c r="EB1" s="1" t="s">
        <v>344</v>
      </c>
      <c r="EC1" s="1" t="s">
        <v>307</v>
      </c>
      <c r="ED1" s="1" t="s">
        <v>121</v>
      </c>
      <c r="EE1" s="1" t="s">
        <v>130</v>
      </c>
      <c r="EF1" s="1" t="s">
        <v>13</v>
      </c>
      <c r="EG1" s="1" t="s">
        <v>106</v>
      </c>
      <c r="EH1" s="1" t="s">
        <v>485</v>
      </c>
      <c r="EI1" s="1" t="s">
        <v>300</v>
      </c>
      <c r="EJ1" s="1" t="s">
        <v>301</v>
      </c>
      <c r="EK1" s="1" t="s">
        <v>302</v>
      </c>
      <c r="EL1" s="1" t="s">
        <v>486</v>
      </c>
      <c r="EM1" s="1" t="s">
        <v>487</v>
      </c>
      <c r="EN1" s="1" t="s">
        <v>105</v>
      </c>
      <c r="EO1" s="1" t="s">
        <v>304</v>
      </c>
      <c r="EP1" s="1" t="s">
        <v>305</v>
      </c>
      <c r="EQ1" s="1" t="s">
        <v>306</v>
      </c>
      <c r="ER1" s="1" t="s">
        <v>488</v>
      </c>
      <c r="ES1" s="1" t="s">
        <v>489</v>
      </c>
    </row>
    <row r="2" spans="1:149" x14ac:dyDescent="0.25">
      <c r="A2" s="15" t="str">
        <f>'Table Seed Map'!$A$11&amp;"-"&amp;(COUNTA($F$1:ResourceForms[[#This Row],[Resource]])-2)</f>
        <v>Resource Forms-0</v>
      </c>
      <c r="B2" s="15" t="str">
        <f>ResourceForms[[#This Row],[Resource Name]]&amp;"/"&amp;ResourceForms[[#This Row],[Name]]</f>
        <v>/name</v>
      </c>
      <c r="C2" s="15">
        <f>COUNTA($A$1:ResourceForms[[#This Row],[Primary]])-2</f>
        <v>0</v>
      </c>
      <c r="D2" s="13"/>
      <c r="E2" s="15" t="str">
        <f>IF(ResourceForms[[#This Row],[No]]=0,"id",ResourceForms[[#This Row],[No]]+IF(ISNUMBER(VLOOKUP('Table Seed Map'!$A$11,SeedMap[],9,0)),VLOOKUP('Table Seed Map'!$A$11,SeedMap[],9,0),0))</f>
        <v>id</v>
      </c>
      <c r="F2" s="15" t="str">
        <f>IFERROR(VLOOKUP(ResourceForms[[#This Row],[Resource Name]],ResourceTable[[RName]:[No]],3,0),"resource")</f>
        <v>resource</v>
      </c>
      <c r="G2" s="6" t="s">
        <v>23</v>
      </c>
      <c r="H2" s="15" t="s">
        <v>24</v>
      </c>
      <c r="I2" s="6" t="s">
        <v>25</v>
      </c>
      <c r="J2" s="6" t="s">
        <v>40</v>
      </c>
      <c r="K2" s="3" t="str">
        <f>ResourceForms[ID]</f>
        <v>id</v>
      </c>
      <c r="M2" s="39" t="str">
        <f>'Table Seed Map'!$A$12&amp;"-"&amp;FormFields[[#This Row],[No]]</f>
        <v>Form Fields-0</v>
      </c>
      <c r="N2" s="34"/>
      <c r="O2" s="37">
        <f>COUNTA($N$1:FormFields[[#This Row],[Form Name]])-1</f>
        <v>0</v>
      </c>
      <c r="P2" s="39" t="str">
        <f>FormFields[[#This Row],[Form Name]]&amp;"/"&amp;FormFields[[#This Row],[Name]]</f>
        <v>/name</v>
      </c>
      <c r="Q2" s="37" t="str">
        <f>IF(FormFields[[#This Row],[No]]=0,"id",FormFields[[#This Row],[No]]+IF(ISNUMBER(VLOOKUP('Table Seed Map'!$A$12,SeedMap[],9,0)),VLOOKUP('Table Seed Map'!$A$12,SeedMap[],9,0),0))</f>
        <v>id</v>
      </c>
      <c r="R2" s="40" t="str">
        <f>IFERROR(VLOOKUP(FormFields[[#This Row],[Form Name]],ResourceForms[[FormName]:[ID]],4,0),"resource_form")</f>
        <v>resource_form</v>
      </c>
      <c r="S2" s="42" t="s">
        <v>23</v>
      </c>
      <c r="T2" s="42" t="s">
        <v>35</v>
      </c>
      <c r="U2" s="42" t="s">
        <v>95</v>
      </c>
      <c r="V2" s="43"/>
      <c r="W2" s="43"/>
      <c r="X2" s="43"/>
      <c r="Y2" s="43"/>
      <c r="Z2" s="44" t="str">
        <f>'Table Seed Map'!$A$13&amp;"-"&amp;FormFields[[#This Row],[NO2]]</f>
        <v>Field Data-0</v>
      </c>
      <c r="AA2" s="45">
        <f>COUNTIFS($AB$1:FormFields[[#This Row],[Exists]],1)-1</f>
        <v>0</v>
      </c>
      <c r="AB2" s="45">
        <f>IF(AND(FormFields[[#This Row],[Attribute]]="",FormFields[[#This Row],[Rel]]=""),0,1)</f>
        <v>1</v>
      </c>
      <c r="AC2" s="45" t="str">
        <f>IF(FormFields[[#This Row],[NO2]]=0,"id",FormFields[[#This Row],[NO2]]+IF(ISNUMBER(VLOOKUP('Table Seed Map'!$A$13,SeedMap[],9,0)),VLOOKUP('Table Seed Map'!$A$13,SeedMap[],9,0),0))</f>
        <v>id</v>
      </c>
      <c r="AD2" s="46" t="str">
        <f>IF(FormFields[[#This Row],[ID]]="id","form_field",FormFields[[#This Row],[ID]])</f>
        <v>form_field</v>
      </c>
      <c r="AE2" s="45" t="str">
        <f>IF(FormFields[[#This Row],[No]]=0,"attribute",FormFields[[#This Row],[Name]])</f>
        <v>attribute</v>
      </c>
      <c r="AF2" s="37" t="str">
        <f>IF(FormFields[[#This Row],[NO2]]=0,"relation",IF(FormFields[[#This Row],[Rel]]="","",VLOOKUP(FormFields[[#This Row],[Rel]],RelationTable[[Display]:[RELID]],2,0)))</f>
        <v>relation</v>
      </c>
      <c r="AG2" s="54" t="str">
        <f>IF(FormFields[[#This Row],[NO2]]=0,"nest_relation1",IF(FormFields[[#This Row],[Rel1]]="","",VLOOKUP(FormFields[[#This Row],[Rel1]],RelationTable[[Display]:[RELID]],2,0)))</f>
        <v>nest_relation1</v>
      </c>
      <c r="AH2" s="37" t="str">
        <f>IF(FormFields[[#This Row],[NO2]]=0,"nest_relation2",IF(FormFields[[#This Row],[Rel2]]="","",VLOOKUP(FormFields[[#This Row],[Rel2]],RelationTable[[Display]:[RELID]],2,0)))</f>
        <v>nest_relation2</v>
      </c>
      <c r="AI2" s="37" t="str">
        <f>IF(FormFields[[#This Row],[NO2]]=0,"nest_relation3",IF(FormFields[[#This Row],[Rel3]]="","",VLOOKUP(FormFields[[#This Row],[Rel3]],RelationTable[[Display]:[RELID]],2,0)))</f>
        <v>nest_relation3</v>
      </c>
      <c r="AJ2" s="37">
        <f>IF(OR(FormFields[[#This Row],[Option Type]]="",FormFields[[#This Row],[Option Type]]="type"),0,1)</f>
        <v>0</v>
      </c>
      <c r="AK2" s="37" t="str">
        <f>'Table Seed Map'!$A$14&amp;"-"&amp;FormFields[[#This Row],[NO4]]</f>
        <v>Field Options-0</v>
      </c>
      <c r="AL2" s="37">
        <f>COUNTIF($AJ$2:FormFields[[#This Row],[Exists FO]],1)</f>
        <v>0</v>
      </c>
      <c r="AM2" s="37" t="str">
        <f>IF(FormFields[[#This Row],[NO4]]=0,"id",FormFields[[#This Row],[NO4]]+IF(ISNUMBER(VLOOKUP('Table Seed Map'!$A$14,SeedMap[],9,0)),VLOOKUP('Table Seed Map'!$A$14,SeedMap[],9,0),0))</f>
        <v>id</v>
      </c>
      <c r="AN2" s="35" t="str">
        <f>IF(FormFields[[#This Row],[ID]]="id","form_field",FormFields[[#This Row],[ID]])</f>
        <v>form_field</v>
      </c>
      <c r="AO2" s="47" t="s">
        <v>35</v>
      </c>
      <c r="AP2" s="47" t="s">
        <v>83</v>
      </c>
      <c r="AQ2" s="47" t="s">
        <v>169</v>
      </c>
      <c r="AR2" s="47" t="s">
        <v>170</v>
      </c>
      <c r="AS2" s="47" t="s">
        <v>171</v>
      </c>
      <c r="AT2" s="37">
        <f>IF(OR(FormFields[[#This Row],[Colspan]]="",FormFields[[#This Row],[Colspan]]="colspan"),0,1)</f>
        <v>0</v>
      </c>
      <c r="AU2" s="37" t="str">
        <f>'Table Seed Map'!$A$19&amp;"-"&amp;FormFields[[#This Row],[NO8]]</f>
        <v>Form Layout-0</v>
      </c>
      <c r="AV2" s="37">
        <f>COUNTIF($AT$1:FormFields[[#This Row],[Exists FL]],1)</f>
        <v>0</v>
      </c>
      <c r="AW2" s="37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2" s="37" t="str">
        <f>FormFields[Form]</f>
        <v>resource_form</v>
      </c>
      <c r="AY2" s="37" t="str">
        <f>IF(FormFields[[#This Row],[ID]]="id","form_field",FormFields[[#This Row],[ID]])</f>
        <v>form_field</v>
      </c>
      <c r="AZ2" s="46" t="s">
        <v>212</v>
      </c>
      <c r="BA2" s="58" t="str">
        <f>FormFields[[#This Row],[ID]]</f>
        <v>id</v>
      </c>
      <c r="BC2" s="1"/>
      <c r="BD2" s="6" t="str">
        <f>'Table Seed Map'!$A$15&amp;"-"&amp;(-1+COUNTA($BC$1:FieldAttrs[[#This Row],[ATTR Field]]))</f>
        <v>Field Attrs-0</v>
      </c>
      <c r="BE2" s="15" t="str">
        <f>IF(FieldAttrs[[#This Row],[ATTR Field]]="","id",-1+COUNTA($BC$1:FieldAttrs[[#This Row],[ATTR Field]])+VLOOKUP('Table Seed Map'!$A$15,SeedMap[],9,0))</f>
        <v>id</v>
      </c>
      <c r="BF2" s="35" t="str">
        <f>IFERROR(VLOOKUP(FieldAttrs[ATTR Field],FormFields[[Field Name]:[ID]],2,0),"form_field")</f>
        <v>form_field</v>
      </c>
      <c r="BG2" s="35" t="s">
        <v>23</v>
      </c>
      <c r="BH2" s="35" t="s">
        <v>44</v>
      </c>
      <c r="BJ2" s="1"/>
      <c r="BK2" s="1">
        <f>COUNTA($BJ$2:FieldValidations[[#This Row],[Validation Field]])</f>
        <v>0</v>
      </c>
      <c r="BL2" s="6" t="str">
        <f>'Table Seed Map'!$A$17&amp;"-"&amp;FieldValidations[[#This Row],[ID No]]</f>
        <v>Field Validations-0</v>
      </c>
      <c r="BM2" s="15" t="str">
        <f>IF(FieldValidations[[#This Row],[ID No]]=0,"id",FieldValidations[[#This Row],[ID No]]+VLOOKUP('Table Seed Map'!$A$17,SeedMap[],9,0))</f>
        <v>id</v>
      </c>
      <c r="BN2" s="15" t="s">
        <v>53</v>
      </c>
      <c r="BO2" s="13" t="s">
        <v>55</v>
      </c>
      <c r="BP2" s="13" t="s">
        <v>56</v>
      </c>
      <c r="BQ2" s="13" t="s">
        <v>31</v>
      </c>
      <c r="BR2" s="13" t="s">
        <v>32</v>
      </c>
      <c r="BS2" s="13" t="s">
        <v>33</v>
      </c>
      <c r="BT2" s="13"/>
      <c r="BU2" s="15" t="str">
        <f>'Table Seed Map'!$A$22&amp;"-"&amp;COUNTA($BV$1:FormCollection[[#This Row],[Main Form for Collection]])-1</f>
        <v>Form Collection-0</v>
      </c>
      <c r="BV2" s="13"/>
      <c r="BW2" s="13"/>
      <c r="BX2" s="13"/>
      <c r="BY2" s="13"/>
      <c r="BZ2" s="13" t="str">
        <f>IF($BZ1="id",IF(ISNUMBER(VLOOKUP('Table Seed Map'!$A$22,SeedMap[],9,0)),VLOOKUP('Table Seed Map'!$A$22,SeedMap[],9,0)+1,1),IFERROR($BZ1+1,"id"))</f>
        <v>id</v>
      </c>
      <c r="CA2" s="13" t="str">
        <f>IFERROR(VLOOKUP(FormCollection[Main Form for Collection],ResourceForms[[FormName]:[ID]],4,0),"resource_form")</f>
        <v>resource_form</v>
      </c>
      <c r="CB2" s="13" t="str">
        <f>IFERROR(VLOOKUP(FormCollection[Collection Form],ResourceForms[[FormName]:[ID]],4,0),"collection_form")</f>
        <v>collection_form</v>
      </c>
      <c r="CC2" s="15" t="s">
        <v>38</v>
      </c>
      <c r="CD2" s="15" t="s">
        <v>230</v>
      </c>
      <c r="CE2" s="13"/>
      <c r="CF2" s="60">
        <f>COUNTA($CH$1:FormDefault[[#This Row],[Form for Default]])-1</f>
        <v>0</v>
      </c>
      <c r="CG2" s="6" t="str">
        <f>'Table Seed Map'!$A$21&amp;"-"&amp;FormDefault[[#This Row],[No]]</f>
        <v>Form Defaults-0</v>
      </c>
      <c r="CH2" s="1"/>
      <c r="CI2" s="13" t="str">
        <f>IF(FormDefault[[#This Row],[No]]=0,"id",FormDefault[[#This Row],[No]]+IF(ISNUMBER(VLOOKUP('Table Seed Map'!$A$21,SeedMap[],9,0)),VLOOKUP('Table Seed Map'!$A$21,SeedMap[],9,0),0))</f>
        <v>id</v>
      </c>
      <c r="CJ2" s="15" t="str">
        <f>IFERROR(VLOOKUP(FormDefault[[#This Row],[Form for Default]],ResourceForms[[FormName]:[ID]],4,0),"resource_form")</f>
        <v>resource_form</v>
      </c>
      <c r="CK2" s="13" t="s">
        <v>23</v>
      </c>
      <c r="CL2" s="13" t="s">
        <v>44</v>
      </c>
      <c r="CM2" s="16" t="s">
        <v>38</v>
      </c>
      <c r="CN2" s="13" t="s">
        <v>54</v>
      </c>
      <c r="CO2" s="15" t="s">
        <v>208</v>
      </c>
      <c r="CP2" s="15" t="s">
        <v>209</v>
      </c>
      <c r="CQ2" s="15" t="s">
        <v>210</v>
      </c>
      <c r="CR2" s="13" t="s">
        <v>30</v>
      </c>
      <c r="CS2" s="13"/>
      <c r="CT2" s="13"/>
      <c r="CU2" s="13"/>
      <c r="CV2" s="13"/>
      <c r="CW2" s="13" t="s">
        <v>208</v>
      </c>
      <c r="CX2" s="13" t="s">
        <v>209</v>
      </c>
      <c r="CY2" s="13" t="s">
        <v>210</v>
      </c>
      <c r="CZ2" s="13" t="s">
        <v>30</v>
      </c>
      <c r="DA2"/>
      <c r="DB2" s="2"/>
      <c r="DC2" s="9" t="str">
        <f>'Table Seed Map'!$A$18&amp;"-"&amp;COUNTA($DB$2:FieldDepends[[#This Row],[Field for Depend]])</f>
        <v>Field Depends-0</v>
      </c>
      <c r="DD2" s="16" t="str">
        <f>IF(FieldDepends[[#This Row],[Field for Depend]]="","id",-1+COUNTA($DB$1:FieldDepends[[#This Row],[Field for Depend]])+VLOOKUP('Table Seed Map'!$A$18,SeedMap[],9,0))</f>
        <v>id</v>
      </c>
      <c r="DE2" s="16" t="str">
        <f>IFERROR(VLOOKUP(FieldDepends[[#This Row],[Field for Depend]],FormFields[[Field Name]:[ID]],2,0),"form_field")</f>
        <v>form_field</v>
      </c>
      <c r="DF2" s="9" t="s">
        <v>238</v>
      </c>
      <c r="DG2" s="2" t="s">
        <v>239</v>
      </c>
      <c r="DH2" s="2" t="s">
        <v>240</v>
      </c>
      <c r="DI2" s="2" t="s">
        <v>241</v>
      </c>
      <c r="DJ2" s="2" t="s">
        <v>30</v>
      </c>
      <c r="DK2" s="2" t="s">
        <v>246</v>
      </c>
      <c r="DL2" s="2" t="s">
        <v>245</v>
      </c>
      <c r="DN2" s="2"/>
      <c r="DO2" s="9" t="str">
        <f>'Table Seed Map'!$A$16&amp;"-"&amp;COUNTA($DN$2:FieldDynamic[[#This Row],[Field for Dynamic]])</f>
        <v>Field Dynamic-0</v>
      </c>
      <c r="DP2" s="16" t="str">
        <f>IF(FieldDynamic[[#This Row],[Field for Dynamic]]="","id",COUNTA(#REF!:FieldDynamic[[#This Row],[Field for Dynamic]])+IF(VLOOKUP('Table Seed Map'!$A$16,SeedMap[],9,0),VLOOKUP('Table Seed Map'!$A$16,SeedMap[],9,0),0))</f>
        <v>id</v>
      </c>
      <c r="DQ2" s="16" t="str">
        <f>IFERROR(VLOOKUP(FieldDynamic[[#This Row],[Field for Dynamic]],FormFields[[Field Name]:[ID]],2,0),"form_field")</f>
        <v>form_field</v>
      </c>
      <c r="DR2" s="9" t="s">
        <v>35</v>
      </c>
      <c r="DS2" s="2" t="s">
        <v>238</v>
      </c>
      <c r="DT2" s="2" t="s">
        <v>266</v>
      </c>
      <c r="DU2" s="2" t="s">
        <v>44</v>
      </c>
      <c r="DV2" s="2" t="s">
        <v>270</v>
      </c>
      <c r="DW2" s="2" t="s">
        <v>240</v>
      </c>
      <c r="DY2" s="1"/>
      <c r="DZ2" s="1"/>
      <c r="EA2" s="1"/>
      <c r="EB2" s="1" t="str">
        <f>'Table Seed Map'!$A$20&amp;"-"&amp;-1+COUNTA($DY$1:FormDataMapping[[#This Row],[Form for Data Mapping]])</f>
        <v>Form Data Map-0</v>
      </c>
      <c r="EC2" s="6" t="str">
        <f>IF(FormDataMapping[[#This Row],[Form for Data Mapping]]="","id",-1+COUNTA($DY$1:FormDataMapping[[#This Row],[Form for Data Mapping]])+VLOOKUP('Table Seed Map'!$A$20,SeedMap[],9,0))</f>
        <v>id</v>
      </c>
      <c r="ED2" s="1" t="str">
        <f>IF(FormDataMapping[[#This Row],[Form for Data Mapping]]="","resource_form",VLOOKUP(FormDataMapping[Form for Data Mapping],ResourceForms[[FormName]:[ID]],4,0))</f>
        <v>resource_form</v>
      </c>
      <c r="EE2" s="6" t="str">
        <f>IF(FormDataMapping[[#This Row],[Form for Data Mapping]]="","resource_data",VLOOKUP(FormDataMapping[Resource Data],ResourceData[[DataDisplayName]:[ID]],8,0))</f>
        <v>resource_data</v>
      </c>
      <c r="EF2" s="6" t="str">
        <f>IF(FormDataMapping[[#This Row],[Form for Data Mapping]]="","form_field",VLOOKUP(FormDataMapping[Form Field],FormFields[[Field Name]:[ID]],2,0))</f>
        <v>form_field</v>
      </c>
      <c r="EG2" s="1" t="s">
        <v>54</v>
      </c>
      <c r="EH2" s="6" t="str">
        <f>IF(FormDataMapping[[#This Row],[Form for Data Mapping]]="","relation",IFERROR(VLOOKUP(FormDataMapping[Relation],RelationTable[[Display]:[RELID]],2,0),""))</f>
        <v>relation</v>
      </c>
      <c r="EI2" s="6" t="str">
        <f>IF(FormDataMapping[[#This Row],[Form for Data Mapping]]="","nest_relation1",IFERROR(VLOOKUP(FormDataMapping[Rel1],RelationTable[[Display]:[RELID]],2,0),""))</f>
        <v>nest_relation1</v>
      </c>
      <c r="EJ2" s="6" t="str">
        <f>IF(FormDataMapping[[#This Row],[Form for Data Mapping]]="","nest_relation2",IFERROR(VLOOKUP(FormDataMapping[Rel2],RelationTable[[Display]:[RELID]],2,0),""))</f>
        <v>nest_relation2</v>
      </c>
      <c r="EK2" s="6" t="str">
        <f>IF(FormDataMapping[[#This Row],[Form for Data Mapping]]="","nest_relation3",IFERROR(VLOOKUP(FormDataMapping[Rel3],RelationTable[[Display]:[RELID]],2,0),""))</f>
        <v>nest_relation3</v>
      </c>
      <c r="EL2" s="6" t="str">
        <f>IF(FormDataMapping[[#This Row],[Form for Data Mapping]]="","nest_relation4",IFERROR(VLOOKUP(FormDataMapping[Rel4],RelationTable[[Display]:[RELID]],2,0),""))</f>
        <v>nest_relation4</v>
      </c>
      <c r="EM2" s="6" t="str">
        <f>IF(FormDataMapping[[#This Row],[Form for Data Mapping]]="","nest_relation5",IFERROR(VLOOKUP(FormDataMapping[Rel5],RelationTable[[Display]:[RELID]],2,0),""))</f>
        <v>nest_relation5</v>
      </c>
      <c r="EN2" s="6"/>
      <c r="EO2" s="6"/>
      <c r="EP2" s="6"/>
      <c r="EQ2" s="6"/>
      <c r="ER2" s="6"/>
      <c r="ES2" s="6"/>
    </row>
    <row r="3" spans="1:149" x14ac:dyDescent="0.25">
      <c r="A3" s="60" t="str">
        <f>'Table Seed Map'!$A$11&amp;"-"&amp;(COUNTA($F$1:ResourceForms[[#This Row],[Resource]])-2)</f>
        <v>Resource Forms-1</v>
      </c>
      <c r="B3" s="60" t="str">
        <f>ResourceForms[[#This Row],[Resource Name]]&amp;"/"&amp;ResourceForms[[#This Row],[Name]]</f>
        <v>Group/CreateGroup</v>
      </c>
      <c r="C3" s="60">
        <f>COUNTA($A$1:ResourceForms[[#This Row],[Primary]])-2</f>
        <v>1</v>
      </c>
      <c r="D3" s="65" t="s">
        <v>96</v>
      </c>
      <c r="E3" s="60">
        <f>IF(ResourceForms[[#This Row],[No]]=0,"id",ResourceForms[[#This Row],[No]]+IF(ISNUMBER(VLOOKUP('Table Seed Map'!$A$11,SeedMap[],9,0)),VLOOKUP('Table Seed Map'!$A$11,SeedMap[],9,0),0))</f>
        <v>800901</v>
      </c>
      <c r="F3" s="60">
        <f>IFERROR(VLOOKUP(ResourceForms[[#This Row],[Resource Name]],ResourceTable[[RName]:[No]],3,0),"resource")</f>
        <v>800502</v>
      </c>
      <c r="G3" s="62" t="s">
        <v>894</v>
      </c>
      <c r="H3" s="60" t="s">
        <v>895</v>
      </c>
      <c r="I3" s="62" t="s">
        <v>76</v>
      </c>
      <c r="J3" s="62" t="s">
        <v>896</v>
      </c>
      <c r="K3" s="64">
        <f>ResourceForms[ID]</f>
        <v>800901</v>
      </c>
      <c r="M3" s="70" t="str">
        <f>'Table Seed Map'!$A$12&amp;"-"&amp;FormFields[[#This Row],[No]]</f>
        <v>Form Fields-1</v>
      </c>
      <c r="N3" s="59" t="s">
        <v>897</v>
      </c>
      <c r="O3" s="71">
        <f>COUNTA($N$1:FormFields[[#This Row],[Form Name]])-1</f>
        <v>1</v>
      </c>
      <c r="P3" s="70" t="str">
        <f>FormFields[[#This Row],[Form Name]]&amp;"/"&amp;FormFields[[#This Row],[Name]]</f>
        <v>Group/CreateGroup/name</v>
      </c>
      <c r="Q3" s="71">
        <f>IF(FormFields[[#This Row],[No]]=0,"id",FormFields[[#This Row],[No]]+IF(ISNUMBER(VLOOKUP('Table Seed Map'!$A$12,SeedMap[],9,0)),VLOOKUP('Table Seed Map'!$A$12,SeedMap[],9,0),0))</f>
        <v>801001</v>
      </c>
      <c r="R3" s="72">
        <f>IFERROR(VLOOKUP(FormFields[[#This Row],[Form Name]],ResourceForms[[FormName]:[ID]],4,0),"resource_form")</f>
        <v>800901</v>
      </c>
      <c r="S3" s="73" t="s">
        <v>23</v>
      </c>
      <c r="T3" s="73" t="s">
        <v>898</v>
      </c>
      <c r="U3" s="73" t="s">
        <v>901</v>
      </c>
      <c r="V3" s="74"/>
      <c r="W3" s="74"/>
      <c r="X3" s="74"/>
      <c r="Y3" s="74"/>
      <c r="Z3" s="75" t="str">
        <f>'Table Seed Map'!$A$13&amp;"-"&amp;FormFields[[#This Row],[NO2]]</f>
        <v>Field Data-1</v>
      </c>
      <c r="AA3" s="76">
        <f>COUNTIFS($AB$1:FormFields[[#This Row],[Exists]],1)-1</f>
        <v>1</v>
      </c>
      <c r="AB3" s="76">
        <f>IF(AND(FormFields[[#This Row],[Attribute]]="",FormFields[[#This Row],[Rel]]=""),0,1)</f>
        <v>1</v>
      </c>
      <c r="AC3" s="76">
        <f>IF(FormFields[[#This Row],[NO2]]=0,"id",FormFields[[#This Row],[NO2]]+IF(ISNUMBER(VLOOKUP('Table Seed Map'!$A$13,SeedMap[],9,0)),VLOOKUP('Table Seed Map'!$A$13,SeedMap[],9,0),0))</f>
        <v>801101</v>
      </c>
      <c r="AD3" s="77">
        <f>IF(FormFields[[#This Row],[ID]]="id","form_field",FormFields[[#This Row],[ID]])</f>
        <v>801001</v>
      </c>
      <c r="AE3" s="76" t="str">
        <f>IF(FormFields[[#This Row],[No]]=0,"attribute",FormFields[[#This Row],[Name]])</f>
        <v>name</v>
      </c>
      <c r="AF3" s="78" t="str">
        <f>IF(FormFields[[#This Row],[NO2]]=0,"relation",IF(FormFields[[#This Row],[Rel]]="","",VLOOKUP(FormFields[[#This Row],[Rel]],RelationTable[[Display]:[RELID]],2,0)))</f>
        <v/>
      </c>
      <c r="AG3" s="78" t="str">
        <f>IF(FormFields[[#This Row],[NO2]]=0,"nest_relation1",IF(FormFields[[#This Row],[Rel1]]="","",VLOOKUP(FormFields[[#This Row],[Rel1]],RelationTable[[Display]:[RELID]],2,0)))</f>
        <v/>
      </c>
      <c r="AH3" s="78" t="str">
        <f>IF(FormFields[[#This Row],[NO2]]=0,"nest_relation2",IF(FormFields[[#This Row],[Rel2]]="","",VLOOKUP(FormFields[[#This Row],[Rel2]],RelationTable[[Display]:[RELID]],2,0)))</f>
        <v/>
      </c>
      <c r="AI3" s="78" t="str">
        <f>IF(FormFields[[#This Row],[NO2]]=0,"nest_relation3",IF(FormFields[[#This Row],[Rel3]]="","",VLOOKUP(FormFields[[#This Row],[Rel3]],RelationTable[[Display]:[RELID]],2,0)))</f>
        <v/>
      </c>
      <c r="AJ3" s="71">
        <f>IF(OR(FormFields[[#This Row],[Option Type]]="",FormFields[[#This Row],[Option Type]]="type"),0,1)</f>
        <v>0</v>
      </c>
      <c r="AK3" s="71" t="str">
        <f>'Table Seed Map'!$A$14&amp;"-"&amp;FormFields[[#This Row],[NO4]]</f>
        <v>Field Options-0</v>
      </c>
      <c r="AL3" s="71">
        <f>COUNTIF($AJ$2:FormFields[[#This Row],[Exists FO]],1)</f>
        <v>0</v>
      </c>
      <c r="AM3" s="71" t="str">
        <f>IF(FormFields[[#This Row],[NO4]]=0,"id",FormFields[[#This Row],[NO4]]+IF(ISNUMBER(VLOOKUP('Table Seed Map'!$A$14,SeedMap[],9,0)),VLOOKUP('Table Seed Map'!$A$14,SeedMap[],9,0),0))</f>
        <v>id</v>
      </c>
      <c r="AN3" s="58">
        <f>IF(FormFields[[#This Row],[ID]]="id","form_field",FormFields[[#This Row],[ID]])</f>
        <v>801001</v>
      </c>
      <c r="AO3" s="79"/>
      <c r="AP3" s="79"/>
      <c r="AQ3" s="79"/>
      <c r="AR3" s="79"/>
      <c r="AS3" s="79"/>
      <c r="AT3" s="71">
        <f>IF(OR(FormFields[[#This Row],[Colspan]]="",FormFields[[#This Row],[Colspan]]="colspan"),0,1)</f>
        <v>0</v>
      </c>
      <c r="AU3" s="71" t="str">
        <f>'Table Seed Map'!$A$19&amp;"-"&amp;FormFields[[#This Row],[NO8]]</f>
        <v>Form Layout-0</v>
      </c>
      <c r="AV3" s="71">
        <f>COUNTIF($AT$1:FormFields[[#This Row],[Exists FL]],1)</f>
        <v>0</v>
      </c>
      <c r="AW3" s="71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3" s="71">
        <f>FormFields[Form]</f>
        <v>800901</v>
      </c>
      <c r="AY3" s="71">
        <f>IF(FormFields[[#This Row],[ID]]="id","form_field",FormFields[[#This Row],[ID]])</f>
        <v>801001</v>
      </c>
      <c r="AZ3" s="80"/>
      <c r="BA3" s="58">
        <f>FormFields[[#This Row],[ID]]</f>
        <v>801001</v>
      </c>
      <c r="BC3" s="63" t="s">
        <v>904</v>
      </c>
      <c r="BD3" s="62" t="str">
        <f>'Table Seed Map'!$A$15&amp;"-"&amp;(-1+COUNTA($BC$1:FieldAttrs[[#This Row],[ATTR Field]]))</f>
        <v>Field Attrs-1</v>
      </c>
      <c r="BE3" s="60">
        <f>IF(FieldAttrs[[#This Row],[ATTR Field]]="","id",-1+COUNTA($BC$1:FieldAttrs[[#This Row],[ATTR Field]])+VLOOKUP('Table Seed Map'!$A$15,SeedMap[],9,0))</f>
        <v>801301</v>
      </c>
      <c r="BF3" s="58">
        <f>IFERROR(VLOOKUP(FieldAttrs[ATTR Field],FormFields[[Field Name]:[ID]],2,0),"form_field")</f>
        <v>801001</v>
      </c>
      <c r="BG3" s="58" t="s">
        <v>905</v>
      </c>
      <c r="BH3" s="58">
        <v>4</v>
      </c>
      <c r="BJ3" s="63" t="s">
        <v>904</v>
      </c>
      <c r="BK3" s="63">
        <f>COUNTA($BJ$2:FieldValidations[[#This Row],[Validation Field]])</f>
        <v>1</v>
      </c>
      <c r="BL3" s="62" t="str">
        <f>'Table Seed Map'!$A$17&amp;"-"&amp;FieldValidations[[#This Row],[ID No]]</f>
        <v>Field Validations-1</v>
      </c>
      <c r="BM3" s="60">
        <f>IF(FieldValidations[[#This Row],[ID No]]=0,"id",FieldValidations[[#This Row],[ID No]]+VLOOKUP('Table Seed Map'!$A$17,SeedMap[],9,0))</f>
        <v>801501</v>
      </c>
      <c r="BN3" s="60">
        <f>VLOOKUP(FieldValidations[Validation Field],FormFields[[Field Name]:[ID]],2,0)</f>
        <v>801001</v>
      </c>
      <c r="BO3" s="65" t="s">
        <v>942</v>
      </c>
      <c r="BP3" s="65" t="s">
        <v>936</v>
      </c>
      <c r="BQ3" s="65"/>
      <c r="BR3" s="65"/>
      <c r="BS3" s="65"/>
    </row>
    <row r="4" spans="1:149" x14ac:dyDescent="0.25">
      <c r="A4" s="60" t="str">
        <f>'Table Seed Map'!$A$11&amp;"-"&amp;(COUNTA($F$1:ResourceForms[[#This Row],[Resource]])-2)</f>
        <v>Resource Forms-2</v>
      </c>
      <c r="B4" s="60" t="str">
        <f>ResourceForms[[#This Row],[Resource Name]]&amp;"/"&amp;ResourceForms[[#This Row],[Name]]</f>
        <v>Partner/CreatePartner</v>
      </c>
      <c r="C4" s="60">
        <f>COUNTA($A$1:ResourceForms[[#This Row],[Primary]])-2</f>
        <v>2</v>
      </c>
      <c r="D4" s="65" t="s">
        <v>844</v>
      </c>
      <c r="E4" s="60">
        <f>IF(ResourceForms[[#This Row],[No]]=0,"id",ResourceForms[[#This Row],[No]]+IF(ISNUMBER(VLOOKUP('Table Seed Map'!$A$11,SeedMap[],9,0)),VLOOKUP('Table Seed Map'!$A$11,SeedMap[],9,0),0))</f>
        <v>800902</v>
      </c>
      <c r="F4" s="60">
        <f>IFERROR(VLOOKUP(ResourceForms[[#This Row],[Resource Name]],ResourceTable[[RName]:[No]],3,0),"resource")</f>
        <v>800501</v>
      </c>
      <c r="G4" s="62" t="s">
        <v>917</v>
      </c>
      <c r="H4" s="60" t="s">
        <v>918</v>
      </c>
      <c r="I4" s="62" t="s">
        <v>853</v>
      </c>
      <c r="J4" s="62" t="s">
        <v>896</v>
      </c>
      <c r="K4" s="64">
        <f>ResourceForms[ID]</f>
        <v>800902</v>
      </c>
      <c r="M4" s="70" t="str">
        <f>'Table Seed Map'!$A$12&amp;"-"&amp;FormFields[[#This Row],[No]]</f>
        <v>Form Fields-2</v>
      </c>
      <c r="N4" s="59" t="s">
        <v>897</v>
      </c>
      <c r="O4" s="71">
        <f>COUNTA($N$1:FormFields[[#This Row],[Form Name]])-1</f>
        <v>2</v>
      </c>
      <c r="P4" s="70" t="str">
        <f>FormFields[[#This Row],[Form Name]]&amp;"/"&amp;FormFields[[#This Row],[Name]]</f>
        <v>Group/CreateGroup/description</v>
      </c>
      <c r="Q4" s="71">
        <f>IF(FormFields[[#This Row],[No]]=0,"id",FormFields[[#This Row],[No]]+IF(ISNUMBER(VLOOKUP('Table Seed Map'!$A$12,SeedMap[],9,0)),VLOOKUP('Table Seed Map'!$A$12,SeedMap[],9,0),0))</f>
        <v>801002</v>
      </c>
      <c r="R4" s="72">
        <f>IFERROR(VLOOKUP(FormFields[[#This Row],[Form Name]],ResourceForms[[FormName]:[ID]],4,0),"resource_form")</f>
        <v>800901</v>
      </c>
      <c r="S4" s="73" t="s">
        <v>24</v>
      </c>
      <c r="T4" s="73" t="s">
        <v>899</v>
      </c>
      <c r="U4" s="73" t="s">
        <v>102</v>
      </c>
      <c r="V4" s="74"/>
      <c r="W4" s="74"/>
      <c r="X4" s="74"/>
      <c r="Y4" s="74"/>
      <c r="Z4" s="75" t="str">
        <f>'Table Seed Map'!$A$13&amp;"-"&amp;FormFields[[#This Row],[NO2]]</f>
        <v>Field Data-2</v>
      </c>
      <c r="AA4" s="76">
        <f>COUNTIFS($AB$1:FormFields[[#This Row],[Exists]],1)-1</f>
        <v>2</v>
      </c>
      <c r="AB4" s="76">
        <f>IF(AND(FormFields[[#This Row],[Attribute]]="",FormFields[[#This Row],[Rel]]=""),0,1)</f>
        <v>1</v>
      </c>
      <c r="AC4" s="76">
        <f>IF(FormFields[[#This Row],[NO2]]=0,"id",FormFields[[#This Row],[NO2]]+IF(ISNUMBER(VLOOKUP('Table Seed Map'!$A$13,SeedMap[],9,0)),VLOOKUP('Table Seed Map'!$A$13,SeedMap[],9,0),0))</f>
        <v>801102</v>
      </c>
      <c r="AD4" s="77">
        <f>IF(FormFields[[#This Row],[ID]]="id","form_field",FormFields[[#This Row],[ID]])</f>
        <v>801002</v>
      </c>
      <c r="AE4" s="76" t="str">
        <f>IF(FormFields[[#This Row],[No]]=0,"attribute",FormFields[[#This Row],[Name]])</f>
        <v>description</v>
      </c>
      <c r="AF4" s="78" t="str">
        <f>IF(FormFields[[#This Row],[NO2]]=0,"relation",IF(FormFields[[#This Row],[Rel]]="","",VLOOKUP(FormFields[[#This Row],[Rel]],RelationTable[[Display]:[RELID]],2,0)))</f>
        <v/>
      </c>
      <c r="AG4" s="78" t="str">
        <f>IF(FormFields[[#This Row],[NO2]]=0,"nest_relation1",IF(FormFields[[#This Row],[Rel1]]="","",VLOOKUP(FormFields[[#This Row],[Rel1]],RelationTable[[Display]:[RELID]],2,0)))</f>
        <v/>
      </c>
      <c r="AH4" s="78" t="str">
        <f>IF(FormFields[[#This Row],[NO2]]=0,"nest_relation2",IF(FormFields[[#This Row],[Rel2]]="","",VLOOKUP(FormFields[[#This Row],[Rel2]],RelationTable[[Display]:[RELID]],2,0)))</f>
        <v/>
      </c>
      <c r="AI4" s="78" t="str">
        <f>IF(FormFields[[#This Row],[NO2]]=0,"nest_relation3",IF(FormFields[[#This Row],[Rel3]]="","",VLOOKUP(FormFields[[#This Row],[Rel3]],RelationTable[[Display]:[RELID]],2,0)))</f>
        <v/>
      </c>
      <c r="AJ4" s="71">
        <f>IF(OR(FormFields[[#This Row],[Option Type]]="",FormFields[[#This Row],[Option Type]]="type"),0,1)</f>
        <v>0</v>
      </c>
      <c r="AK4" s="71" t="str">
        <f>'Table Seed Map'!$A$14&amp;"-"&amp;FormFields[[#This Row],[NO4]]</f>
        <v>Field Options-0</v>
      </c>
      <c r="AL4" s="71">
        <f>COUNTIF($AJ$2:FormFields[[#This Row],[Exists FO]],1)</f>
        <v>0</v>
      </c>
      <c r="AM4" s="71" t="str">
        <f>IF(FormFields[[#This Row],[NO4]]=0,"id",FormFields[[#This Row],[NO4]]+IF(ISNUMBER(VLOOKUP('Table Seed Map'!$A$14,SeedMap[],9,0)),VLOOKUP('Table Seed Map'!$A$14,SeedMap[],9,0),0))</f>
        <v>id</v>
      </c>
      <c r="AN4" s="58">
        <f>IF(FormFields[[#This Row],[ID]]="id","form_field",FormFields[[#This Row],[ID]])</f>
        <v>801002</v>
      </c>
      <c r="AO4" s="79"/>
      <c r="AP4" s="79"/>
      <c r="AQ4" s="79"/>
      <c r="AR4" s="79"/>
      <c r="AS4" s="79"/>
      <c r="AT4" s="71">
        <f>IF(OR(FormFields[[#This Row],[Colspan]]="",FormFields[[#This Row],[Colspan]]="colspan"),0,1)</f>
        <v>0</v>
      </c>
      <c r="AU4" s="71" t="str">
        <f>'Table Seed Map'!$A$19&amp;"-"&amp;FormFields[[#This Row],[NO8]]</f>
        <v>Form Layout-0</v>
      </c>
      <c r="AV4" s="71">
        <f>COUNTIF($AT$1:FormFields[[#This Row],[Exists FL]],1)</f>
        <v>0</v>
      </c>
      <c r="AW4" s="71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4" s="71">
        <f>FormFields[Form]</f>
        <v>800901</v>
      </c>
      <c r="AY4" s="71">
        <f>IF(FormFields[[#This Row],[ID]]="id","form_field",FormFields[[#This Row],[ID]])</f>
        <v>801002</v>
      </c>
      <c r="AZ4" s="80"/>
      <c r="BA4" s="58">
        <f>FormFields[[#This Row],[ID]]</f>
        <v>801002</v>
      </c>
      <c r="BC4" s="63" t="s">
        <v>906</v>
      </c>
      <c r="BD4" s="62" t="str">
        <f>'Table Seed Map'!$A$15&amp;"-"&amp;(-1+COUNTA($BC$1:FieldAttrs[[#This Row],[ATTR Field]]))</f>
        <v>Field Attrs-2</v>
      </c>
      <c r="BE4" s="60">
        <f>IF(FieldAttrs[[#This Row],[ATTR Field]]="","id",-1+COUNTA($BC$1:FieldAttrs[[#This Row],[ATTR Field]])+VLOOKUP('Table Seed Map'!$A$15,SeedMap[],9,0))</f>
        <v>801302</v>
      </c>
      <c r="BF4" s="58">
        <f>IFERROR(VLOOKUP(FieldAttrs[ATTR Field],FormFields[[Field Name]:[ID]],2,0),"form_field")</f>
        <v>801002</v>
      </c>
      <c r="BG4" s="58" t="s">
        <v>905</v>
      </c>
      <c r="BH4" s="58">
        <v>4</v>
      </c>
      <c r="BJ4" s="63" t="s">
        <v>922</v>
      </c>
      <c r="BK4" s="63">
        <f>COUNTA($BJ$2:FieldValidations[[#This Row],[Validation Field]])</f>
        <v>2</v>
      </c>
      <c r="BL4" s="62" t="str">
        <f>'Table Seed Map'!$A$17&amp;"-"&amp;FieldValidations[[#This Row],[ID No]]</f>
        <v>Field Validations-2</v>
      </c>
      <c r="BM4" s="60">
        <f>IF(FieldValidations[[#This Row],[ID No]]=0,"id",FieldValidations[[#This Row],[ID No]]+VLOOKUP('Table Seed Map'!$A$17,SeedMap[],9,0))</f>
        <v>801502</v>
      </c>
      <c r="BN4" s="60">
        <f>VLOOKUP(FieldValidations[Validation Field],FormFields[[Field Name]:[ID]],2,0)</f>
        <v>801004</v>
      </c>
      <c r="BO4" s="65" t="s">
        <v>942</v>
      </c>
      <c r="BP4" s="65" t="s">
        <v>936</v>
      </c>
      <c r="BQ4" s="65"/>
      <c r="BR4" s="65"/>
      <c r="BS4" s="65"/>
    </row>
    <row r="5" spans="1:149" x14ac:dyDescent="0.25">
      <c r="A5" s="60" t="str">
        <f>'Table Seed Map'!$A$11&amp;"-"&amp;(COUNTA($F$1:ResourceForms[[#This Row],[Resource]])-2)</f>
        <v>Resource Forms-3</v>
      </c>
      <c r="B5" s="60" t="str">
        <f>ResourceForms[[#This Row],[Resource Name]]&amp;"/"&amp;ResourceForms[[#This Row],[Name]]</f>
        <v>Task/CreateTask</v>
      </c>
      <c r="C5" s="60">
        <f>COUNTA($A$1:ResourceForms[[#This Row],[Primary]])-2</f>
        <v>3</v>
      </c>
      <c r="D5" s="65" t="s">
        <v>846</v>
      </c>
      <c r="E5" s="60">
        <f>IF(ResourceForms[[#This Row],[No]]=0,"id",ResourceForms[[#This Row],[No]]+IF(ISNUMBER(VLOOKUP('Table Seed Map'!$A$11,SeedMap[],9,0)),VLOOKUP('Table Seed Map'!$A$11,SeedMap[],9,0),0))</f>
        <v>800903</v>
      </c>
      <c r="F5" s="60">
        <f>IFERROR(VLOOKUP(ResourceForms[[#This Row],[Resource Name]],ResourceTable[[RName]:[No]],3,0),"resource")</f>
        <v>800504</v>
      </c>
      <c r="G5" s="62" t="s">
        <v>954</v>
      </c>
      <c r="H5" s="60" t="s">
        <v>955</v>
      </c>
      <c r="I5" s="62" t="s">
        <v>851</v>
      </c>
      <c r="J5" s="62" t="s">
        <v>896</v>
      </c>
      <c r="K5" s="64">
        <f>ResourceForms[ID]</f>
        <v>800903</v>
      </c>
      <c r="M5" s="70" t="str">
        <f>'Table Seed Map'!$A$12&amp;"-"&amp;FormFields[[#This Row],[No]]</f>
        <v>Form Fields-3</v>
      </c>
      <c r="N5" s="59" t="s">
        <v>897</v>
      </c>
      <c r="O5" s="71">
        <f>COUNTA($N$1:FormFields[[#This Row],[Form Name]])-1</f>
        <v>3</v>
      </c>
      <c r="P5" s="70" t="str">
        <f>FormFields[[#This Row],[Form Name]]&amp;"/"&amp;FormFields[[#This Row],[Name]]</f>
        <v>Group/CreateGroup/status</v>
      </c>
      <c r="Q5" s="71">
        <f>IF(FormFields[[#This Row],[No]]=0,"id",FormFields[[#This Row],[No]]+IF(ISNUMBER(VLOOKUP('Table Seed Map'!$A$12,SeedMap[],9,0)),VLOOKUP('Table Seed Map'!$A$12,SeedMap[],9,0),0))</f>
        <v>801003</v>
      </c>
      <c r="R5" s="72">
        <f>IFERROR(VLOOKUP(FormFields[[#This Row],[Form Name]],ResourceForms[[FormName]:[ID]],4,0),"resource_form")</f>
        <v>800901</v>
      </c>
      <c r="S5" s="73" t="s">
        <v>809</v>
      </c>
      <c r="T5" s="73" t="s">
        <v>900</v>
      </c>
      <c r="U5" s="73" t="s">
        <v>902</v>
      </c>
      <c r="V5" s="74"/>
      <c r="W5" s="74"/>
      <c r="X5" s="74"/>
      <c r="Y5" s="74"/>
      <c r="Z5" s="75" t="str">
        <f>'Table Seed Map'!$A$13&amp;"-"&amp;FormFields[[#This Row],[NO2]]</f>
        <v>Field Data-3</v>
      </c>
      <c r="AA5" s="76">
        <f>COUNTIFS($AB$1:FormFields[[#This Row],[Exists]],1)-1</f>
        <v>3</v>
      </c>
      <c r="AB5" s="76">
        <f>IF(AND(FormFields[[#This Row],[Attribute]]="",FormFields[[#This Row],[Rel]]=""),0,1)</f>
        <v>1</v>
      </c>
      <c r="AC5" s="76">
        <f>IF(FormFields[[#This Row],[NO2]]=0,"id",FormFields[[#This Row],[NO2]]+IF(ISNUMBER(VLOOKUP('Table Seed Map'!$A$13,SeedMap[],9,0)),VLOOKUP('Table Seed Map'!$A$13,SeedMap[],9,0),0))</f>
        <v>801103</v>
      </c>
      <c r="AD5" s="77">
        <f>IF(FormFields[[#This Row],[ID]]="id","form_field",FormFields[[#This Row],[ID]])</f>
        <v>801003</v>
      </c>
      <c r="AE5" s="76" t="str">
        <f>IF(FormFields[[#This Row],[No]]=0,"attribute",FormFields[[#This Row],[Name]])</f>
        <v>status</v>
      </c>
      <c r="AF5" s="78" t="str">
        <f>IF(FormFields[[#This Row],[NO2]]=0,"relation",IF(FormFields[[#This Row],[Rel]]="","",VLOOKUP(FormFields[[#This Row],[Rel]],RelationTable[[Display]:[RELID]],2,0)))</f>
        <v/>
      </c>
      <c r="AG5" s="78" t="str">
        <f>IF(FormFields[[#This Row],[NO2]]=0,"nest_relation1",IF(FormFields[[#This Row],[Rel1]]="","",VLOOKUP(FormFields[[#This Row],[Rel1]],RelationTable[[Display]:[RELID]],2,0)))</f>
        <v/>
      </c>
      <c r="AH5" s="78" t="str">
        <f>IF(FormFields[[#This Row],[NO2]]=0,"nest_relation2",IF(FormFields[[#This Row],[Rel2]]="","",VLOOKUP(FormFields[[#This Row],[Rel2]],RelationTable[[Display]:[RELID]],2,0)))</f>
        <v/>
      </c>
      <c r="AI5" s="78" t="str">
        <f>IF(FormFields[[#This Row],[NO2]]=0,"nest_relation3",IF(FormFields[[#This Row],[Rel3]]="","",VLOOKUP(FormFields[[#This Row],[Rel3]],RelationTable[[Display]:[RELID]],2,0)))</f>
        <v/>
      </c>
      <c r="AJ5" s="71">
        <f>IF(OR(FormFields[[#This Row],[Option Type]]="",FormFields[[#This Row],[Option Type]]="type"),0,1)</f>
        <v>1</v>
      </c>
      <c r="AK5" s="71" t="str">
        <f>'Table Seed Map'!$A$14&amp;"-"&amp;FormFields[[#This Row],[NO4]]</f>
        <v>Field Options-1</v>
      </c>
      <c r="AL5" s="71">
        <f>COUNTIF($AJ$2:FormFields[[#This Row],[Exists FO]],1)</f>
        <v>1</v>
      </c>
      <c r="AM5" s="71">
        <f>IF(FormFields[[#This Row],[NO4]]=0,"id",FormFields[[#This Row],[NO4]]+IF(ISNUMBER(VLOOKUP('Table Seed Map'!$A$14,SeedMap[],9,0)),VLOOKUP('Table Seed Map'!$A$14,SeedMap[],9,0),0))</f>
        <v>801201</v>
      </c>
      <c r="AN5" s="58">
        <f>IF(FormFields[[#This Row],[ID]]="id","form_field",FormFields[[#This Row],[ID]])</f>
        <v>801003</v>
      </c>
      <c r="AO5" s="79" t="s">
        <v>903</v>
      </c>
      <c r="AP5" s="79"/>
      <c r="AQ5" s="79"/>
      <c r="AR5" s="79"/>
      <c r="AS5" s="79"/>
      <c r="AT5" s="71">
        <f>IF(OR(FormFields[[#This Row],[Colspan]]="",FormFields[[#This Row],[Colspan]]="colspan"),0,1)</f>
        <v>0</v>
      </c>
      <c r="AU5" s="71" t="str">
        <f>'Table Seed Map'!$A$19&amp;"-"&amp;FormFields[[#This Row],[NO8]]</f>
        <v>Form Layout-0</v>
      </c>
      <c r="AV5" s="71">
        <f>COUNTIF($AT$1:FormFields[[#This Row],[Exists FL]],1)</f>
        <v>0</v>
      </c>
      <c r="AW5" s="71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5" s="71">
        <f>FormFields[Form]</f>
        <v>800901</v>
      </c>
      <c r="AY5" s="71">
        <f>IF(FormFields[[#This Row],[ID]]="id","form_field",FormFields[[#This Row],[ID]])</f>
        <v>801003</v>
      </c>
      <c r="AZ5" s="80"/>
      <c r="BA5" s="58">
        <f>FormFields[[#This Row],[ID]]</f>
        <v>801003</v>
      </c>
      <c r="BC5" s="63" t="s">
        <v>907</v>
      </c>
      <c r="BD5" s="62" t="str">
        <f>'Table Seed Map'!$A$15&amp;"-"&amp;(-1+COUNTA($BC$1:FieldAttrs[[#This Row],[ATTR Field]]))</f>
        <v>Field Attrs-3</v>
      </c>
      <c r="BE5" s="60">
        <f>IF(FieldAttrs[[#This Row],[ATTR Field]]="","id",-1+COUNTA($BC$1:FieldAttrs[[#This Row],[ATTR Field]])+VLOOKUP('Table Seed Map'!$A$15,SeedMap[],9,0))</f>
        <v>801303</v>
      </c>
      <c r="BF5" s="58">
        <f>IFERROR(VLOOKUP(FieldAttrs[ATTR Field],FormFields[[Field Name]:[ID]],2,0),"form_field")</f>
        <v>801003</v>
      </c>
      <c r="BG5" s="58" t="s">
        <v>905</v>
      </c>
      <c r="BH5" s="58">
        <v>4</v>
      </c>
      <c r="BJ5" s="63" t="s">
        <v>923</v>
      </c>
      <c r="BK5" s="63">
        <f>COUNTA($BJ$2:FieldValidations[[#This Row],[Validation Field]])</f>
        <v>3</v>
      </c>
      <c r="BL5" s="62" t="str">
        <f>'Table Seed Map'!$A$17&amp;"-"&amp;FieldValidations[[#This Row],[ID No]]</f>
        <v>Field Validations-3</v>
      </c>
      <c r="BM5" s="60">
        <f>IF(FieldValidations[[#This Row],[ID No]]=0,"id",FieldValidations[[#This Row],[ID No]]+VLOOKUP('Table Seed Map'!$A$17,SeedMap[],9,0))</f>
        <v>801503</v>
      </c>
      <c r="BN5" s="60">
        <f>VLOOKUP(FieldValidations[Validation Field],FormFields[[Field Name]:[ID]],2,0)</f>
        <v>801005</v>
      </c>
      <c r="BO5" s="65" t="s">
        <v>942</v>
      </c>
      <c r="BP5" s="65" t="s">
        <v>937</v>
      </c>
      <c r="BQ5" s="65"/>
      <c r="BR5" s="65"/>
      <c r="BS5" s="65"/>
    </row>
    <row r="6" spans="1:149" x14ac:dyDescent="0.25">
      <c r="A6" s="15" t="str">
        <f>'Table Seed Map'!$A$11&amp;"-"&amp;(COUNTA($F$1:ResourceForms[[#This Row],[Resource]])-2)</f>
        <v>Resource Forms-4</v>
      </c>
      <c r="B6" s="15" t="str">
        <f>ResourceForms[[#This Row],[Resource Name]]&amp;"/"&amp;ResourceForms[[#This Row],[Name]]</f>
        <v>PartnerTask/TaskCompleteDescription</v>
      </c>
      <c r="C6" s="15">
        <f>COUNTA($A$1:ResourceForms[[#This Row],[Primary]])-2</f>
        <v>4</v>
      </c>
      <c r="D6" s="13" t="s">
        <v>847</v>
      </c>
      <c r="E6" s="15">
        <f>IF(ResourceForms[[#This Row],[No]]=0,"id",ResourceForms[[#This Row],[No]]+IF(ISNUMBER(VLOOKUP('Table Seed Map'!$A$11,SeedMap[],9,0)),VLOOKUP('Table Seed Map'!$A$11,SeedMap[],9,0),0))</f>
        <v>800904</v>
      </c>
      <c r="F6" s="15">
        <f>IFERROR(VLOOKUP(ResourceForms[[#This Row],[Resource Name]],ResourceTable[[RName]:[No]],3,0),"resource")</f>
        <v>800505</v>
      </c>
      <c r="G6" s="6" t="s">
        <v>1022</v>
      </c>
      <c r="H6" s="15" t="s">
        <v>1023</v>
      </c>
      <c r="I6" s="6" t="s">
        <v>1024</v>
      </c>
      <c r="J6" s="6" t="s">
        <v>1024</v>
      </c>
      <c r="K6" s="3">
        <f>ResourceForms[ID]</f>
        <v>800904</v>
      </c>
      <c r="M6" s="70" t="str">
        <f>'Table Seed Map'!$A$12&amp;"-"&amp;FormFields[[#This Row],[No]]</f>
        <v>Form Fields-4</v>
      </c>
      <c r="N6" s="59" t="s">
        <v>919</v>
      </c>
      <c r="O6" s="71">
        <f>COUNTA($N$1:FormFields[[#This Row],[Form Name]])-1</f>
        <v>4</v>
      </c>
      <c r="P6" s="70" t="str">
        <f>FormFields[[#This Row],[Form Name]]&amp;"/"&amp;FormFields[[#This Row],[Name]]</f>
        <v>Partner/CreatePartner/name</v>
      </c>
      <c r="Q6" s="71">
        <f>IF(FormFields[[#This Row],[No]]=0,"id",FormFields[[#This Row],[No]]+IF(ISNUMBER(VLOOKUP('Table Seed Map'!$A$12,SeedMap[],9,0)),VLOOKUP('Table Seed Map'!$A$12,SeedMap[],9,0),0))</f>
        <v>801004</v>
      </c>
      <c r="R6" s="72">
        <f>IFERROR(VLOOKUP(FormFields[[#This Row],[Form Name]],ResourceForms[[FormName]:[ID]],4,0),"resource_form")</f>
        <v>800902</v>
      </c>
      <c r="S6" s="73" t="s">
        <v>23</v>
      </c>
      <c r="T6" s="73" t="s">
        <v>898</v>
      </c>
      <c r="U6" s="73" t="s">
        <v>1</v>
      </c>
      <c r="V6" s="74"/>
      <c r="W6" s="74"/>
      <c r="X6" s="74"/>
      <c r="Y6" s="74"/>
      <c r="Z6" s="75" t="str">
        <f>'Table Seed Map'!$A$13&amp;"-"&amp;FormFields[[#This Row],[NO2]]</f>
        <v>Field Data-4</v>
      </c>
      <c r="AA6" s="76">
        <f>COUNTIFS($AB$1:FormFields[[#This Row],[Exists]],1)-1</f>
        <v>4</v>
      </c>
      <c r="AB6" s="76">
        <f>IF(AND(FormFields[[#This Row],[Attribute]]="",FormFields[[#This Row],[Rel]]=""),0,1)</f>
        <v>1</v>
      </c>
      <c r="AC6" s="76">
        <f>IF(FormFields[[#This Row],[NO2]]=0,"id",FormFields[[#This Row],[NO2]]+IF(ISNUMBER(VLOOKUP('Table Seed Map'!$A$13,SeedMap[],9,0)),VLOOKUP('Table Seed Map'!$A$13,SeedMap[],9,0),0))</f>
        <v>801104</v>
      </c>
      <c r="AD6" s="77">
        <f>IF(FormFields[[#This Row],[ID]]="id","form_field",FormFields[[#This Row],[ID]])</f>
        <v>801004</v>
      </c>
      <c r="AE6" s="76" t="str">
        <f>IF(FormFields[[#This Row],[No]]=0,"attribute",FormFields[[#This Row],[Name]])</f>
        <v>name</v>
      </c>
      <c r="AF6" s="78" t="str">
        <f>IF(FormFields[[#This Row],[NO2]]=0,"relation",IF(FormFields[[#This Row],[Rel]]="","",VLOOKUP(FormFields[[#This Row],[Rel]],RelationTable[[Display]:[RELID]],2,0)))</f>
        <v/>
      </c>
      <c r="AG6" s="78" t="str">
        <f>IF(FormFields[[#This Row],[NO2]]=0,"nest_relation1",IF(FormFields[[#This Row],[Rel1]]="","",VLOOKUP(FormFields[[#This Row],[Rel1]],RelationTable[[Display]:[RELID]],2,0)))</f>
        <v/>
      </c>
      <c r="AH6" s="78" t="str">
        <f>IF(FormFields[[#This Row],[NO2]]=0,"nest_relation2",IF(FormFields[[#This Row],[Rel2]]="","",VLOOKUP(FormFields[[#This Row],[Rel2]],RelationTable[[Display]:[RELID]],2,0)))</f>
        <v/>
      </c>
      <c r="AI6" s="78" t="str">
        <f>IF(FormFields[[#This Row],[NO2]]=0,"nest_relation3",IF(FormFields[[#This Row],[Rel3]]="","",VLOOKUP(FormFields[[#This Row],[Rel3]],RelationTable[[Display]:[RELID]],2,0)))</f>
        <v/>
      </c>
      <c r="AJ6" s="71">
        <f>IF(OR(FormFields[[#This Row],[Option Type]]="",FormFields[[#This Row],[Option Type]]="type"),0,1)</f>
        <v>0</v>
      </c>
      <c r="AK6" s="71" t="str">
        <f>'Table Seed Map'!$A$14&amp;"-"&amp;FormFields[[#This Row],[NO4]]</f>
        <v>Field Options-1</v>
      </c>
      <c r="AL6" s="71">
        <f>COUNTIF($AJ$2:FormFields[[#This Row],[Exists FO]],1)</f>
        <v>1</v>
      </c>
      <c r="AM6" s="71">
        <f>IF(FormFields[[#This Row],[NO4]]=0,"id",FormFields[[#This Row],[NO4]]+IF(ISNUMBER(VLOOKUP('Table Seed Map'!$A$14,SeedMap[],9,0)),VLOOKUP('Table Seed Map'!$A$14,SeedMap[],9,0),0))</f>
        <v>801201</v>
      </c>
      <c r="AN6" s="58">
        <f>IF(FormFields[[#This Row],[ID]]="id","form_field",FormFields[[#This Row],[ID]])</f>
        <v>801004</v>
      </c>
      <c r="AO6" s="79"/>
      <c r="AP6" s="79"/>
      <c r="AQ6" s="79"/>
      <c r="AR6" s="79"/>
      <c r="AS6" s="79"/>
      <c r="AT6" s="71">
        <f>IF(OR(FormFields[[#This Row],[Colspan]]="",FormFields[[#This Row],[Colspan]]="colspan"),0,1)</f>
        <v>0</v>
      </c>
      <c r="AU6" s="71" t="str">
        <f>'Table Seed Map'!$A$19&amp;"-"&amp;FormFields[[#This Row],[NO8]]</f>
        <v>Form Layout-0</v>
      </c>
      <c r="AV6" s="71">
        <f>COUNTIF($AT$1:FormFields[[#This Row],[Exists FL]],1)</f>
        <v>0</v>
      </c>
      <c r="AW6" s="71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6" s="71">
        <f>FormFields[Form]</f>
        <v>800902</v>
      </c>
      <c r="AY6" s="71">
        <f>IF(FormFields[[#This Row],[ID]]="id","form_field",FormFields[[#This Row],[ID]])</f>
        <v>801004</v>
      </c>
      <c r="AZ6" s="80"/>
      <c r="BA6" s="58">
        <f>FormFields[[#This Row],[ID]]</f>
        <v>801004</v>
      </c>
      <c r="BC6" s="63" t="s">
        <v>922</v>
      </c>
      <c r="BD6" s="62" t="str">
        <f>'Table Seed Map'!$A$15&amp;"-"&amp;(-1+COUNTA($BC$1:FieldAttrs[[#This Row],[ATTR Field]]))</f>
        <v>Field Attrs-4</v>
      </c>
      <c r="BE6" s="60">
        <f>IF(FieldAttrs[[#This Row],[ATTR Field]]="","id",-1+COUNTA($BC$1:FieldAttrs[[#This Row],[ATTR Field]])+VLOOKUP('Table Seed Map'!$A$15,SeedMap[],9,0))</f>
        <v>801304</v>
      </c>
      <c r="BF6" s="58">
        <f>IFERROR(VLOOKUP(FieldAttrs[ATTR Field],FormFields[[Field Name]:[ID]],2,0),"form_field")</f>
        <v>801004</v>
      </c>
      <c r="BG6" s="58" t="s">
        <v>905</v>
      </c>
      <c r="BH6" s="58">
        <v>4</v>
      </c>
      <c r="BJ6" s="63" t="s">
        <v>923</v>
      </c>
      <c r="BK6" s="63">
        <f>COUNTA($BJ$2:FieldValidations[[#This Row],[Validation Field]])</f>
        <v>4</v>
      </c>
      <c r="BL6" s="62" t="str">
        <f>'Table Seed Map'!$A$17&amp;"-"&amp;FieldValidations[[#This Row],[ID No]]</f>
        <v>Field Validations-4</v>
      </c>
      <c r="BM6" s="60">
        <f>IF(FieldValidations[[#This Row],[ID No]]=0,"id",FieldValidations[[#This Row],[ID No]]+VLOOKUP('Table Seed Map'!$A$17,SeedMap[],9,0))</f>
        <v>801504</v>
      </c>
      <c r="BN6" s="60">
        <f>VLOOKUP(FieldValidations[Validation Field],FormFields[[Field Name]:[ID]],2,0)</f>
        <v>801005</v>
      </c>
      <c r="BO6" s="65" t="s">
        <v>939</v>
      </c>
      <c r="BP6" s="65" t="s">
        <v>940</v>
      </c>
      <c r="BQ6" s="65" t="s">
        <v>75</v>
      </c>
      <c r="BR6" s="65" t="s">
        <v>855</v>
      </c>
      <c r="BS6" s="65" t="s">
        <v>941</v>
      </c>
    </row>
    <row r="7" spans="1:149" x14ac:dyDescent="0.25">
      <c r="A7" s="60" t="str">
        <f>'Table Seed Map'!$A$11&amp;"-"&amp;(COUNTA($F$1:ResourceForms[[#This Row],[Resource]])-2)</f>
        <v>Resource Forms-5</v>
      </c>
      <c r="B7" s="60" t="str">
        <f>ResourceForms[[#This Row],[Resource Name]]&amp;"/"&amp;ResourceForms[[#This Row],[Name]]</f>
        <v>PartnerTask/TaskCompleteAttachment</v>
      </c>
      <c r="C7" s="60">
        <f>COUNTA($A$1:ResourceForms[[#This Row],[Primary]])-2</f>
        <v>5</v>
      </c>
      <c r="D7" s="65" t="s">
        <v>847</v>
      </c>
      <c r="E7" s="60">
        <f>IF(ResourceForms[[#This Row],[No]]=0,"id",ResourceForms[[#This Row],[No]]+IF(ISNUMBER(VLOOKUP('Table Seed Map'!$A$11,SeedMap[],9,0)),VLOOKUP('Table Seed Map'!$A$11,SeedMap[],9,0),0))</f>
        <v>800905</v>
      </c>
      <c r="F7" s="60">
        <f>IFERROR(VLOOKUP(ResourceForms[[#This Row],[Resource Name]],ResourceTable[[RName]:[No]],3,0),"resource")</f>
        <v>800505</v>
      </c>
      <c r="G7" s="6" t="s">
        <v>1040</v>
      </c>
      <c r="H7" s="15" t="s">
        <v>1041</v>
      </c>
      <c r="I7" s="6" t="s">
        <v>1024</v>
      </c>
      <c r="J7" s="6" t="s">
        <v>1024</v>
      </c>
      <c r="K7" s="64">
        <f>ResourceForms[ID]</f>
        <v>800905</v>
      </c>
      <c r="M7" s="70" t="str">
        <f>'Table Seed Map'!$A$12&amp;"-"&amp;FormFields[[#This Row],[No]]</f>
        <v>Form Fields-5</v>
      </c>
      <c r="N7" s="59" t="s">
        <v>919</v>
      </c>
      <c r="O7" s="71">
        <f>COUNTA($N$1:FormFields[[#This Row],[Form Name]])-1</f>
        <v>5</v>
      </c>
      <c r="P7" s="70" t="str">
        <f>FormFields[[#This Row],[Form Name]]&amp;"/"&amp;FormFields[[#This Row],[Name]]</f>
        <v>Partner/CreatePartner/email</v>
      </c>
      <c r="Q7" s="71">
        <f>IF(FormFields[[#This Row],[No]]=0,"id",FormFields[[#This Row],[No]]+IF(ISNUMBER(VLOOKUP('Table Seed Map'!$A$12,SeedMap[],9,0)),VLOOKUP('Table Seed Map'!$A$12,SeedMap[],9,0),0))</f>
        <v>801005</v>
      </c>
      <c r="R7" s="72">
        <f>IFERROR(VLOOKUP(FormFields[[#This Row],[Form Name]],ResourceForms[[FormName]:[ID]],4,0),"resource_form")</f>
        <v>800902</v>
      </c>
      <c r="S7" s="73" t="s">
        <v>855</v>
      </c>
      <c r="T7" s="73" t="s">
        <v>898</v>
      </c>
      <c r="U7" s="73" t="s">
        <v>920</v>
      </c>
      <c r="V7" s="74"/>
      <c r="W7" s="74"/>
      <c r="X7" s="74"/>
      <c r="Y7" s="74"/>
      <c r="Z7" s="75" t="str">
        <f>'Table Seed Map'!$A$13&amp;"-"&amp;FormFields[[#This Row],[NO2]]</f>
        <v>Field Data-5</v>
      </c>
      <c r="AA7" s="76">
        <f>COUNTIFS($AB$1:FormFields[[#This Row],[Exists]],1)-1</f>
        <v>5</v>
      </c>
      <c r="AB7" s="76">
        <f>IF(AND(FormFields[[#This Row],[Attribute]]="",FormFields[[#This Row],[Rel]]=""),0,1)</f>
        <v>1</v>
      </c>
      <c r="AC7" s="76">
        <f>IF(FormFields[[#This Row],[NO2]]=0,"id",FormFields[[#This Row],[NO2]]+IF(ISNUMBER(VLOOKUP('Table Seed Map'!$A$13,SeedMap[],9,0)),VLOOKUP('Table Seed Map'!$A$13,SeedMap[],9,0),0))</f>
        <v>801105</v>
      </c>
      <c r="AD7" s="77">
        <f>IF(FormFields[[#This Row],[ID]]="id","form_field",FormFields[[#This Row],[ID]])</f>
        <v>801005</v>
      </c>
      <c r="AE7" s="76" t="str">
        <f>IF(FormFields[[#This Row],[No]]=0,"attribute",FormFields[[#This Row],[Name]])</f>
        <v>email</v>
      </c>
      <c r="AF7" s="78" t="str">
        <f>IF(FormFields[[#This Row],[NO2]]=0,"relation",IF(FormFields[[#This Row],[Rel]]="","",VLOOKUP(FormFields[[#This Row],[Rel]],RelationTable[[Display]:[RELID]],2,0)))</f>
        <v/>
      </c>
      <c r="AG7" s="78" t="str">
        <f>IF(FormFields[[#This Row],[NO2]]=0,"nest_relation1",IF(FormFields[[#This Row],[Rel1]]="","",VLOOKUP(FormFields[[#This Row],[Rel1]],RelationTable[[Display]:[RELID]],2,0)))</f>
        <v/>
      </c>
      <c r="AH7" s="78" t="str">
        <f>IF(FormFields[[#This Row],[NO2]]=0,"nest_relation2",IF(FormFields[[#This Row],[Rel2]]="","",VLOOKUP(FormFields[[#This Row],[Rel2]],RelationTable[[Display]:[RELID]],2,0)))</f>
        <v/>
      </c>
      <c r="AI7" s="78" t="str">
        <f>IF(FormFields[[#This Row],[NO2]]=0,"nest_relation3",IF(FormFields[[#This Row],[Rel3]]="","",VLOOKUP(FormFields[[#This Row],[Rel3]],RelationTable[[Display]:[RELID]],2,0)))</f>
        <v/>
      </c>
      <c r="AJ7" s="71">
        <f>IF(OR(FormFields[[#This Row],[Option Type]]="",FormFields[[#This Row],[Option Type]]="type"),0,1)</f>
        <v>0</v>
      </c>
      <c r="AK7" s="71" t="str">
        <f>'Table Seed Map'!$A$14&amp;"-"&amp;FormFields[[#This Row],[NO4]]</f>
        <v>Field Options-1</v>
      </c>
      <c r="AL7" s="71">
        <f>COUNTIF($AJ$2:FormFields[[#This Row],[Exists FO]],1)</f>
        <v>1</v>
      </c>
      <c r="AM7" s="71">
        <f>IF(FormFields[[#This Row],[NO4]]=0,"id",FormFields[[#This Row],[NO4]]+IF(ISNUMBER(VLOOKUP('Table Seed Map'!$A$14,SeedMap[],9,0)),VLOOKUP('Table Seed Map'!$A$14,SeedMap[],9,0),0))</f>
        <v>801201</v>
      </c>
      <c r="AN7" s="58">
        <f>IF(FormFields[[#This Row],[ID]]="id","form_field",FormFields[[#This Row],[ID]])</f>
        <v>801005</v>
      </c>
      <c r="AO7" s="79"/>
      <c r="AP7" s="79"/>
      <c r="AQ7" s="79"/>
      <c r="AR7" s="79"/>
      <c r="AS7" s="79"/>
      <c r="AT7" s="71">
        <f>IF(OR(FormFields[[#This Row],[Colspan]]="",FormFields[[#This Row],[Colspan]]="colspan"),0,1)</f>
        <v>0</v>
      </c>
      <c r="AU7" s="71" t="str">
        <f>'Table Seed Map'!$A$19&amp;"-"&amp;FormFields[[#This Row],[NO8]]</f>
        <v>Form Layout-0</v>
      </c>
      <c r="AV7" s="71">
        <f>COUNTIF($AT$1:FormFields[[#This Row],[Exists FL]],1)</f>
        <v>0</v>
      </c>
      <c r="AW7" s="71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7" s="71">
        <f>FormFields[Form]</f>
        <v>800902</v>
      </c>
      <c r="AY7" s="71">
        <f>IF(FormFields[[#This Row],[ID]]="id","form_field",FormFields[[#This Row],[ID]])</f>
        <v>801005</v>
      </c>
      <c r="AZ7" s="80"/>
      <c r="BA7" s="58">
        <f>FormFields[[#This Row],[ID]]</f>
        <v>801005</v>
      </c>
      <c r="BC7" s="63" t="s">
        <v>923</v>
      </c>
      <c r="BD7" s="62" t="str">
        <f>'Table Seed Map'!$A$15&amp;"-"&amp;(-1+COUNTA($BC$1:FieldAttrs[[#This Row],[ATTR Field]]))</f>
        <v>Field Attrs-5</v>
      </c>
      <c r="BE7" s="60">
        <f>IF(FieldAttrs[[#This Row],[ATTR Field]]="","id",-1+COUNTA($BC$1:FieldAttrs[[#This Row],[ATTR Field]])+VLOOKUP('Table Seed Map'!$A$15,SeedMap[],9,0))</f>
        <v>801305</v>
      </c>
      <c r="BF7" s="58">
        <f>IFERROR(VLOOKUP(FieldAttrs[ATTR Field],FormFields[[Field Name]:[ID]],2,0),"form_field")</f>
        <v>801005</v>
      </c>
      <c r="BG7" s="58" t="s">
        <v>905</v>
      </c>
      <c r="BH7" s="58">
        <v>4</v>
      </c>
      <c r="BJ7" s="63" t="s">
        <v>924</v>
      </c>
      <c r="BK7" s="63">
        <f>COUNTA($BJ$2:FieldValidations[[#This Row],[Validation Field]])</f>
        <v>5</v>
      </c>
      <c r="BL7" s="62" t="str">
        <f>'Table Seed Map'!$A$17&amp;"-"&amp;FieldValidations[[#This Row],[ID No]]</f>
        <v>Field Validations-5</v>
      </c>
      <c r="BM7" s="60">
        <f>IF(FieldValidations[[#This Row],[ID No]]=0,"id",FieldValidations[[#This Row],[ID No]]+VLOOKUP('Table Seed Map'!$A$17,SeedMap[],9,0))</f>
        <v>801505</v>
      </c>
      <c r="BN7" s="60">
        <f>VLOOKUP(FieldValidations[Validation Field],FormFields[[Field Name]:[ID]],2,0)</f>
        <v>801006</v>
      </c>
      <c r="BO7" s="65" t="s">
        <v>942</v>
      </c>
      <c r="BP7" s="65" t="s">
        <v>938</v>
      </c>
      <c r="BQ7" s="65"/>
      <c r="BR7" s="65"/>
      <c r="BS7" s="65"/>
    </row>
    <row r="8" spans="1:149" x14ac:dyDescent="0.25">
      <c r="A8" s="60" t="str">
        <f>'Table Seed Map'!$A$11&amp;"-"&amp;(COUNTA($F$1:ResourceForms[[#This Row],[Resource]])-2)</f>
        <v>Resource Forms-6</v>
      </c>
      <c r="B8" s="60" t="str">
        <f>ResourceForms[[#This Row],[Resource Name]]&amp;"/"&amp;ResourceForms[[#This Row],[Name]]</f>
        <v>PartnerTask/TaskDismissForm</v>
      </c>
      <c r="C8" s="60">
        <f>COUNTA($A$1:ResourceForms[[#This Row],[Primary]])-2</f>
        <v>6</v>
      </c>
      <c r="D8" s="65" t="s">
        <v>847</v>
      </c>
      <c r="E8" s="60">
        <f>IF(ResourceForms[[#This Row],[No]]=0,"id",ResourceForms[[#This Row],[No]]+IF(ISNUMBER(VLOOKUP('Table Seed Map'!$A$11,SeedMap[],9,0)),VLOOKUP('Table Seed Map'!$A$11,SeedMap[],9,0),0))</f>
        <v>800906</v>
      </c>
      <c r="F8" s="60">
        <f>IFERROR(VLOOKUP(ResourceForms[[#This Row],[Resource Name]],ResourceTable[[RName]:[No]],3,0),"resource")</f>
        <v>800505</v>
      </c>
      <c r="G8" s="6" t="s">
        <v>1090</v>
      </c>
      <c r="H8" s="60" t="s">
        <v>1091</v>
      </c>
      <c r="I8" s="62" t="s">
        <v>1092</v>
      </c>
      <c r="J8" s="62" t="s">
        <v>1092</v>
      </c>
      <c r="K8" s="64">
        <f>ResourceForms[ID]</f>
        <v>800906</v>
      </c>
      <c r="M8" s="70" t="str">
        <f>'Table Seed Map'!$A$12&amp;"-"&amp;FormFields[[#This Row],[No]]</f>
        <v>Form Fields-6</v>
      </c>
      <c r="N8" s="59" t="s">
        <v>919</v>
      </c>
      <c r="O8" s="71">
        <f>COUNTA($N$1:FormFields[[#This Row],[Form Name]])-1</f>
        <v>6</v>
      </c>
      <c r="P8" s="70" t="str">
        <f>FormFields[[#This Row],[Form Name]]&amp;"/"&amp;FormFields[[#This Row],[Name]]</f>
        <v>Partner/CreatePartner/password</v>
      </c>
      <c r="Q8" s="71">
        <f>IF(FormFields[[#This Row],[No]]=0,"id",FormFields[[#This Row],[No]]+IF(ISNUMBER(VLOOKUP('Table Seed Map'!$A$12,SeedMap[],9,0)),VLOOKUP('Table Seed Map'!$A$12,SeedMap[],9,0),0))</f>
        <v>801006</v>
      </c>
      <c r="R8" s="72">
        <f>IFERROR(VLOOKUP(FormFields[[#This Row],[Form Name]],ResourceForms[[FormName]:[ID]],4,0),"resource_form")</f>
        <v>800902</v>
      </c>
      <c r="S8" s="73" t="s">
        <v>856</v>
      </c>
      <c r="T8" s="73" t="s">
        <v>856</v>
      </c>
      <c r="U8" s="73" t="s">
        <v>921</v>
      </c>
      <c r="V8" s="74"/>
      <c r="W8" s="74"/>
      <c r="X8" s="74"/>
      <c r="Y8" s="74"/>
      <c r="Z8" s="75" t="str">
        <f>'Table Seed Map'!$A$13&amp;"-"&amp;FormFields[[#This Row],[NO2]]</f>
        <v>Field Data-6</v>
      </c>
      <c r="AA8" s="76">
        <f>COUNTIFS($AB$1:FormFields[[#This Row],[Exists]],1)-1</f>
        <v>6</v>
      </c>
      <c r="AB8" s="76">
        <f>IF(AND(FormFields[[#This Row],[Attribute]]="",FormFields[[#This Row],[Rel]]=""),0,1)</f>
        <v>1</v>
      </c>
      <c r="AC8" s="76">
        <f>IF(FormFields[[#This Row],[NO2]]=0,"id",FormFields[[#This Row],[NO2]]+IF(ISNUMBER(VLOOKUP('Table Seed Map'!$A$13,SeedMap[],9,0)),VLOOKUP('Table Seed Map'!$A$13,SeedMap[],9,0),0))</f>
        <v>801106</v>
      </c>
      <c r="AD8" s="77">
        <f>IF(FormFields[[#This Row],[ID]]="id","form_field",FormFields[[#This Row],[ID]])</f>
        <v>801006</v>
      </c>
      <c r="AE8" s="76" t="str">
        <f>IF(FormFields[[#This Row],[No]]=0,"attribute",FormFields[[#This Row],[Name]])</f>
        <v>password</v>
      </c>
      <c r="AF8" s="78" t="str">
        <f>IF(FormFields[[#This Row],[NO2]]=0,"relation",IF(FormFields[[#This Row],[Rel]]="","",VLOOKUP(FormFields[[#This Row],[Rel]],RelationTable[[Display]:[RELID]],2,0)))</f>
        <v/>
      </c>
      <c r="AG8" s="78" t="str">
        <f>IF(FormFields[[#This Row],[NO2]]=0,"nest_relation1",IF(FormFields[[#This Row],[Rel1]]="","",VLOOKUP(FormFields[[#This Row],[Rel1]],RelationTable[[Display]:[RELID]],2,0)))</f>
        <v/>
      </c>
      <c r="AH8" s="78" t="str">
        <f>IF(FormFields[[#This Row],[NO2]]=0,"nest_relation2",IF(FormFields[[#This Row],[Rel2]]="","",VLOOKUP(FormFields[[#This Row],[Rel2]],RelationTable[[Display]:[RELID]],2,0)))</f>
        <v/>
      </c>
      <c r="AI8" s="78" t="str">
        <f>IF(FormFields[[#This Row],[NO2]]=0,"nest_relation3",IF(FormFields[[#This Row],[Rel3]]="","",VLOOKUP(FormFields[[#This Row],[Rel3]],RelationTable[[Display]:[RELID]],2,0)))</f>
        <v/>
      </c>
      <c r="AJ8" s="71">
        <f>IF(OR(FormFields[[#This Row],[Option Type]]="",FormFields[[#This Row],[Option Type]]="type"),0,1)</f>
        <v>0</v>
      </c>
      <c r="AK8" s="71" t="str">
        <f>'Table Seed Map'!$A$14&amp;"-"&amp;FormFields[[#This Row],[NO4]]</f>
        <v>Field Options-1</v>
      </c>
      <c r="AL8" s="71">
        <f>COUNTIF($AJ$2:FormFields[[#This Row],[Exists FO]],1)</f>
        <v>1</v>
      </c>
      <c r="AM8" s="71">
        <f>IF(FormFields[[#This Row],[NO4]]=0,"id",FormFields[[#This Row],[NO4]]+IF(ISNUMBER(VLOOKUP('Table Seed Map'!$A$14,SeedMap[],9,0)),VLOOKUP('Table Seed Map'!$A$14,SeedMap[],9,0),0))</f>
        <v>801201</v>
      </c>
      <c r="AN8" s="58">
        <f>IF(FormFields[[#This Row],[ID]]="id","form_field",FormFields[[#This Row],[ID]])</f>
        <v>801006</v>
      </c>
      <c r="AO8" s="79"/>
      <c r="AP8" s="79"/>
      <c r="AQ8" s="79"/>
      <c r="AR8" s="79"/>
      <c r="AS8" s="79"/>
      <c r="AT8" s="71">
        <f>IF(OR(FormFields[[#This Row],[Colspan]]="",FormFields[[#This Row],[Colspan]]="colspan"),0,1)</f>
        <v>0</v>
      </c>
      <c r="AU8" s="71" t="str">
        <f>'Table Seed Map'!$A$19&amp;"-"&amp;FormFields[[#This Row],[NO8]]</f>
        <v>Form Layout-0</v>
      </c>
      <c r="AV8" s="71">
        <f>COUNTIF($AT$1:FormFields[[#This Row],[Exists FL]],1)</f>
        <v>0</v>
      </c>
      <c r="AW8" s="71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8" s="71">
        <f>FormFields[Form]</f>
        <v>800902</v>
      </c>
      <c r="AY8" s="71">
        <f>IF(FormFields[[#This Row],[ID]]="id","form_field",FormFields[[#This Row],[ID]])</f>
        <v>801006</v>
      </c>
      <c r="AZ8" s="80"/>
      <c r="BA8" s="58">
        <f>FormFields[[#This Row],[ID]]</f>
        <v>801006</v>
      </c>
      <c r="BC8" s="63" t="s">
        <v>924</v>
      </c>
      <c r="BD8" s="62" t="str">
        <f>'Table Seed Map'!$A$15&amp;"-"&amp;(-1+COUNTA($BC$1:FieldAttrs[[#This Row],[ATTR Field]]))</f>
        <v>Field Attrs-6</v>
      </c>
      <c r="BE8" s="60">
        <f>IF(FieldAttrs[[#This Row],[ATTR Field]]="","id",-1+COUNTA($BC$1:FieldAttrs[[#This Row],[ATTR Field]])+VLOOKUP('Table Seed Map'!$A$15,SeedMap[],9,0))</f>
        <v>801306</v>
      </c>
      <c r="BF8" s="58">
        <f>IFERROR(VLOOKUP(FieldAttrs[ATTR Field],FormFields[[Field Name]:[ID]],2,0),"form_field")</f>
        <v>801006</v>
      </c>
      <c r="BG8" s="58" t="s">
        <v>905</v>
      </c>
      <c r="BH8" s="58">
        <v>4</v>
      </c>
      <c r="BJ8" s="63" t="s">
        <v>958</v>
      </c>
      <c r="BK8" s="63">
        <f>COUNTA($BJ$2:FieldValidations[[#This Row],[Validation Field]])</f>
        <v>6</v>
      </c>
      <c r="BL8" s="62" t="str">
        <f>'Table Seed Map'!$A$17&amp;"-"&amp;FieldValidations[[#This Row],[ID No]]</f>
        <v>Field Validations-6</v>
      </c>
      <c r="BM8" s="60">
        <f>IF(FieldValidations[[#This Row],[ID No]]=0,"id",FieldValidations[[#This Row],[ID No]]+VLOOKUP('Table Seed Map'!$A$17,SeedMap[],9,0))</f>
        <v>801506</v>
      </c>
      <c r="BN8" s="60">
        <f>VLOOKUP(FieldValidations[Validation Field],FormFields[[Field Name]:[ID]],2,0)</f>
        <v>801007</v>
      </c>
      <c r="BO8" s="65" t="s">
        <v>942</v>
      </c>
      <c r="BP8" s="65" t="s">
        <v>936</v>
      </c>
      <c r="BQ8" s="65"/>
      <c r="BR8" s="65"/>
      <c r="BS8" s="65"/>
    </row>
    <row r="9" spans="1:149" x14ac:dyDescent="0.25">
      <c r="A9" s="60" t="str">
        <f>'Table Seed Map'!$A$11&amp;"-"&amp;(COUNTA($F$1:ResourceForms[[#This Row],[Resource]])-2)</f>
        <v>Resource Forms-7</v>
      </c>
      <c r="B9" s="60" t="str">
        <f>ResourceForms[[#This Row],[Resource Name]]&amp;"/"&amp;ResourceForms[[#This Row],[Name]]</f>
        <v>PartnerTask/TaskUpdateForm</v>
      </c>
      <c r="C9" s="60">
        <f>COUNTA($A$1:ResourceForms[[#This Row],[Primary]])-2</f>
        <v>7</v>
      </c>
      <c r="D9" s="65" t="s">
        <v>847</v>
      </c>
      <c r="E9" s="60">
        <f>IF(ResourceForms[[#This Row],[No]]=0,"id",ResourceForms[[#This Row],[No]]+IF(ISNUMBER(VLOOKUP('Table Seed Map'!$A$11,SeedMap[],9,0)),VLOOKUP('Table Seed Map'!$A$11,SeedMap[],9,0),0))</f>
        <v>800907</v>
      </c>
      <c r="F9" s="60">
        <f>IFERROR(VLOOKUP(ResourceForms[[#This Row],[Resource Name]],ResourceTable[[RName]:[No]],3,0),"resource")</f>
        <v>800505</v>
      </c>
      <c r="G9" s="62" t="s">
        <v>1136</v>
      </c>
      <c r="H9" s="60" t="s">
        <v>1137</v>
      </c>
      <c r="I9" s="62" t="s">
        <v>335</v>
      </c>
      <c r="J9" s="62" t="s">
        <v>335</v>
      </c>
      <c r="K9" s="64">
        <f>ResourceForms[ID]</f>
        <v>800907</v>
      </c>
      <c r="M9" s="70" t="str">
        <f>'Table Seed Map'!$A$12&amp;"-"&amp;FormFields[[#This Row],[No]]</f>
        <v>Form Fields-7</v>
      </c>
      <c r="N9" s="59" t="s">
        <v>956</v>
      </c>
      <c r="O9" s="71">
        <f>COUNTA($N$1:FormFields[[#This Row],[Form Name]])-1</f>
        <v>7</v>
      </c>
      <c r="P9" s="70" t="str">
        <f>FormFields[[#This Row],[Form Name]]&amp;"/"&amp;FormFields[[#This Row],[Name]]</f>
        <v>Task/CreateTask/name</v>
      </c>
      <c r="Q9" s="71">
        <f>IF(FormFields[[#This Row],[No]]=0,"id",FormFields[[#This Row],[No]]+IF(ISNUMBER(VLOOKUP('Table Seed Map'!$A$12,SeedMap[],9,0)),VLOOKUP('Table Seed Map'!$A$12,SeedMap[],9,0),0))</f>
        <v>801007</v>
      </c>
      <c r="R9" s="72">
        <f>IFERROR(VLOOKUP(FormFields[[#This Row],[Form Name]],ResourceForms[[FormName]:[ID]],4,0),"resource_form")</f>
        <v>800903</v>
      </c>
      <c r="S9" s="73" t="s">
        <v>23</v>
      </c>
      <c r="T9" s="73" t="s">
        <v>898</v>
      </c>
      <c r="U9" s="73" t="s">
        <v>957</v>
      </c>
      <c r="V9" s="74"/>
      <c r="W9" s="74"/>
      <c r="X9" s="74"/>
      <c r="Y9" s="74"/>
      <c r="Z9" s="75" t="str">
        <f>'Table Seed Map'!$A$13&amp;"-"&amp;FormFields[[#This Row],[NO2]]</f>
        <v>Field Data-7</v>
      </c>
      <c r="AA9" s="76">
        <f>COUNTIFS($AB$1:FormFields[[#This Row],[Exists]],1)-1</f>
        <v>7</v>
      </c>
      <c r="AB9" s="76">
        <f>IF(AND(FormFields[[#This Row],[Attribute]]="",FormFields[[#This Row],[Rel]]=""),0,1)</f>
        <v>1</v>
      </c>
      <c r="AC9" s="76">
        <f>IF(FormFields[[#This Row],[NO2]]=0,"id",FormFields[[#This Row],[NO2]]+IF(ISNUMBER(VLOOKUP('Table Seed Map'!$A$13,SeedMap[],9,0)),VLOOKUP('Table Seed Map'!$A$13,SeedMap[],9,0),0))</f>
        <v>801107</v>
      </c>
      <c r="AD9" s="77">
        <f>IF(FormFields[[#This Row],[ID]]="id","form_field",FormFields[[#This Row],[ID]])</f>
        <v>801007</v>
      </c>
      <c r="AE9" s="76" t="str">
        <f>IF(FormFields[[#This Row],[No]]=0,"attribute",FormFields[[#This Row],[Name]])</f>
        <v>name</v>
      </c>
      <c r="AF9" s="78" t="str">
        <f>IF(FormFields[[#This Row],[NO2]]=0,"relation",IF(FormFields[[#This Row],[Rel]]="","",VLOOKUP(FormFields[[#This Row],[Rel]],RelationTable[[Display]:[RELID]],2,0)))</f>
        <v/>
      </c>
      <c r="AG9" s="78" t="str">
        <f>IF(FormFields[[#This Row],[NO2]]=0,"nest_relation1",IF(FormFields[[#This Row],[Rel1]]="","",VLOOKUP(FormFields[[#This Row],[Rel1]],RelationTable[[Display]:[RELID]],2,0)))</f>
        <v/>
      </c>
      <c r="AH9" s="78" t="str">
        <f>IF(FormFields[[#This Row],[NO2]]=0,"nest_relation2",IF(FormFields[[#This Row],[Rel2]]="","",VLOOKUP(FormFields[[#This Row],[Rel2]],RelationTable[[Display]:[RELID]],2,0)))</f>
        <v/>
      </c>
      <c r="AI9" s="78" t="str">
        <f>IF(FormFields[[#This Row],[NO2]]=0,"nest_relation3",IF(FormFields[[#This Row],[Rel3]]="","",VLOOKUP(FormFields[[#This Row],[Rel3]],RelationTable[[Display]:[RELID]],2,0)))</f>
        <v/>
      </c>
      <c r="AJ9" s="71">
        <f>IF(OR(FormFields[[#This Row],[Option Type]]="",FormFields[[#This Row],[Option Type]]="type"),0,1)</f>
        <v>0</v>
      </c>
      <c r="AK9" s="71" t="str">
        <f>'Table Seed Map'!$A$14&amp;"-"&amp;FormFields[[#This Row],[NO4]]</f>
        <v>Field Options-1</v>
      </c>
      <c r="AL9" s="71">
        <f>COUNTIF($AJ$2:FormFields[[#This Row],[Exists FO]],1)</f>
        <v>1</v>
      </c>
      <c r="AM9" s="71">
        <f>IF(FormFields[[#This Row],[NO4]]=0,"id",FormFields[[#This Row],[NO4]]+IF(ISNUMBER(VLOOKUP('Table Seed Map'!$A$14,SeedMap[],9,0)),VLOOKUP('Table Seed Map'!$A$14,SeedMap[],9,0),0))</f>
        <v>801201</v>
      </c>
      <c r="AN9" s="58">
        <f>IF(FormFields[[#This Row],[ID]]="id","form_field",FormFields[[#This Row],[ID]])</f>
        <v>801007</v>
      </c>
      <c r="AO9" s="79"/>
      <c r="AP9" s="79"/>
      <c r="AQ9" s="79"/>
      <c r="AR9" s="79"/>
      <c r="AS9" s="79"/>
      <c r="AT9" s="71">
        <f>IF(OR(FormFields[[#This Row],[Colspan]]="",FormFields[[#This Row],[Colspan]]="colspan"),0,1)</f>
        <v>0</v>
      </c>
      <c r="AU9" s="71" t="str">
        <f>'Table Seed Map'!$A$19&amp;"-"&amp;FormFields[[#This Row],[NO8]]</f>
        <v>Form Layout-0</v>
      </c>
      <c r="AV9" s="71">
        <f>COUNTIF($AT$1:FormFields[[#This Row],[Exists FL]],1)</f>
        <v>0</v>
      </c>
      <c r="AW9" s="71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9" s="71">
        <f>FormFields[Form]</f>
        <v>800903</v>
      </c>
      <c r="AY9" s="71">
        <f>IF(FormFields[[#This Row],[ID]]="id","form_field",FormFields[[#This Row],[ID]])</f>
        <v>801007</v>
      </c>
      <c r="AZ9" s="80"/>
      <c r="BA9" s="58">
        <f>FormFields[[#This Row],[ID]]</f>
        <v>801007</v>
      </c>
      <c r="BC9" s="63" t="s">
        <v>958</v>
      </c>
      <c r="BD9" s="62" t="str">
        <f>'Table Seed Map'!$A$15&amp;"-"&amp;(-1+COUNTA($BC$1:FieldAttrs[[#This Row],[ATTR Field]]))</f>
        <v>Field Attrs-7</v>
      </c>
      <c r="BE9" s="60">
        <f>IF(FieldAttrs[[#This Row],[ATTR Field]]="","id",-1+COUNTA($BC$1:FieldAttrs[[#This Row],[ATTR Field]])+VLOOKUP('Table Seed Map'!$A$15,SeedMap[],9,0))</f>
        <v>801307</v>
      </c>
      <c r="BF9" s="58">
        <f>IFERROR(VLOOKUP(FieldAttrs[ATTR Field],FormFields[[Field Name]:[ID]],2,0),"form_field")</f>
        <v>801007</v>
      </c>
      <c r="BG9" s="58" t="s">
        <v>905</v>
      </c>
      <c r="BH9" s="58">
        <v>4</v>
      </c>
      <c r="BJ9" s="1" t="s">
        <v>1033</v>
      </c>
      <c r="BK9" s="1">
        <f>COUNTA($BJ$2:FieldValidations[[#This Row],[Validation Field]])</f>
        <v>7</v>
      </c>
      <c r="BL9" s="6" t="str">
        <f>'Table Seed Map'!$A$17&amp;"-"&amp;FieldValidations[[#This Row],[ID No]]</f>
        <v>Field Validations-7</v>
      </c>
      <c r="BM9" s="15">
        <f>IF(FieldValidations[[#This Row],[ID No]]=0,"id",FieldValidations[[#This Row],[ID No]]+VLOOKUP('Table Seed Map'!$A$17,SeedMap[],9,0))</f>
        <v>801507</v>
      </c>
      <c r="BN9" s="15">
        <f>VLOOKUP(FieldValidations[Validation Field],FormFields[[Field Name]:[ID]],2,0)</f>
        <v>801016</v>
      </c>
      <c r="BO9" s="13" t="s">
        <v>942</v>
      </c>
      <c r="BP9" s="13" t="s">
        <v>1034</v>
      </c>
      <c r="BQ9" s="13"/>
      <c r="BR9" s="13"/>
      <c r="BS9" s="13"/>
    </row>
    <row r="10" spans="1:149" x14ac:dyDescent="0.25">
      <c r="M10" s="70" t="str">
        <f>'Table Seed Map'!$A$12&amp;"-"&amp;FormFields[[#This Row],[No]]</f>
        <v>Form Fields-8</v>
      </c>
      <c r="N10" s="59" t="s">
        <v>956</v>
      </c>
      <c r="O10" s="71">
        <f>COUNTA($N$1:FormFields[[#This Row],[Form Name]])-1</f>
        <v>8</v>
      </c>
      <c r="P10" s="70" t="str">
        <f>FormFields[[#This Row],[Form Name]]&amp;"/"&amp;FormFields[[#This Row],[Name]]</f>
        <v>Task/CreateTask/description</v>
      </c>
      <c r="Q10" s="71">
        <f>IF(FormFields[[#This Row],[No]]=0,"id",FormFields[[#This Row],[No]]+IF(ISNUMBER(VLOOKUP('Table Seed Map'!$A$12,SeedMap[],9,0)),VLOOKUP('Table Seed Map'!$A$12,SeedMap[],9,0),0))</f>
        <v>801008</v>
      </c>
      <c r="R10" s="72">
        <f>IFERROR(VLOOKUP(FormFields[[#This Row],[Form Name]],ResourceForms[[FormName]:[ID]],4,0),"resource_form")</f>
        <v>800903</v>
      </c>
      <c r="S10" s="73" t="s">
        <v>24</v>
      </c>
      <c r="T10" s="73" t="s">
        <v>899</v>
      </c>
      <c r="U10" s="73" t="s">
        <v>102</v>
      </c>
      <c r="V10" s="74"/>
      <c r="W10" s="74"/>
      <c r="X10" s="74"/>
      <c r="Y10" s="74"/>
      <c r="Z10" s="75" t="str">
        <f>'Table Seed Map'!$A$13&amp;"-"&amp;FormFields[[#This Row],[NO2]]</f>
        <v>Field Data-8</v>
      </c>
      <c r="AA10" s="76">
        <f>COUNTIFS($AB$1:FormFields[[#This Row],[Exists]],1)-1</f>
        <v>8</v>
      </c>
      <c r="AB10" s="76">
        <f>IF(AND(FormFields[[#This Row],[Attribute]]="",FormFields[[#This Row],[Rel]]=""),0,1)</f>
        <v>1</v>
      </c>
      <c r="AC10" s="76">
        <f>IF(FormFields[[#This Row],[NO2]]=0,"id",FormFields[[#This Row],[NO2]]+IF(ISNUMBER(VLOOKUP('Table Seed Map'!$A$13,SeedMap[],9,0)),VLOOKUP('Table Seed Map'!$A$13,SeedMap[],9,0),0))</f>
        <v>801108</v>
      </c>
      <c r="AD10" s="77">
        <f>IF(FormFields[[#This Row],[ID]]="id","form_field",FormFields[[#This Row],[ID]])</f>
        <v>801008</v>
      </c>
      <c r="AE10" s="76" t="str">
        <f>IF(FormFields[[#This Row],[No]]=0,"attribute",FormFields[[#This Row],[Name]])</f>
        <v>description</v>
      </c>
      <c r="AF10" s="78" t="str">
        <f>IF(FormFields[[#This Row],[NO2]]=0,"relation",IF(FormFields[[#This Row],[Rel]]="","",VLOOKUP(FormFields[[#This Row],[Rel]],RelationTable[[Display]:[RELID]],2,0)))</f>
        <v/>
      </c>
      <c r="AG10" s="78" t="str">
        <f>IF(FormFields[[#This Row],[NO2]]=0,"nest_relation1",IF(FormFields[[#This Row],[Rel1]]="","",VLOOKUP(FormFields[[#This Row],[Rel1]],RelationTable[[Display]:[RELID]],2,0)))</f>
        <v/>
      </c>
      <c r="AH10" s="78" t="str">
        <f>IF(FormFields[[#This Row],[NO2]]=0,"nest_relation2",IF(FormFields[[#This Row],[Rel2]]="","",VLOOKUP(FormFields[[#This Row],[Rel2]],RelationTable[[Display]:[RELID]],2,0)))</f>
        <v/>
      </c>
      <c r="AI10" s="78" t="str">
        <f>IF(FormFields[[#This Row],[NO2]]=0,"nest_relation3",IF(FormFields[[#This Row],[Rel3]]="","",VLOOKUP(FormFields[[#This Row],[Rel3]],RelationTable[[Display]:[RELID]],2,0)))</f>
        <v/>
      </c>
      <c r="AJ10" s="71">
        <f>IF(OR(FormFields[[#This Row],[Option Type]]="",FormFields[[#This Row],[Option Type]]="type"),0,1)</f>
        <v>0</v>
      </c>
      <c r="AK10" s="71" t="str">
        <f>'Table Seed Map'!$A$14&amp;"-"&amp;FormFields[[#This Row],[NO4]]</f>
        <v>Field Options-1</v>
      </c>
      <c r="AL10" s="71">
        <f>COUNTIF($AJ$2:FormFields[[#This Row],[Exists FO]],1)</f>
        <v>1</v>
      </c>
      <c r="AM10" s="71">
        <f>IF(FormFields[[#This Row],[NO4]]=0,"id",FormFields[[#This Row],[NO4]]+IF(ISNUMBER(VLOOKUP('Table Seed Map'!$A$14,SeedMap[],9,0)),VLOOKUP('Table Seed Map'!$A$14,SeedMap[],9,0),0))</f>
        <v>801201</v>
      </c>
      <c r="AN10" s="58">
        <f>IF(FormFields[[#This Row],[ID]]="id","form_field",FormFields[[#This Row],[ID]])</f>
        <v>801008</v>
      </c>
      <c r="AO10" s="79"/>
      <c r="AP10" s="79"/>
      <c r="AQ10" s="79"/>
      <c r="AR10" s="79"/>
      <c r="AS10" s="79"/>
      <c r="AT10" s="71">
        <f>IF(OR(FormFields[[#This Row],[Colspan]]="",FormFields[[#This Row],[Colspan]]="colspan"),0,1)</f>
        <v>0</v>
      </c>
      <c r="AU10" s="71" t="str">
        <f>'Table Seed Map'!$A$19&amp;"-"&amp;FormFields[[#This Row],[NO8]]</f>
        <v>Form Layout-0</v>
      </c>
      <c r="AV10" s="71">
        <f>COUNTIF($AT$1:FormFields[[#This Row],[Exists FL]],1)</f>
        <v>0</v>
      </c>
      <c r="AW10" s="71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10" s="71">
        <f>FormFields[Form]</f>
        <v>800903</v>
      </c>
      <c r="AY10" s="71">
        <f>IF(FormFields[[#This Row],[ID]]="id","form_field",FormFields[[#This Row],[ID]])</f>
        <v>801008</v>
      </c>
      <c r="AZ10" s="80"/>
      <c r="BA10" s="58">
        <f>FormFields[[#This Row],[ID]]</f>
        <v>801008</v>
      </c>
      <c r="BC10" s="63" t="s">
        <v>959</v>
      </c>
      <c r="BD10" s="62" t="str">
        <f>'Table Seed Map'!$A$15&amp;"-"&amp;(-1+COUNTA($BC$1:FieldAttrs[[#This Row],[ATTR Field]]))</f>
        <v>Field Attrs-8</v>
      </c>
      <c r="BE10" s="60">
        <f>IF(FieldAttrs[[#This Row],[ATTR Field]]="","id",-1+COUNTA($BC$1:FieldAttrs[[#This Row],[ATTR Field]])+VLOOKUP('Table Seed Map'!$A$15,SeedMap[],9,0))</f>
        <v>801308</v>
      </c>
      <c r="BF10" s="58">
        <f>IFERROR(VLOOKUP(FieldAttrs[ATTR Field],FormFields[[Field Name]:[ID]],2,0),"form_field")</f>
        <v>801008</v>
      </c>
      <c r="BG10" s="58" t="s">
        <v>905</v>
      </c>
      <c r="BH10" s="58">
        <v>4</v>
      </c>
      <c r="BJ10" s="1" t="s">
        <v>1125</v>
      </c>
      <c r="BK10" s="1">
        <f>COUNTA($BJ$2:FieldValidations[[#This Row],[Validation Field]])</f>
        <v>8</v>
      </c>
      <c r="BL10" s="6" t="str">
        <f>'Table Seed Map'!$A$17&amp;"-"&amp;FieldValidations[[#This Row],[ID No]]</f>
        <v>Field Validations-8</v>
      </c>
      <c r="BM10" s="15">
        <f>IF(FieldValidations[[#This Row],[ID No]]=0,"id",FieldValidations[[#This Row],[ID No]]+VLOOKUP('Table Seed Map'!$A$17,SeedMap[],9,0))</f>
        <v>801508</v>
      </c>
      <c r="BN10" s="15">
        <f>VLOOKUP(FieldValidations[Validation Field],FormFields[[Field Name]:[ID]],2,0)</f>
        <v>801017</v>
      </c>
      <c r="BO10" s="13" t="s">
        <v>942</v>
      </c>
      <c r="BP10" s="13" t="s">
        <v>1130</v>
      </c>
      <c r="BQ10" s="13"/>
      <c r="BR10" s="13"/>
      <c r="BS10" s="13"/>
    </row>
    <row r="11" spans="1:149" x14ac:dyDescent="0.25">
      <c r="M11" s="70" t="str">
        <f>'Table Seed Map'!$A$12&amp;"-"&amp;FormFields[[#This Row],[No]]</f>
        <v>Form Fields-9</v>
      </c>
      <c r="N11" s="59" t="s">
        <v>956</v>
      </c>
      <c r="O11" s="71">
        <f>COUNTA($N$1:FormFields[[#This Row],[Form Name]])-1</f>
        <v>9</v>
      </c>
      <c r="P11" s="70" t="str">
        <f>FormFields[[#This Row],[Form Name]]&amp;"/"&amp;FormFields[[#This Row],[Name]]</f>
        <v>Task/CreateTask/returnable</v>
      </c>
      <c r="Q11" s="71">
        <f>IF(FormFields[[#This Row],[No]]=0,"id",FormFields[[#This Row],[No]]+IF(ISNUMBER(VLOOKUP('Table Seed Map'!$A$12,SeedMap[],9,0)),VLOOKUP('Table Seed Map'!$A$12,SeedMap[],9,0),0))</f>
        <v>801009</v>
      </c>
      <c r="R11" s="72">
        <f>IFERROR(VLOOKUP(FormFields[[#This Row],[Form Name]],ResourceForms[[FormName]:[ID]],4,0),"resource_form")</f>
        <v>800903</v>
      </c>
      <c r="S11" s="73" t="s">
        <v>825</v>
      </c>
      <c r="T11" s="73" t="s">
        <v>900</v>
      </c>
      <c r="U11" s="73" t="s">
        <v>970</v>
      </c>
      <c r="V11" s="74"/>
      <c r="W11" s="74"/>
      <c r="X11" s="74"/>
      <c r="Y11" s="74"/>
      <c r="Z11" s="75" t="str">
        <f>'Table Seed Map'!$A$13&amp;"-"&amp;FormFields[[#This Row],[NO2]]</f>
        <v>Field Data-9</v>
      </c>
      <c r="AA11" s="76">
        <f>COUNTIFS($AB$1:FormFields[[#This Row],[Exists]],1)-1</f>
        <v>9</v>
      </c>
      <c r="AB11" s="76">
        <f>IF(AND(FormFields[[#This Row],[Attribute]]="",FormFields[[#This Row],[Rel]]=""),0,1)</f>
        <v>1</v>
      </c>
      <c r="AC11" s="76">
        <f>IF(FormFields[[#This Row],[NO2]]=0,"id",FormFields[[#This Row],[NO2]]+IF(ISNUMBER(VLOOKUP('Table Seed Map'!$A$13,SeedMap[],9,0)),VLOOKUP('Table Seed Map'!$A$13,SeedMap[],9,0),0))</f>
        <v>801109</v>
      </c>
      <c r="AD11" s="77">
        <f>IF(FormFields[[#This Row],[ID]]="id","form_field",FormFields[[#This Row],[ID]])</f>
        <v>801009</v>
      </c>
      <c r="AE11" s="76" t="str">
        <f>IF(FormFields[[#This Row],[No]]=0,"attribute",FormFields[[#This Row],[Name]])</f>
        <v>returnable</v>
      </c>
      <c r="AF11" s="78" t="str">
        <f>IF(FormFields[[#This Row],[NO2]]=0,"relation",IF(FormFields[[#This Row],[Rel]]="","",VLOOKUP(FormFields[[#This Row],[Rel]],RelationTable[[Display]:[RELID]],2,0)))</f>
        <v/>
      </c>
      <c r="AG11" s="78" t="str">
        <f>IF(FormFields[[#This Row],[NO2]]=0,"nest_relation1",IF(FormFields[[#This Row],[Rel1]]="","",VLOOKUP(FormFields[[#This Row],[Rel1]],RelationTable[[Display]:[RELID]],2,0)))</f>
        <v/>
      </c>
      <c r="AH11" s="78" t="str">
        <f>IF(FormFields[[#This Row],[NO2]]=0,"nest_relation2",IF(FormFields[[#This Row],[Rel2]]="","",VLOOKUP(FormFields[[#This Row],[Rel2]],RelationTable[[Display]:[RELID]],2,0)))</f>
        <v/>
      </c>
      <c r="AI11" s="78" t="str">
        <f>IF(FormFields[[#This Row],[NO2]]=0,"nest_relation3",IF(FormFields[[#This Row],[Rel3]]="","",VLOOKUP(FormFields[[#This Row],[Rel3]],RelationTable[[Display]:[RELID]],2,0)))</f>
        <v/>
      </c>
      <c r="AJ11" s="71">
        <f>IF(OR(FormFields[[#This Row],[Option Type]]="",FormFields[[#This Row],[Option Type]]="type"),0,1)</f>
        <v>1</v>
      </c>
      <c r="AK11" s="71" t="str">
        <f>'Table Seed Map'!$A$14&amp;"-"&amp;FormFields[[#This Row],[NO4]]</f>
        <v>Field Options-2</v>
      </c>
      <c r="AL11" s="71">
        <f>COUNTIF($AJ$2:FormFields[[#This Row],[Exists FO]],1)</f>
        <v>2</v>
      </c>
      <c r="AM11" s="71">
        <f>IF(FormFields[[#This Row],[NO4]]=0,"id",FormFields[[#This Row],[NO4]]+IF(ISNUMBER(VLOOKUP('Table Seed Map'!$A$14,SeedMap[],9,0)),VLOOKUP('Table Seed Map'!$A$14,SeedMap[],9,0),0))</f>
        <v>801202</v>
      </c>
      <c r="AN11" s="58">
        <f>IF(FormFields[[#This Row],[ID]]="id","form_field",FormFields[[#This Row],[ID]])</f>
        <v>801009</v>
      </c>
      <c r="AO11" s="79" t="s">
        <v>903</v>
      </c>
      <c r="AP11" s="79"/>
      <c r="AQ11" s="79"/>
      <c r="AR11" s="79"/>
      <c r="AS11" s="79"/>
      <c r="AT11" s="71">
        <f>IF(OR(FormFields[[#This Row],[Colspan]]="",FormFields[[#This Row],[Colspan]]="colspan"),0,1)</f>
        <v>0</v>
      </c>
      <c r="AU11" s="71" t="str">
        <f>'Table Seed Map'!$A$19&amp;"-"&amp;FormFields[[#This Row],[NO8]]</f>
        <v>Form Layout-0</v>
      </c>
      <c r="AV11" s="71">
        <f>COUNTIF($AT$1:FormFields[[#This Row],[Exists FL]],1)</f>
        <v>0</v>
      </c>
      <c r="AW11" s="71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11" s="71">
        <f>FormFields[Form]</f>
        <v>800903</v>
      </c>
      <c r="AY11" s="71">
        <f>IF(FormFields[[#This Row],[ID]]="id","form_field",FormFields[[#This Row],[ID]])</f>
        <v>801009</v>
      </c>
      <c r="AZ11" s="80"/>
      <c r="BA11" s="58">
        <f>FormFields[[#This Row],[ID]]</f>
        <v>801009</v>
      </c>
      <c r="BC11" s="63" t="s">
        <v>975</v>
      </c>
      <c r="BD11" s="62" t="str">
        <f>'Table Seed Map'!$A$15&amp;"-"&amp;(-1+COUNTA($BC$1:FieldAttrs[[#This Row],[ATTR Field]]))</f>
        <v>Field Attrs-9</v>
      </c>
      <c r="BE11" s="60">
        <f>IF(FieldAttrs[[#This Row],[ATTR Field]]="","id",-1+COUNTA($BC$1:FieldAttrs[[#This Row],[ATTR Field]])+VLOOKUP('Table Seed Map'!$A$15,SeedMap[],9,0))</f>
        <v>801309</v>
      </c>
      <c r="BF11" s="58">
        <f>IFERROR(VLOOKUP(FieldAttrs[ATTR Field],FormFields[[Field Name]:[ID]],2,0),"form_field")</f>
        <v>801009</v>
      </c>
      <c r="BG11" s="58" t="s">
        <v>905</v>
      </c>
      <c r="BH11" s="58">
        <v>4</v>
      </c>
      <c r="BJ11" s="63" t="s">
        <v>1050</v>
      </c>
      <c r="BK11" s="63">
        <f>COUNTA($BJ$2:FieldValidations[[#This Row],[Validation Field]])</f>
        <v>9</v>
      </c>
      <c r="BL11" s="62" t="str">
        <f>'Table Seed Map'!$A$17&amp;"-"&amp;FieldValidations[[#This Row],[ID No]]</f>
        <v>Field Validations-9</v>
      </c>
      <c r="BM11" s="60">
        <f>IF(FieldValidations[[#This Row],[ID No]]=0,"id",FieldValidations[[#This Row],[ID No]]+VLOOKUP('Table Seed Map'!$A$17,SeedMap[],9,0))</f>
        <v>801509</v>
      </c>
      <c r="BN11" s="60">
        <f>VLOOKUP(FieldValidations[Validation Field],FormFields[[Field Name]:[ID]],2,0)</f>
        <v>801022</v>
      </c>
      <c r="BO11" s="13" t="s">
        <v>942</v>
      </c>
      <c r="BP11" s="65" t="s">
        <v>1051</v>
      </c>
      <c r="BQ11" s="65"/>
      <c r="BR11" s="65"/>
      <c r="BS11" s="65"/>
    </row>
    <row r="12" spans="1:149" x14ac:dyDescent="0.25">
      <c r="M12" s="70" t="str">
        <f>'Table Seed Map'!$A$12&amp;"-"&amp;FormFields[[#This Row],[No]]</f>
        <v>Form Fields-10</v>
      </c>
      <c r="N12" s="59" t="s">
        <v>956</v>
      </c>
      <c r="O12" s="71">
        <f>COUNTA($N$1:FormFields[[#This Row],[Form Name]])-1</f>
        <v>10</v>
      </c>
      <c r="P12" s="70" t="str">
        <f>FormFields[[#This Row],[Form Name]]&amp;"/"&amp;FormFields[[#This Row],[Name]]</f>
        <v>Task/CreateTask/dismissable</v>
      </c>
      <c r="Q12" s="71">
        <f>IF(FormFields[[#This Row],[No]]=0,"id",FormFields[[#This Row],[No]]+IF(ISNUMBER(VLOOKUP('Table Seed Map'!$A$12,SeedMap[],9,0)),VLOOKUP('Table Seed Map'!$A$12,SeedMap[],9,0),0))</f>
        <v>801010</v>
      </c>
      <c r="R12" s="72">
        <f>IFERROR(VLOOKUP(FormFields[[#This Row],[Form Name]],ResourceForms[[FormName]:[ID]],4,0),"resource_form")</f>
        <v>800903</v>
      </c>
      <c r="S12" s="73" t="s">
        <v>826</v>
      </c>
      <c r="T12" s="73" t="s">
        <v>900</v>
      </c>
      <c r="U12" s="73" t="s">
        <v>971</v>
      </c>
      <c r="V12" s="74"/>
      <c r="W12" s="74"/>
      <c r="X12" s="74"/>
      <c r="Y12" s="74"/>
      <c r="Z12" s="75" t="str">
        <f>'Table Seed Map'!$A$13&amp;"-"&amp;FormFields[[#This Row],[NO2]]</f>
        <v>Field Data-10</v>
      </c>
      <c r="AA12" s="76">
        <f>COUNTIFS($AB$1:FormFields[[#This Row],[Exists]],1)-1</f>
        <v>10</v>
      </c>
      <c r="AB12" s="76">
        <f>IF(AND(FormFields[[#This Row],[Attribute]]="",FormFields[[#This Row],[Rel]]=""),0,1)</f>
        <v>1</v>
      </c>
      <c r="AC12" s="76">
        <f>IF(FormFields[[#This Row],[NO2]]=0,"id",FormFields[[#This Row],[NO2]]+IF(ISNUMBER(VLOOKUP('Table Seed Map'!$A$13,SeedMap[],9,0)),VLOOKUP('Table Seed Map'!$A$13,SeedMap[],9,0),0))</f>
        <v>801110</v>
      </c>
      <c r="AD12" s="77">
        <f>IF(FormFields[[#This Row],[ID]]="id","form_field",FormFields[[#This Row],[ID]])</f>
        <v>801010</v>
      </c>
      <c r="AE12" s="76" t="str">
        <f>IF(FormFields[[#This Row],[No]]=0,"attribute",FormFields[[#This Row],[Name]])</f>
        <v>dismissable</v>
      </c>
      <c r="AF12" s="78" t="str">
        <f>IF(FormFields[[#This Row],[NO2]]=0,"relation",IF(FormFields[[#This Row],[Rel]]="","",VLOOKUP(FormFields[[#This Row],[Rel]],RelationTable[[Display]:[RELID]],2,0)))</f>
        <v/>
      </c>
      <c r="AG12" s="78" t="str">
        <f>IF(FormFields[[#This Row],[NO2]]=0,"nest_relation1",IF(FormFields[[#This Row],[Rel1]]="","",VLOOKUP(FormFields[[#This Row],[Rel1]],RelationTable[[Display]:[RELID]],2,0)))</f>
        <v/>
      </c>
      <c r="AH12" s="78" t="str">
        <f>IF(FormFields[[#This Row],[NO2]]=0,"nest_relation2",IF(FormFields[[#This Row],[Rel2]]="","",VLOOKUP(FormFields[[#This Row],[Rel2]],RelationTable[[Display]:[RELID]],2,0)))</f>
        <v/>
      </c>
      <c r="AI12" s="78" t="str">
        <f>IF(FormFields[[#This Row],[NO2]]=0,"nest_relation3",IF(FormFields[[#This Row],[Rel3]]="","",VLOOKUP(FormFields[[#This Row],[Rel3]],RelationTable[[Display]:[RELID]],2,0)))</f>
        <v/>
      </c>
      <c r="AJ12" s="71">
        <f>IF(OR(FormFields[[#This Row],[Option Type]]="",FormFields[[#This Row],[Option Type]]="type"),0,1)</f>
        <v>1</v>
      </c>
      <c r="AK12" s="71" t="str">
        <f>'Table Seed Map'!$A$14&amp;"-"&amp;FormFields[[#This Row],[NO4]]</f>
        <v>Field Options-3</v>
      </c>
      <c r="AL12" s="71">
        <f>COUNTIF($AJ$2:FormFields[[#This Row],[Exists FO]],1)</f>
        <v>3</v>
      </c>
      <c r="AM12" s="71">
        <f>IF(FormFields[[#This Row],[NO4]]=0,"id",FormFields[[#This Row],[NO4]]+IF(ISNUMBER(VLOOKUP('Table Seed Map'!$A$14,SeedMap[],9,0)),VLOOKUP('Table Seed Map'!$A$14,SeedMap[],9,0),0))</f>
        <v>801203</v>
      </c>
      <c r="AN12" s="58">
        <f>IF(FormFields[[#This Row],[ID]]="id","form_field",FormFields[[#This Row],[ID]])</f>
        <v>801010</v>
      </c>
      <c r="AO12" s="79" t="s">
        <v>903</v>
      </c>
      <c r="AP12" s="79"/>
      <c r="AQ12" s="79"/>
      <c r="AR12" s="79"/>
      <c r="AS12" s="79"/>
      <c r="AT12" s="71">
        <f>IF(OR(FormFields[[#This Row],[Colspan]]="",FormFields[[#This Row],[Colspan]]="colspan"),0,1)</f>
        <v>0</v>
      </c>
      <c r="AU12" s="71" t="str">
        <f>'Table Seed Map'!$A$19&amp;"-"&amp;FormFields[[#This Row],[NO8]]</f>
        <v>Form Layout-0</v>
      </c>
      <c r="AV12" s="71">
        <f>COUNTIF($AT$1:FormFields[[#This Row],[Exists FL]],1)</f>
        <v>0</v>
      </c>
      <c r="AW12" s="71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12" s="71">
        <f>FormFields[Form]</f>
        <v>800903</v>
      </c>
      <c r="AY12" s="71">
        <f>IF(FormFields[[#This Row],[ID]]="id","form_field",FormFields[[#This Row],[ID]])</f>
        <v>801010</v>
      </c>
      <c r="AZ12" s="80"/>
      <c r="BA12" s="58">
        <f>FormFields[[#This Row],[ID]]</f>
        <v>801010</v>
      </c>
      <c r="BC12" s="63" t="s">
        <v>976</v>
      </c>
      <c r="BD12" s="62" t="str">
        <f>'Table Seed Map'!$A$15&amp;"-"&amp;(-1+COUNTA($BC$1:FieldAttrs[[#This Row],[ATTR Field]]))</f>
        <v>Field Attrs-10</v>
      </c>
      <c r="BE12" s="60">
        <f>IF(FieldAttrs[[#This Row],[ATTR Field]]="","id",-1+COUNTA($BC$1:FieldAttrs[[#This Row],[ATTR Field]])+VLOOKUP('Table Seed Map'!$A$15,SeedMap[],9,0))</f>
        <v>801310</v>
      </c>
      <c r="BF12" s="58">
        <f>IFERROR(VLOOKUP(FieldAttrs[ATTR Field],FormFields[[Field Name]:[ID]],2,0),"form_field")</f>
        <v>801010</v>
      </c>
      <c r="BG12" s="58" t="s">
        <v>905</v>
      </c>
      <c r="BH12" s="58">
        <v>4</v>
      </c>
      <c r="BJ12" s="63" t="s">
        <v>1128</v>
      </c>
      <c r="BK12" s="63">
        <f>COUNTA($BJ$2:FieldValidations[[#This Row],[Validation Field]])</f>
        <v>10</v>
      </c>
      <c r="BL12" s="62" t="str">
        <f>'Table Seed Map'!$A$17&amp;"-"&amp;FieldValidations[[#This Row],[ID No]]</f>
        <v>Field Validations-10</v>
      </c>
      <c r="BM12" s="60">
        <f>IF(FieldValidations[[#This Row],[ID No]]=0,"id",FieldValidations[[#This Row],[ID No]]+VLOOKUP('Table Seed Map'!$A$17,SeedMap[],9,0))</f>
        <v>801510</v>
      </c>
      <c r="BN12" s="60">
        <f>VLOOKUP(FieldValidations[Validation Field],FormFields[[Field Name]:[ID]],2,0)</f>
        <v>801028</v>
      </c>
      <c r="BO12" s="13" t="s">
        <v>942</v>
      </c>
      <c r="BP12" s="65" t="s">
        <v>1129</v>
      </c>
      <c r="BQ12" s="65"/>
      <c r="BR12" s="65"/>
      <c r="BS12" s="65"/>
    </row>
    <row r="13" spans="1:149" x14ac:dyDescent="0.25">
      <c r="M13" s="70" t="str">
        <f>'Table Seed Map'!$A$12&amp;"-"&amp;FormFields[[#This Row],[No]]</f>
        <v>Form Fields-11</v>
      </c>
      <c r="N13" s="59" t="s">
        <v>956</v>
      </c>
      <c r="O13" s="71">
        <f>COUNTA($N$1:FormFields[[#This Row],[Form Name]])-1</f>
        <v>11</v>
      </c>
      <c r="P13" s="70" t="str">
        <f>FormFields[[#This Row],[Form Name]]&amp;"/"&amp;FormFields[[#This Row],[Name]]</f>
        <v>Task/CreateTask/editable</v>
      </c>
      <c r="Q13" s="71">
        <f>IF(FormFields[[#This Row],[No]]=0,"id",FormFields[[#This Row],[No]]+IF(ISNUMBER(VLOOKUP('Table Seed Map'!$A$12,SeedMap[],9,0)),VLOOKUP('Table Seed Map'!$A$12,SeedMap[],9,0),0))</f>
        <v>801011</v>
      </c>
      <c r="R13" s="72">
        <f>IFERROR(VLOOKUP(FormFields[[#This Row],[Form Name]],ResourceForms[[FormName]:[ID]],4,0),"resource_form")</f>
        <v>800903</v>
      </c>
      <c r="S13" s="73" t="s">
        <v>827</v>
      </c>
      <c r="T13" s="73" t="s">
        <v>900</v>
      </c>
      <c r="U13" s="73" t="s">
        <v>972</v>
      </c>
      <c r="V13" s="74"/>
      <c r="W13" s="74"/>
      <c r="X13" s="74"/>
      <c r="Y13" s="74"/>
      <c r="Z13" s="75" t="str">
        <f>'Table Seed Map'!$A$13&amp;"-"&amp;FormFields[[#This Row],[NO2]]</f>
        <v>Field Data-11</v>
      </c>
      <c r="AA13" s="76">
        <f>COUNTIFS($AB$1:FormFields[[#This Row],[Exists]],1)-1</f>
        <v>11</v>
      </c>
      <c r="AB13" s="76">
        <f>IF(AND(FormFields[[#This Row],[Attribute]]="",FormFields[[#This Row],[Rel]]=""),0,1)</f>
        <v>1</v>
      </c>
      <c r="AC13" s="76">
        <f>IF(FormFields[[#This Row],[NO2]]=0,"id",FormFields[[#This Row],[NO2]]+IF(ISNUMBER(VLOOKUP('Table Seed Map'!$A$13,SeedMap[],9,0)),VLOOKUP('Table Seed Map'!$A$13,SeedMap[],9,0),0))</f>
        <v>801111</v>
      </c>
      <c r="AD13" s="77">
        <f>IF(FormFields[[#This Row],[ID]]="id","form_field",FormFields[[#This Row],[ID]])</f>
        <v>801011</v>
      </c>
      <c r="AE13" s="76" t="str">
        <f>IF(FormFields[[#This Row],[No]]=0,"attribute",FormFields[[#This Row],[Name]])</f>
        <v>editable</v>
      </c>
      <c r="AF13" s="78" t="str">
        <f>IF(FormFields[[#This Row],[NO2]]=0,"relation",IF(FormFields[[#This Row],[Rel]]="","",VLOOKUP(FormFields[[#This Row],[Rel]],RelationTable[[Display]:[RELID]],2,0)))</f>
        <v/>
      </c>
      <c r="AG13" s="78" t="str">
        <f>IF(FormFields[[#This Row],[NO2]]=0,"nest_relation1",IF(FormFields[[#This Row],[Rel1]]="","",VLOOKUP(FormFields[[#This Row],[Rel1]],RelationTable[[Display]:[RELID]],2,0)))</f>
        <v/>
      </c>
      <c r="AH13" s="78" t="str">
        <f>IF(FormFields[[#This Row],[NO2]]=0,"nest_relation2",IF(FormFields[[#This Row],[Rel2]]="","",VLOOKUP(FormFields[[#This Row],[Rel2]],RelationTable[[Display]:[RELID]],2,0)))</f>
        <v/>
      </c>
      <c r="AI13" s="78" t="str">
        <f>IF(FormFields[[#This Row],[NO2]]=0,"nest_relation3",IF(FormFields[[#This Row],[Rel3]]="","",VLOOKUP(FormFields[[#This Row],[Rel3]],RelationTable[[Display]:[RELID]],2,0)))</f>
        <v/>
      </c>
      <c r="AJ13" s="71">
        <f>IF(OR(FormFields[[#This Row],[Option Type]]="",FormFields[[#This Row],[Option Type]]="type"),0,1)</f>
        <v>1</v>
      </c>
      <c r="AK13" s="71" t="str">
        <f>'Table Seed Map'!$A$14&amp;"-"&amp;FormFields[[#This Row],[NO4]]</f>
        <v>Field Options-4</v>
      </c>
      <c r="AL13" s="71">
        <f>COUNTIF($AJ$2:FormFields[[#This Row],[Exists FO]],1)</f>
        <v>4</v>
      </c>
      <c r="AM13" s="71">
        <f>IF(FormFields[[#This Row],[NO4]]=0,"id",FormFields[[#This Row],[NO4]]+IF(ISNUMBER(VLOOKUP('Table Seed Map'!$A$14,SeedMap[],9,0)),VLOOKUP('Table Seed Map'!$A$14,SeedMap[],9,0),0))</f>
        <v>801204</v>
      </c>
      <c r="AN13" s="58">
        <f>IF(FormFields[[#This Row],[ID]]="id","form_field",FormFields[[#This Row],[ID]])</f>
        <v>801011</v>
      </c>
      <c r="AO13" s="79" t="s">
        <v>903</v>
      </c>
      <c r="AP13" s="79"/>
      <c r="AQ13" s="79"/>
      <c r="AR13" s="79"/>
      <c r="AS13" s="79"/>
      <c r="AT13" s="71">
        <f>IF(OR(FormFields[[#This Row],[Colspan]]="",FormFields[[#This Row],[Colspan]]="colspan"),0,1)</f>
        <v>0</v>
      </c>
      <c r="AU13" s="71" t="str">
        <f>'Table Seed Map'!$A$19&amp;"-"&amp;FormFields[[#This Row],[NO8]]</f>
        <v>Form Layout-0</v>
      </c>
      <c r="AV13" s="71">
        <f>COUNTIF($AT$1:FormFields[[#This Row],[Exists FL]],1)</f>
        <v>0</v>
      </c>
      <c r="AW13" s="71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13" s="71">
        <f>FormFields[Form]</f>
        <v>800903</v>
      </c>
      <c r="AY13" s="71">
        <f>IF(FormFields[[#This Row],[ID]]="id","form_field",FormFields[[#This Row],[ID]])</f>
        <v>801011</v>
      </c>
      <c r="AZ13" s="80"/>
      <c r="BA13" s="58">
        <f>FormFields[[#This Row],[ID]]</f>
        <v>801011</v>
      </c>
      <c r="BC13" s="63" t="s">
        <v>977</v>
      </c>
      <c r="BD13" s="62" t="str">
        <f>'Table Seed Map'!$A$15&amp;"-"&amp;(-1+COUNTA($BC$1:FieldAttrs[[#This Row],[ATTR Field]]))</f>
        <v>Field Attrs-11</v>
      </c>
      <c r="BE13" s="60">
        <f>IF(FieldAttrs[[#This Row],[ATTR Field]]="","id",-1+COUNTA($BC$1:FieldAttrs[[#This Row],[ATTR Field]])+VLOOKUP('Table Seed Map'!$A$15,SeedMap[],9,0))</f>
        <v>801311</v>
      </c>
      <c r="BF13" s="58">
        <f>IFERROR(VLOOKUP(FieldAttrs[ATTR Field],FormFields[[Field Name]:[ID]],2,0),"form_field")</f>
        <v>801011</v>
      </c>
      <c r="BG13" s="58" t="s">
        <v>905</v>
      </c>
      <c r="BH13" s="58">
        <v>4</v>
      </c>
    </row>
    <row r="14" spans="1:149" x14ac:dyDescent="0.25">
      <c r="M14" s="70" t="str">
        <f>'Table Seed Map'!$A$12&amp;"-"&amp;FormFields[[#This Row],[No]]</f>
        <v>Form Fields-12</v>
      </c>
      <c r="N14" s="59" t="s">
        <v>956</v>
      </c>
      <c r="O14" s="71">
        <f>COUNTA($N$1:FormFields[[#This Row],[Form Name]])-1</f>
        <v>12</v>
      </c>
      <c r="P14" s="70" t="str">
        <f>FormFields[[#This Row],[Form Name]]&amp;"/"&amp;FormFields[[#This Row],[Name]]</f>
        <v>Task/CreateTask/completion</v>
      </c>
      <c r="Q14" s="71">
        <f>IF(FormFields[[#This Row],[No]]=0,"id",FormFields[[#This Row],[No]]+IF(ISNUMBER(VLOOKUP('Table Seed Map'!$A$12,SeedMap[],9,0)),VLOOKUP('Table Seed Map'!$A$12,SeedMap[],9,0),0))</f>
        <v>801012</v>
      </c>
      <c r="R14" s="72">
        <f>IFERROR(VLOOKUP(FormFields[[#This Row],[Form Name]],ResourceForms[[FormName]:[ID]],4,0),"resource_form")</f>
        <v>800903</v>
      </c>
      <c r="S14" s="73" t="s">
        <v>832</v>
      </c>
      <c r="T14" s="73" t="s">
        <v>900</v>
      </c>
      <c r="U14" s="73" t="s">
        <v>973</v>
      </c>
      <c r="V14" s="74"/>
      <c r="W14" s="74"/>
      <c r="X14" s="74"/>
      <c r="Y14" s="74"/>
      <c r="Z14" s="75" t="str">
        <f>'Table Seed Map'!$A$13&amp;"-"&amp;FormFields[[#This Row],[NO2]]</f>
        <v>Field Data-12</v>
      </c>
      <c r="AA14" s="76">
        <f>COUNTIFS($AB$1:FormFields[[#This Row],[Exists]],1)-1</f>
        <v>12</v>
      </c>
      <c r="AB14" s="76">
        <f>IF(AND(FormFields[[#This Row],[Attribute]]="",FormFields[[#This Row],[Rel]]=""),0,1)</f>
        <v>1</v>
      </c>
      <c r="AC14" s="76">
        <f>IF(FormFields[[#This Row],[NO2]]=0,"id",FormFields[[#This Row],[NO2]]+IF(ISNUMBER(VLOOKUP('Table Seed Map'!$A$13,SeedMap[],9,0)),VLOOKUP('Table Seed Map'!$A$13,SeedMap[],9,0),0))</f>
        <v>801112</v>
      </c>
      <c r="AD14" s="77">
        <f>IF(FormFields[[#This Row],[ID]]="id","form_field",FormFields[[#This Row],[ID]])</f>
        <v>801012</v>
      </c>
      <c r="AE14" s="76" t="str">
        <f>IF(FormFields[[#This Row],[No]]=0,"attribute",FormFields[[#This Row],[Name]])</f>
        <v>completion</v>
      </c>
      <c r="AF14" s="78" t="str">
        <f>IF(FormFields[[#This Row],[NO2]]=0,"relation",IF(FormFields[[#This Row],[Rel]]="","",VLOOKUP(FormFields[[#This Row],[Rel]],RelationTable[[Display]:[RELID]],2,0)))</f>
        <v/>
      </c>
      <c r="AG14" s="78" t="str">
        <f>IF(FormFields[[#This Row],[NO2]]=0,"nest_relation1",IF(FormFields[[#This Row],[Rel1]]="","",VLOOKUP(FormFields[[#This Row],[Rel1]],RelationTable[[Display]:[RELID]],2,0)))</f>
        <v/>
      </c>
      <c r="AH14" s="78" t="str">
        <f>IF(FormFields[[#This Row],[NO2]]=0,"nest_relation2",IF(FormFields[[#This Row],[Rel2]]="","",VLOOKUP(FormFields[[#This Row],[Rel2]],RelationTable[[Display]:[RELID]],2,0)))</f>
        <v/>
      </c>
      <c r="AI14" s="78" t="str">
        <f>IF(FormFields[[#This Row],[NO2]]=0,"nest_relation3",IF(FormFields[[#This Row],[Rel3]]="","",VLOOKUP(FormFields[[#This Row],[Rel3]],RelationTable[[Display]:[RELID]],2,0)))</f>
        <v/>
      </c>
      <c r="AJ14" s="71">
        <f>IF(OR(FormFields[[#This Row],[Option Type]]="",FormFields[[#This Row],[Option Type]]="type"),0,1)</f>
        <v>1</v>
      </c>
      <c r="AK14" s="71" t="str">
        <f>'Table Seed Map'!$A$14&amp;"-"&amp;FormFields[[#This Row],[NO4]]</f>
        <v>Field Options-5</v>
      </c>
      <c r="AL14" s="71">
        <f>COUNTIF($AJ$2:FormFields[[#This Row],[Exists FO]],1)</f>
        <v>5</v>
      </c>
      <c r="AM14" s="71">
        <f>IF(FormFields[[#This Row],[NO4]]=0,"id",FormFields[[#This Row],[NO4]]+IF(ISNUMBER(VLOOKUP('Table Seed Map'!$A$14,SeedMap[],9,0)),VLOOKUP('Table Seed Map'!$A$14,SeedMap[],9,0),0))</f>
        <v>801205</v>
      </c>
      <c r="AN14" s="58">
        <f>IF(FormFields[[#This Row],[ID]]="id","form_field",FormFields[[#This Row],[ID]])</f>
        <v>801012</v>
      </c>
      <c r="AO14" s="79" t="s">
        <v>903</v>
      </c>
      <c r="AP14" s="79"/>
      <c r="AQ14" s="79"/>
      <c r="AR14" s="79"/>
      <c r="AS14" s="79"/>
      <c r="AT14" s="71">
        <f>IF(OR(FormFields[[#This Row],[Colspan]]="",FormFields[[#This Row],[Colspan]]="colspan"),0,1)</f>
        <v>0</v>
      </c>
      <c r="AU14" s="71" t="str">
        <f>'Table Seed Map'!$A$19&amp;"-"&amp;FormFields[[#This Row],[NO8]]</f>
        <v>Form Layout-0</v>
      </c>
      <c r="AV14" s="71">
        <f>COUNTIF($AT$1:FormFields[[#This Row],[Exists FL]],1)</f>
        <v>0</v>
      </c>
      <c r="AW14" s="71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14" s="71">
        <f>FormFields[Form]</f>
        <v>800903</v>
      </c>
      <c r="AY14" s="71">
        <f>IF(FormFields[[#This Row],[ID]]="id","form_field",FormFields[[#This Row],[ID]])</f>
        <v>801012</v>
      </c>
      <c r="AZ14" s="80"/>
      <c r="BA14" s="58">
        <f>FormFields[[#This Row],[ID]]</f>
        <v>801012</v>
      </c>
      <c r="BC14" s="63" t="s">
        <v>978</v>
      </c>
      <c r="BD14" s="62" t="str">
        <f>'Table Seed Map'!$A$15&amp;"-"&amp;(-1+COUNTA($BC$1:FieldAttrs[[#This Row],[ATTR Field]]))</f>
        <v>Field Attrs-12</v>
      </c>
      <c r="BE14" s="60">
        <f>IF(FieldAttrs[[#This Row],[ATTR Field]]="","id",-1+COUNTA($BC$1:FieldAttrs[[#This Row],[ATTR Field]])+VLOOKUP('Table Seed Map'!$A$15,SeedMap[],9,0))</f>
        <v>801312</v>
      </c>
      <c r="BF14" s="58">
        <f>IFERROR(VLOOKUP(FieldAttrs[ATTR Field],FormFields[[Field Name]:[ID]],2,0),"form_field")</f>
        <v>801012</v>
      </c>
      <c r="BG14" s="58" t="s">
        <v>905</v>
      </c>
      <c r="BH14" s="58">
        <v>4</v>
      </c>
    </row>
    <row r="15" spans="1:149" x14ac:dyDescent="0.25">
      <c r="M15" s="70" t="str">
        <f>'Table Seed Map'!$A$12&amp;"-"&amp;FormFields[[#This Row],[No]]</f>
        <v>Form Fields-13</v>
      </c>
      <c r="N15" s="59" t="s">
        <v>956</v>
      </c>
      <c r="O15" s="71">
        <f>COUNTA($N$1:FormFields[[#This Row],[Form Name]])-1</f>
        <v>13</v>
      </c>
      <c r="P15" s="70" t="str">
        <f>FormFields[[#This Row],[Form Name]]&amp;"/"&amp;FormFields[[#This Row],[Name]]</f>
        <v>Task/CreateTask/assign</v>
      </c>
      <c r="Q15" s="71">
        <f>IF(FormFields[[#This Row],[No]]=0,"id",FormFields[[#This Row],[No]]+IF(ISNUMBER(VLOOKUP('Table Seed Map'!$A$12,SeedMap[],9,0)),VLOOKUP('Table Seed Map'!$A$12,SeedMap[],9,0),0))</f>
        <v>801013</v>
      </c>
      <c r="R15" s="72">
        <f>IFERROR(VLOOKUP(FormFields[[#This Row],[Form Name]],ResourceForms[[FormName]:[ID]],4,0),"resource_form")</f>
        <v>800903</v>
      </c>
      <c r="S15" s="73" t="s">
        <v>834</v>
      </c>
      <c r="T15" s="73" t="s">
        <v>900</v>
      </c>
      <c r="U15" s="73" t="s">
        <v>974</v>
      </c>
      <c r="V15" s="74"/>
      <c r="W15" s="74"/>
      <c r="X15" s="74"/>
      <c r="Y15" s="74"/>
      <c r="Z15" s="75" t="str">
        <f>'Table Seed Map'!$A$13&amp;"-"&amp;FormFields[[#This Row],[NO2]]</f>
        <v>Field Data-13</v>
      </c>
      <c r="AA15" s="76">
        <f>COUNTIFS($AB$1:FormFields[[#This Row],[Exists]],1)-1</f>
        <v>13</v>
      </c>
      <c r="AB15" s="76">
        <f>IF(AND(FormFields[[#This Row],[Attribute]]="",FormFields[[#This Row],[Rel]]=""),0,1)</f>
        <v>1</v>
      </c>
      <c r="AC15" s="76">
        <f>IF(FormFields[[#This Row],[NO2]]=0,"id",FormFields[[#This Row],[NO2]]+IF(ISNUMBER(VLOOKUP('Table Seed Map'!$A$13,SeedMap[],9,0)),VLOOKUP('Table Seed Map'!$A$13,SeedMap[],9,0),0))</f>
        <v>801113</v>
      </c>
      <c r="AD15" s="77">
        <f>IF(FormFields[[#This Row],[ID]]="id","form_field",FormFields[[#This Row],[ID]])</f>
        <v>801013</v>
      </c>
      <c r="AE15" s="76" t="str">
        <f>IF(FormFields[[#This Row],[No]]=0,"attribute",FormFields[[#This Row],[Name]])</f>
        <v>assign</v>
      </c>
      <c r="AF15" s="78" t="str">
        <f>IF(FormFields[[#This Row],[NO2]]=0,"relation",IF(FormFields[[#This Row],[Rel]]="","",VLOOKUP(FormFields[[#This Row],[Rel]],RelationTable[[Display]:[RELID]],2,0)))</f>
        <v/>
      </c>
      <c r="AG15" s="78" t="str">
        <f>IF(FormFields[[#This Row],[NO2]]=0,"nest_relation1",IF(FormFields[[#This Row],[Rel1]]="","",VLOOKUP(FormFields[[#This Row],[Rel1]],RelationTable[[Display]:[RELID]],2,0)))</f>
        <v/>
      </c>
      <c r="AH15" s="78" t="str">
        <f>IF(FormFields[[#This Row],[NO2]]=0,"nest_relation2",IF(FormFields[[#This Row],[Rel2]]="","",VLOOKUP(FormFields[[#This Row],[Rel2]],RelationTable[[Display]:[RELID]],2,0)))</f>
        <v/>
      </c>
      <c r="AI15" s="78" t="str">
        <f>IF(FormFields[[#This Row],[NO2]]=0,"nest_relation3",IF(FormFields[[#This Row],[Rel3]]="","",VLOOKUP(FormFields[[#This Row],[Rel3]],RelationTable[[Display]:[RELID]],2,0)))</f>
        <v/>
      </c>
      <c r="AJ15" s="71">
        <f>IF(OR(FormFields[[#This Row],[Option Type]]="",FormFields[[#This Row],[Option Type]]="type"),0,1)</f>
        <v>1</v>
      </c>
      <c r="AK15" s="71" t="str">
        <f>'Table Seed Map'!$A$14&amp;"-"&amp;FormFields[[#This Row],[NO4]]</f>
        <v>Field Options-6</v>
      </c>
      <c r="AL15" s="71">
        <f>COUNTIF($AJ$2:FormFields[[#This Row],[Exists FO]],1)</f>
        <v>6</v>
      </c>
      <c r="AM15" s="71">
        <f>IF(FormFields[[#This Row],[NO4]]=0,"id",FormFields[[#This Row],[NO4]]+IF(ISNUMBER(VLOOKUP('Table Seed Map'!$A$14,SeedMap[],9,0)),VLOOKUP('Table Seed Map'!$A$14,SeedMap[],9,0),0))</f>
        <v>801206</v>
      </c>
      <c r="AN15" s="58">
        <f>IF(FormFields[[#This Row],[ID]]="id","form_field",FormFields[[#This Row],[ID]])</f>
        <v>801013</v>
      </c>
      <c r="AO15" s="79" t="s">
        <v>278</v>
      </c>
      <c r="AP15" s="79"/>
      <c r="AQ15" s="79" t="s">
        <v>21</v>
      </c>
      <c r="AR15" s="79" t="s">
        <v>23</v>
      </c>
      <c r="AS15" s="79"/>
      <c r="AT15" s="71">
        <f>IF(OR(FormFields[[#This Row],[Colspan]]="",FormFields[[#This Row],[Colspan]]="colspan"),0,1)</f>
        <v>0</v>
      </c>
      <c r="AU15" s="71" t="str">
        <f>'Table Seed Map'!$A$19&amp;"-"&amp;FormFields[[#This Row],[NO8]]</f>
        <v>Form Layout-0</v>
      </c>
      <c r="AV15" s="71">
        <f>COUNTIF($AT$1:FormFields[[#This Row],[Exists FL]],1)</f>
        <v>0</v>
      </c>
      <c r="AW15" s="71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15" s="71">
        <f>FormFields[Form]</f>
        <v>800903</v>
      </c>
      <c r="AY15" s="71">
        <f>IF(FormFields[[#This Row],[ID]]="id","form_field",FormFields[[#This Row],[ID]])</f>
        <v>801013</v>
      </c>
      <c r="AZ15" s="80"/>
      <c r="BA15" s="58">
        <f>FormFields[[#This Row],[ID]]</f>
        <v>801013</v>
      </c>
      <c r="BC15" s="63" t="s">
        <v>979</v>
      </c>
      <c r="BD15" s="62" t="str">
        <f>'Table Seed Map'!$A$15&amp;"-"&amp;(-1+COUNTA($BC$1:FieldAttrs[[#This Row],[ATTR Field]]))</f>
        <v>Field Attrs-13</v>
      </c>
      <c r="BE15" s="60">
        <f>IF(FieldAttrs[[#This Row],[ATTR Field]]="","id",-1+COUNTA($BC$1:FieldAttrs[[#This Row],[ATTR Field]])+VLOOKUP('Table Seed Map'!$A$15,SeedMap[],9,0))</f>
        <v>801313</v>
      </c>
      <c r="BF15" s="58">
        <f>IFERROR(VLOOKUP(FieldAttrs[ATTR Field],FormFields[[Field Name]:[ID]],2,0),"form_field")</f>
        <v>801013</v>
      </c>
      <c r="BG15" s="58" t="s">
        <v>905</v>
      </c>
      <c r="BH15" s="58">
        <v>4</v>
      </c>
    </row>
    <row r="16" spans="1:149" x14ac:dyDescent="0.25">
      <c r="M16" s="39" t="str">
        <f>'Table Seed Map'!$A$12&amp;"-"&amp;FormFields[[#This Row],[No]]</f>
        <v>Form Fields-14</v>
      </c>
      <c r="N16" s="34" t="s">
        <v>1025</v>
      </c>
      <c r="O16" s="37">
        <f>COUNTA($N$1:FormFields[[#This Row],[Form Name]])-1</f>
        <v>14</v>
      </c>
      <c r="P16" s="39" t="str">
        <f>FormFields[[#This Row],[Form Name]]&amp;"/"&amp;FormFields[[#This Row],[Name]]</f>
        <v>PartnerTask/TaskCompleteDescription/task.name</v>
      </c>
      <c r="Q16" s="37">
        <f>IF(FormFields[[#This Row],[No]]=0,"id",FormFields[[#This Row],[No]]+IF(ISNUMBER(VLOOKUP('Table Seed Map'!$A$12,SeedMap[],9,0)),VLOOKUP('Table Seed Map'!$A$12,SeedMap[],9,0),0))</f>
        <v>801014</v>
      </c>
      <c r="R16" s="40">
        <f>IFERROR(VLOOKUP(FormFields[[#This Row],[Form Name]],ResourceForms[[FormName]:[ID]],4,0),"resource_form")</f>
        <v>800904</v>
      </c>
      <c r="S16" s="42" t="s">
        <v>1027</v>
      </c>
      <c r="T16" s="42" t="s">
        <v>1026</v>
      </c>
      <c r="U16" s="42" t="s">
        <v>1</v>
      </c>
      <c r="V16" s="43"/>
      <c r="W16" s="43"/>
      <c r="X16" s="43"/>
      <c r="Y16" s="43"/>
      <c r="Z16" s="44" t="str">
        <f>'Table Seed Map'!$A$13&amp;"-"&amp;FormFields[[#This Row],[NO2]]</f>
        <v>Field Data-13</v>
      </c>
      <c r="AA16" s="45">
        <f>COUNTIFS($AB$1:FormFields[[#This Row],[Exists]],1)-1</f>
        <v>13</v>
      </c>
      <c r="AB16" s="45">
        <f>IF(AND(FormFields[[#This Row],[Attribute]]="",FormFields[[#This Row],[Rel]]=""),0,1)</f>
        <v>0</v>
      </c>
      <c r="AC16" s="45">
        <f>IF(FormFields[[#This Row],[NO2]]=0,"id",FormFields[[#This Row],[NO2]]+IF(ISNUMBER(VLOOKUP('Table Seed Map'!$A$13,SeedMap[],9,0)),VLOOKUP('Table Seed Map'!$A$13,SeedMap[],9,0),0))</f>
        <v>801113</v>
      </c>
      <c r="AD16" s="85">
        <f>IF(FormFields[[#This Row],[ID]]="id","form_field",FormFields[[#This Row],[ID]])</f>
        <v>801014</v>
      </c>
      <c r="AE16" s="45"/>
      <c r="AF16" s="54" t="str">
        <f>IF(FormFields[[#This Row],[NO2]]=0,"relation",IF(FormFields[[#This Row],[Rel]]="","",VLOOKUP(FormFields[[#This Row],[Rel]],RelationTable[[Display]:[RELID]],2,0)))</f>
        <v/>
      </c>
      <c r="AG16" s="54" t="str">
        <f>IF(FormFields[[#This Row],[NO2]]=0,"nest_relation1",IF(FormFields[[#This Row],[Rel1]]="","",VLOOKUP(FormFields[[#This Row],[Rel1]],RelationTable[[Display]:[RELID]],2,0)))</f>
        <v/>
      </c>
      <c r="AH16" s="54" t="str">
        <f>IF(FormFields[[#This Row],[NO2]]=0,"nest_relation2",IF(FormFields[[#This Row],[Rel2]]="","",VLOOKUP(FormFields[[#This Row],[Rel2]],RelationTable[[Display]:[RELID]],2,0)))</f>
        <v/>
      </c>
      <c r="AI16" s="54" t="str">
        <f>IF(FormFields[[#This Row],[NO2]]=0,"nest_relation3",IF(FormFields[[#This Row],[Rel3]]="","",VLOOKUP(FormFields[[#This Row],[Rel3]],RelationTable[[Display]:[RELID]],2,0)))</f>
        <v/>
      </c>
      <c r="AJ16" s="37">
        <f>IF(OR(FormFields[[#This Row],[Option Type]]="",FormFields[[#This Row],[Option Type]]="type"),0,1)</f>
        <v>0</v>
      </c>
      <c r="AK16" s="37" t="str">
        <f>'Table Seed Map'!$A$14&amp;"-"&amp;FormFields[[#This Row],[NO4]]</f>
        <v>Field Options-6</v>
      </c>
      <c r="AL16" s="37">
        <f>COUNTIF($AJ$2:FormFields[[#This Row],[Exists FO]],1)</f>
        <v>6</v>
      </c>
      <c r="AM16" s="37">
        <f>IF(FormFields[[#This Row],[NO4]]=0,"id",FormFields[[#This Row],[NO4]]+IF(ISNUMBER(VLOOKUP('Table Seed Map'!$A$14,SeedMap[],9,0)),VLOOKUP('Table Seed Map'!$A$14,SeedMap[],9,0),0))</f>
        <v>801206</v>
      </c>
      <c r="AN16" s="35">
        <f>IF(FormFields[[#This Row],[ID]]="id","form_field",FormFields[[#This Row],[ID]])</f>
        <v>801014</v>
      </c>
      <c r="AO16" s="47"/>
      <c r="AP16" s="47"/>
      <c r="AQ16" s="47"/>
      <c r="AR16" s="47"/>
      <c r="AS16" s="47"/>
      <c r="AT16" s="37">
        <f>IF(OR(FormFields[[#This Row],[Colspan]]="",FormFields[[#This Row],[Colspan]]="colspan"),0,1)</f>
        <v>0</v>
      </c>
      <c r="AU16" s="37" t="str">
        <f>'Table Seed Map'!$A$19&amp;"-"&amp;FormFields[[#This Row],[NO8]]</f>
        <v>Form Layout-0</v>
      </c>
      <c r="AV16" s="37">
        <f>COUNTIF($AT$1:FormFields[[#This Row],[Exists FL]],1)</f>
        <v>0</v>
      </c>
      <c r="AW16" s="37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16" s="37">
        <f>FormFields[Form]</f>
        <v>800904</v>
      </c>
      <c r="AY16" s="37">
        <f>IF(FormFields[[#This Row],[ID]]="id","form_field",FormFields[[#This Row],[ID]])</f>
        <v>801014</v>
      </c>
      <c r="AZ16" s="46"/>
      <c r="BA16" s="35">
        <f>FormFields[[#This Row],[ID]]</f>
        <v>801014</v>
      </c>
      <c r="BC16" s="1" t="s">
        <v>1030</v>
      </c>
      <c r="BD16" s="6" t="str">
        <f>'Table Seed Map'!$A$15&amp;"-"&amp;(-1+COUNTA($BC$1:FieldAttrs[[#This Row],[ATTR Field]]))</f>
        <v>Field Attrs-14</v>
      </c>
      <c r="BE16" s="15">
        <f>IF(FieldAttrs[[#This Row],[ATTR Field]]="","id",-1+COUNTA($BC$1:FieldAttrs[[#This Row],[ATTR Field]])+VLOOKUP('Table Seed Map'!$A$15,SeedMap[],9,0))</f>
        <v>801314</v>
      </c>
      <c r="BF16" s="35">
        <f>IFERROR(VLOOKUP(FieldAttrs[ATTR Field],FormFields[[Field Name]:[ID]],2,0),"form_field")</f>
        <v>801014</v>
      </c>
      <c r="BG16" s="58" t="s">
        <v>905</v>
      </c>
      <c r="BH16" s="58">
        <v>4</v>
      </c>
    </row>
    <row r="17" spans="13:60" x14ac:dyDescent="0.25">
      <c r="M17" s="39" t="str">
        <f>'Table Seed Map'!$A$12&amp;"-"&amp;FormFields[[#This Row],[No]]</f>
        <v>Form Fields-15</v>
      </c>
      <c r="N17" s="34" t="s">
        <v>1025</v>
      </c>
      <c r="O17" s="37">
        <f>COUNTA($N$1:FormFields[[#This Row],[Form Name]])-1</f>
        <v>15</v>
      </c>
      <c r="P17" s="39" t="str">
        <f>FormFields[[#This Row],[Form Name]]&amp;"/"&amp;FormFields[[#This Row],[Name]]</f>
        <v>PartnerTask/TaskCompleteDescription/task.description</v>
      </c>
      <c r="Q17" s="37">
        <f>IF(FormFields[[#This Row],[No]]=0,"id",FormFields[[#This Row],[No]]+IF(ISNUMBER(VLOOKUP('Table Seed Map'!$A$12,SeedMap[],9,0)),VLOOKUP('Table Seed Map'!$A$12,SeedMap[],9,0),0))</f>
        <v>801015</v>
      </c>
      <c r="R17" s="40">
        <f>IFERROR(VLOOKUP(FormFields[[#This Row],[Form Name]],ResourceForms[[FormName]:[ID]],4,0),"resource_form")</f>
        <v>800904</v>
      </c>
      <c r="S17" s="42" t="s">
        <v>1028</v>
      </c>
      <c r="T17" s="42" t="s">
        <v>1029</v>
      </c>
      <c r="U17" s="42" t="s">
        <v>102</v>
      </c>
      <c r="V17" s="43"/>
      <c r="W17" s="43"/>
      <c r="X17" s="43"/>
      <c r="Y17" s="43"/>
      <c r="Z17" s="44" t="str">
        <f>'Table Seed Map'!$A$13&amp;"-"&amp;FormFields[[#This Row],[NO2]]</f>
        <v>Field Data-13</v>
      </c>
      <c r="AA17" s="45">
        <f>COUNTIFS($AB$1:FormFields[[#This Row],[Exists]],1)-1</f>
        <v>13</v>
      </c>
      <c r="AB17" s="45">
        <f>IF(AND(FormFields[[#This Row],[Attribute]]="",FormFields[[#This Row],[Rel]]=""),0,1)</f>
        <v>0</v>
      </c>
      <c r="AC17" s="45">
        <f>IF(FormFields[[#This Row],[NO2]]=0,"id",FormFields[[#This Row],[NO2]]+IF(ISNUMBER(VLOOKUP('Table Seed Map'!$A$13,SeedMap[],9,0)),VLOOKUP('Table Seed Map'!$A$13,SeedMap[],9,0),0))</f>
        <v>801113</v>
      </c>
      <c r="AD17" s="85">
        <f>IF(FormFields[[#This Row],[ID]]="id","form_field",FormFields[[#This Row],[ID]])</f>
        <v>801015</v>
      </c>
      <c r="AE17" s="45"/>
      <c r="AF17" s="54" t="str">
        <f>IF(FormFields[[#This Row],[NO2]]=0,"relation",IF(FormFields[[#This Row],[Rel]]="","",VLOOKUP(FormFields[[#This Row],[Rel]],RelationTable[[Display]:[RELID]],2,0)))</f>
        <v/>
      </c>
      <c r="AG17" s="54" t="str">
        <f>IF(FormFields[[#This Row],[NO2]]=0,"nest_relation1",IF(FormFields[[#This Row],[Rel1]]="","",VLOOKUP(FormFields[[#This Row],[Rel1]],RelationTable[[Display]:[RELID]],2,0)))</f>
        <v/>
      </c>
      <c r="AH17" s="54" t="str">
        <f>IF(FormFields[[#This Row],[NO2]]=0,"nest_relation2",IF(FormFields[[#This Row],[Rel2]]="","",VLOOKUP(FormFields[[#This Row],[Rel2]],RelationTable[[Display]:[RELID]],2,0)))</f>
        <v/>
      </c>
      <c r="AI17" s="54" t="str">
        <f>IF(FormFields[[#This Row],[NO2]]=0,"nest_relation3",IF(FormFields[[#This Row],[Rel3]]="","",VLOOKUP(FormFields[[#This Row],[Rel3]],RelationTable[[Display]:[RELID]],2,0)))</f>
        <v/>
      </c>
      <c r="AJ17" s="37">
        <f>IF(OR(FormFields[[#This Row],[Option Type]]="",FormFields[[#This Row],[Option Type]]="type"),0,1)</f>
        <v>0</v>
      </c>
      <c r="AK17" s="37" t="str">
        <f>'Table Seed Map'!$A$14&amp;"-"&amp;FormFields[[#This Row],[NO4]]</f>
        <v>Field Options-6</v>
      </c>
      <c r="AL17" s="37">
        <f>COUNTIF($AJ$2:FormFields[[#This Row],[Exists FO]],1)</f>
        <v>6</v>
      </c>
      <c r="AM17" s="37">
        <f>IF(FormFields[[#This Row],[NO4]]=0,"id",FormFields[[#This Row],[NO4]]+IF(ISNUMBER(VLOOKUP('Table Seed Map'!$A$14,SeedMap[],9,0)),VLOOKUP('Table Seed Map'!$A$14,SeedMap[],9,0),0))</f>
        <v>801206</v>
      </c>
      <c r="AN17" s="35">
        <f>IF(FormFields[[#This Row],[ID]]="id","form_field",FormFields[[#This Row],[ID]])</f>
        <v>801015</v>
      </c>
      <c r="AO17" s="47"/>
      <c r="AP17" s="47"/>
      <c r="AQ17" s="47"/>
      <c r="AR17" s="47"/>
      <c r="AS17" s="47"/>
      <c r="AT17" s="37">
        <f>IF(OR(FormFields[[#This Row],[Colspan]]="",FormFields[[#This Row],[Colspan]]="colspan"),0,1)</f>
        <v>0</v>
      </c>
      <c r="AU17" s="37" t="str">
        <f>'Table Seed Map'!$A$19&amp;"-"&amp;FormFields[[#This Row],[NO8]]</f>
        <v>Form Layout-0</v>
      </c>
      <c r="AV17" s="37">
        <f>COUNTIF($AT$1:FormFields[[#This Row],[Exists FL]],1)</f>
        <v>0</v>
      </c>
      <c r="AW17" s="37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17" s="37">
        <f>FormFields[Form]</f>
        <v>800904</v>
      </c>
      <c r="AY17" s="37">
        <f>IF(FormFields[[#This Row],[ID]]="id","form_field",FormFields[[#This Row],[ID]])</f>
        <v>801015</v>
      </c>
      <c r="AZ17" s="46"/>
      <c r="BA17" s="35">
        <f>FormFields[[#This Row],[ID]]</f>
        <v>801015</v>
      </c>
      <c r="BC17" s="1" t="s">
        <v>1031</v>
      </c>
      <c r="BD17" s="6" t="str">
        <f>'Table Seed Map'!$A$15&amp;"-"&amp;(-1+COUNTA($BC$1:FieldAttrs[[#This Row],[ATTR Field]]))</f>
        <v>Field Attrs-15</v>
      </c>
      <c r="BE17" s="15">
        <f>IF(FieldAttrs[[#This Row],[ATTR Field]]="","id",-1+COUNTA($BC$1:FieldAttrs[[#This Row],[ATTR Field]])+VLOOKUP('Table Seed Map'!$A$15,SeedMap[],9,0))</f>
        <v>801315</v>
      </c>
      <c r="BF17" s="35">
        <f>IFERROR(VLOOKUP(FieldAttrs[ATTR Field],FormFields[[Field Name]:[ID]],2,0),"form_field")</f>
        <v>801015</v>
      </c>
      <c r="BG17" s="58" t="s">
        <v>905</v>
      </c>
      <c r="BH17" s="58">
        <v>4</v>
      </c>
    </row>
    <row r="18" spans="13:60" x14ac:dyDescent="0.25">
      <c r="M18" s="39" t="str">
        <f>'Table Seed Map'!$A$12&amp;"-"&amp;FormFields[[#This Row],[No]]</f>
        <v>Form Fields-16</v>
      </c>
      <c r="N18" s="34" t="s">
        <v>1025</v>
      </c>
      <c r="O18" s="37">
        <f>COUNTA($N$1:FormFields[[#This Row],[Form Name]])-1</f>
        <v>16</v>
      </c>
      <c r="P18" s="39" t="str">
        <f>FormFields[[#This Row],[Form Name]]&amp;"/"&amp;FormFields[[#This Row],[Name]]</f>
        <v>PartnerTask/TaskCompleteDescription/progress</v>
      </c>
      <c r="Q18" s="37">
        <f>IF(FormFields[[#This Row],[No]]=0,"id",FormFields[[#This Row],[No]]+IF(ISNUMBER(VLOOKUP('Table Seed Map'!$A$12,SeedMap[],9,0)),VLOOKUP('Table Seed Map'!$A$12,SeedMap[],9,0),0))</f>
        <v>801016</v>
      </c>
      <c r="R18" s="40">
        <f>IFERROR(VLOOKUP(FormFields[[#This Row],[Form Name]],ResourceForms[[FormName]:[ID]],4,0),"resource_form")</f>
        <v>800904</v>
      </c>
      <c r="S18" s="42" t="s">
        <v>823</v>
      </c>
      <c r="T18" s="42" t="s">
        <v>1026</v>
      </c>
      <c r="U18" s="42" t="s">
        <v>1039</v>
      </c>
      <c r="V18" s="43"/>
      <c r="W18" s="43"/>
      <c r="X18" s="43"/>
      <c r="Y18" s="43"/>
      <c r="Z18" s="44" t="str">
        <f>'Table Seed Map'!$A$13&amp;"-"&amp;FormFields[[#This Row],[NO2]]</f>
        <v>Field Data-14</v>
      </c>
      <c r="AA18" s="45">
        <f>COUNTIFS($AB$1:FormFields[[#This Row],[Exists]],1)-1</f>
        <v>14</v>
      </c>
      <c r="AB18" s="45">
        <f>IF(AND(FormFields[[#This Row],[Attribute]]="",FormFields[[#This Row],[Rel]]=""),0,1)</f>
        <v>1</v>
      </c>
      <c r="AC18" s="45">
        <f>IF(FormFields[[#This Row],[NO2]]=0,"id",FormFields[[#This Row],[NO2]]+IF(ISNUMBER(VLOOKUP('Table Seed Map'!$A$13,SeedMap[],9,0)),VLOOKUP('Table Seed Map'!$A$13,SeedMap[],9,0),0))</f>
        <v>801114</v>
      </c>
      <c r="AD18" s="85">
        <f>IF(FormFields[[#This Row],[ID]]="id","form_field",FormFields[[#This Row],[ID]])</f>
        <v>801016</v>
      </c>
      <c r="AE18" s="45" t="str">
        <f>IF(FormFields[[#This Row],[No]]=0,"attribute",FormFields[[#This Row],[Name]])</f>
        <v>progress</v>
      </c>
      <c r="AF18" s="54" t="str">
        <f>IF(FormFields[[#This Row],[NO2]]=0,"relation",IF(FormFields[[#This Row],[Rel]]="","",VLOOKUP(FormFields[[#This Row],[Rel]],RelationTable[[Display]:[RELID]],2,0)))</f>
        <v/>
      </c>
      <c r="AG18" s="54" t="str">
        <f>IF(FormFields[[#This Row],[NO2]]=0,"nest_relation1",IF(FormFields[[#This Row],[Rel1]]="","",VLOOKUP(FormFields[[#This Row],[Rel1]],RelationTable[[Display]:[RELID]],2,0)))</f>
        <v/>
      </c>
      <c r="AH18" s="54" t="str">
        <f>IF(FormFields[[#This Row],[NO2]]=0,"nest_relation2",IF(FormFields[[#This Row],[Rel2]]="","",VLOOKUP(FormFields[[#This Row],[Rel2]],RelationTable[[Display]:[RELID]],2,0)))</f>
        <v/>
      </c>
      <c r="AI18" s="54" t="str">
        <f>IF(FormFields[[#This Row],[NO2]]=0,"nest_relation3",IF(FormFields[[#This Row],[Rel3]]="","",VLOOKUP(FormFields[[#This Row],[Rel3]],RelationTable[[Display]:[RELID]],2,0)))</f>
        <v/>
      </c>
      <c r="AJ18" s="37">
        <f>IF(OR(FormFields[[#This Row],[Option Type]]="",FormFields[[#This Row],[Option Type]]="type"),0,1)</f>
        <v>0</v>
      </c>
      <c r="AK18" s="37" t="str">
        <f>'Table Seed Map'!$A$14&amp;"-"&amp;FormFields[[#This Row],[NO4]]</f>
        <v>Field Options-6</v>
      </c>
      <c r="AL18" s="37">
        <f>COUNTIF($AJ$2:FormFields[[#This Row],[Exists FO]],1)</f>
        <v>6</v>
      </c>
      <c r="AM18" s="37">
        <f>IF(FormFields[[#This Row],[NO4]]=0,"id",FormFields[[#This Row],[NO4]]+IF(ISNUMBER(VLOOKUP('Table Seed Map'!$A$14,SeedMap[],9,0)),VLOOKUP('Table Seed Map'!$A$14,SeedMap[],9,0),0))</f>
        <v>801206</v>
      </c>
      <c r="AN18" s="35">
        <f>IF(FormFields[[#This Row],[ID]]="id","form_field",FormFields[[#This Row],[ID]])</f>
        <v>801016</v>
      </c>
      <c r="AO18" s="47"/>
      <c r="AP18" s="47"/>
      <c r="AQ18" s="47"/>
      <c r="AR18" s="47"/>
      <c r="AS18" s="47"/>
      <c r="AT18" s="37">
        <f>IF(OR(FormFields[[#This Row],[Colspan]]="",FormFields[[#This Row],[Colspan]]="colspan"),0,1)</f>
        <v>0</v>
      </c>
      <c r="AU18" s="37" t="str">
        <f>'Table Seed Map'!$A$19&amp;"-"&amp;FormFields[[#This Row],[NO8]]</f>
        <v>Form Layout-0</v>
      </c>
      <c r="AV18" s="37">
        <f>COUNTIF($AT$1:FormFields[[#This Row],[Exists FL]],1)</f>
        <v>0</v>
      </c>
      <c r="AW18" s="37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18" s="37">
        <f>FormFields[Form]</f>
        <v>800904</v>
      </c>
      <c r="AY18" s="37">
        <f>IF(FormFields[[#This Row],[ID]]="id","form_field",FormFields[[#This Row],[ID]])</f>
        <v>801016</v>
      </c>
      <c r="AZ18" s="46"/>
      <c r="BA18" s="35">
        <f>FormFields[[#This Row],[ID]]</f>
        <v>801016</v>
      </c>
      <c r="BC18" s="1" t="s">
        <v>1033</v>
      </c>
      <c r="BD18" s="6" t="str">
        <f>'Table Seed Map'!$A$15&amp;"-"&amp;(-1+COUNTA($BC$1:FieldAttrs[[#This Row],[ATTR Field]]))</f>
        <v>Field Attrs-16</v>
      </c>
      <c r="BE18" s="15">
        <f>IF(FieldAttrs[[#This Row],[ATTR Field]]="","id",-1+COUNTA($BC$1:FieldAttrs[[#This Row],[ATTR Field]])+VLOOKUP('Table Seed Map'!$A$15,SeedMap[],9,0))</f>
        <v>801316</v>
      </c>
      <c r="BF18" s="35">
        <f>IFERROR(VLOOKUP(FieldAttrs[ATTR Field],FormFields[[Field Name]:[ID]],2,0),"form_field")</f>
        <v>801016</v>
      </c>
      <c r="BG18" s="58" t="s">
        <v>905</v>
      </c>
      <c r="BH18" s="58">
        <v>4</v>
      </c>
    </row>
    <row r="19" spans="13:60" x14ac:dyDescent="0.25">
      <c r="M19" s="39" t="str">
        <f>'Table Seed Map'!$A$12&amp;"-"&amp;FormFields[[#This Row],[No]]</f>
        <v>Form Fields-17</v>
      </c>
      <c r="N19" s="34" t="s">
        <v>1025</v>
      </c>
      <c r="O19" s="37">
        <f>COUNTA($N$1:FormFields[[#This Row],[Form Name]])-1</f>
        <v>17</v>
      </c>
      <c r="P19" s="39" t="str">
        <f>FormFields[[#This Row],[Form Name]]&amp;"/"&amp;FormFields[[#This Row],[Name]]</f>
        <v>PartnerTask/TaskCompleteDescription/remarks</v>
      </c>
      <c r="Q19" s="37">
        <f>IF(FormFields[[#This Row],[No]]=0,"id",FormFields[[#This Row],[No]]+IF(ISNUMBER(VLOOKUP('Table Seed Map'!$A$12,SeedMap[],9,0)),VLOOKUP('Table Seed Map'!$A$12,SeedMap[],9,0),0))</f>
        <v>801017</v>
      </c>
      <c r="R19" s="40">
        <f>IFERROR(VLOOKUP(FormFields[[#This Row],[Form Name]],ResourceForms[[FormName]:[ID]],4,0),"resource_form")</f>
        <v>800904</v>
      </c>
      <c r="S19" s="42" t="s">
        <v>1123</v>
      </c>
      <c r="T19" s="42" t="s">
        <v>899</v>
      </c>
      <c r="U19" s="42" t="s">
        <v>1124</v>
      </c>
      <c r="V19" s="43"/>
      <c r="W19" s="43"/>
      <c r="X19" s="43"/>
      <c r="Y19" s="43"/>
      <c r="Z19" s="44" t="str">
        <f>'Table Seed Map'!$A$13&amp;"-"&amp;FormFields[[#This Row],[NO2]]</f>
        <v>Field Data-15</v>
      </c>
      <c r="AA19" s="45">
        <f>COUNTIFS($AB$1:FormFields[[#This Row],[Exists]],1)-1</f>
        <v>15</v>
      </c>
      <c r="AB19" s="45">
        <f>IF(AND(FormFields[[#This Row],[Attribute]]="",FormFields[[#This Row],[Rel]]=""),0,1)</f>
        <v>1</v>
      </c>
      <c r="AC19" s="45">
        <f>IF(FormFields[[#This Row],[NO2]]=0,"id",FormFields[[#This Row],[NO2]]+IF(ISNUMBER(VLOOKUP('Table Seed Map'!$A$13,SeedMap[],9,0)),VLOOKUP('Table Seed Map'!$A$13,SeedMap[],9,0),0))</f>
        <v>801115</v>
      </c>
      <c r="AD19" s="85">
        <f>IF(FormFields[[#This Row],[ID]]="id","form_field",FormFields[[#This Row],[ID]])</f>
        <v>801017</v>
      </c>
      <c r="AE19" s="45" t="str">
        <f>IF(FormFields[[#This Row],[No]]=0,"attribute",FormFields[[#This Row],[Name]])</f>
        <v>remarks</v>
      </c>
      <c r="AF19" s="54" t="str">
        <f>IF(FormFields[[#This Row],[NO2]]=0,"relation",IF(FormFields[[#This Row],[Rel]]="","",VLOOKUP(FormFields[[#This Row],[Rel]],RelationTable[[Display]:[RELID]],2,0)))</f>
        <v/>
      </c>
      <c r="AG19" s="54" t="str">
        <f>IF(FormFields[[#This Row],[NO2]]=0,"nest_relation1",IF(FormFields[[#This Row],[Rel1]]="","",VLOOKUP(FormFields[[#This Row],[Rel1]],RelationTable[[Display]:[RELID]],2,0)))</f>
        <v/>
      </c>
      <c r="AH19" s="54" t="str">
        <f>IF(FormFields[[#This Row],[NO2]]=0,"nest_relation2",IF(FormFields[[#This Row],[Rel2]]="","",VLOOKUP(FormFields[[#This Row],[Rel2]],RelationTable[[Display]:[RELID]],2,0)))</f>
        <v/>
      </c>
      <c r="AI19" s="54" t="str">
        <f>IF(FormFields[[#This Row],[NO2]]=0,"nest_relation3",IF(FormFields[[#This Row],[Rel3]]="","",VLOOKUP(FormFields[[#This Row],[Rel3]],RelationTable[[Display]:[RELID]],2,0)))</f>
        <v/>
      </c>
      <c r="AJ19" s="37">
        <f>IF(OR(FormFields[[#This Row],[Option Type]]="",FormFields[[#This Row],[Option Type]]="type"),0,1)</f>
        <v>0</v>
      </c>
      <c r="AK19" s="37" t="str">
        <f>'Table Seed Map'!$A$14&amp;"-"&amp;FormFields[[#This Row],[NO4]]</f>
        <v>Field Options-6</v>
      </c>
      <c r="AL19" s="37">
        <f>COUNTIF($AJ$2:FormFields[[#This Row],[Exists FO]],1)</f>
        <v>6</v>
      </c>
      <c r="AM19" s="37">
        <f>IF(FormFields[[#This Row],[NO4]]=0,"id",FormFields[[#This Row],[NO4]]+IF(ISNUMBER(VLOOKUP('Table Seed Map'!$A$14,SeedMap[],9,0)),VLOOKUP('Table Seed Map'!$A$14,SeedMap[],9,0),0))</f>
        <v>801206</v>
      </c>
      <c r="AN19" s="35">
        <f>IF(FormFields[[#This Row],[ID]]="id","form_field",FormFields[[#This Row],[ID]])</f>
        <v>801017</v>
      </c>
      <c r="AO19" s="47"/>
      <c r="AP19" s="47"/>
      <c r="AQ19" s="47"/>
      <c r="AR19" s="47"/>
      <c r="AS19" s="47"/>
      <c r="AT19" s="37">
        <f>IF(OR(FormFields[[#This Row],[Colspan]]="",FormFields[[#This Row],[Colspan]]="colspan"),0,1)</f>
        <v>0</v>
      </c>
      <c r="AU19" s="37" t="str">
        <f>'Table Seed Map'!$A$19&amp;"-"&amp;FormFields[[#This Row],[NO8]]</f>
        <v>Form Layout-0</v>
      </c>
      <c r="AV19" s="37">
        <f>COUNTIF($AT$1:FormFields[[#This Row],[Exists FL]],1)</f>
        <v>0</v>
      </c>
      <c r="AW19" s="37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19" s="37">
        <f>FormFields[Form]</f>
        <v>800904</v>
      </c>
      <c r="AY19" s="37">
        <f>IF(FormFields[[#This Row],[ID]]="id","form_field",FormFields[[#This Row],[ID]])</f>
        <v>801017</v>
      </c>
      <c r="AZ19" s="46"/>
      <c r="BA19" s="35">
        <f>FormFields[[#This Row],[ID]]</f>
        <v>801017</v>
      </c>
      <c r="BC19" s="1" t="s">
        <v>1033</v>
      </c>
      <c r="BD19" s="6" t="str">
        <f>'Table Seed Map'!$A$15&amp;"-"&amp;(-1+COUNTA($BC$1:FieldAttrs[[#This Row],[ATTR Field]]))</f>
        <v>Field Attrs-17</v>
      </c>
      <c r="BE19" s="15">
        <f>IF(FieldAttrs[[#This Row],[ATTR Field]]="","id",-1+COUNTA($BC$1:FieldAttrs[[#This Row],[ATTR Field]])+VLOOKUP('Table Seed Map'!$A$15,SeedMap[],9,0))</f>
        <v>801317</v>
      </c>
      <c r="BF19" s="35">
        <f>IFERROR(VLOOKUP(FieldAttrs[ATTR Field],FormFields[[Field Name]:[ID]],2,0),"form_field")</f>
        <v>801016</v>
      </c>
      <c r="BG19" s="35" t="s">
        <v>44</v>
      </c>
      <c r="BH19" s="35" t="s">
        <v>1012</v>
      </c>
    </row>
    <row r="20" spans="13:60" x14ac:dyDescent="0.25">
      <c r="M20" s="70" t="str">
        <f>'Table Seed Map'!$A$12&amp;"-"&amp;FormFields[[#This Row],[No]]</f>
        <v>Form Fields-18</v>
      </c>
      <c r="N20" s="59" t="s">
        <v>1042</v>
      </c>
      <c r="O20" s="71">
        <f>COUNTA($N$1:FormFields[[#This Row],[Form Name]])-1</f>
        <v>18</v>
      </c>
      <c r="P20" s="70" t="str">
        <f>FormFields[[#This Row],[Form Name]]&amp;"/"&amp;FormFields[[#This Row],[Name]]</f>
        <v>PartnerTask/TaskCompleteAttachment/task.name</v>
      </c>
      <c r="Q20" s="71">
        <f>IF(FormFields[[#This Row],[No]]=0,"id",FormFields[[#This Row],[No]]+IF(ISNUMBER(VLOOKUP('Table Seed Map'!$A$12,SeedMap[],9,0)),VLOOKUP('Table Seed Map'!$A$12,SeedMap[],9,0),0))</f>
        <v>801018</v>
      </c>
      <c r="R20" s="72">
        <f>IFERROR(VLOOKUP(FormFields[[#This Row],[Form Name]],ResourceForms[[FormName]:[ID]],4,0),"resource_form")</f>
        <v>800905</v>
      </c>
      <c r="S20" s="42" t="s">
        <v>1027</v>
      </c>
      <c r="T20" s="73" t="s">
        <v>1026</v>
      </c>
      <c r="U20" s="42" t="s">
        <v>1</v>
      </c>
      <c r="V20" s="74"/>
      <c r="W20" s="74"/>
      <c r="X20" s="74"/>
      <c r="Y20" s="74"/>
      <c r="Z20" s="75" t="str">
        <f>'Table Seed Map'!$A$13&amp;"-"&amp;FormFields[[#This Row],[NO2]]</f>
        <v>Field Data-15</v>
      </c>
      <c r="AA20" s="76">
        <f>COUNTIFS($AB$1:FormFields[[#This Row],[Exists]],1)-1</f>
        <v>15</v>
      </c>
      <c r="AB20" s="76">
        <f>IF(AND(FormFields[[#This Row],[Attribute]]="",FormFields[[#This Row],[Rel]]=""),0,1)</f>
        <v>0</v>
      </c>
      <c r="AC20" s="76">
        <f>IF(FormFields[[#This Row],[NO2]]=0,"id",FormFields[[#This Row],[NO2]]+IF(ISNUMBER(VLOOKUP('Table Seed Map'!$A$13,SeedMap[],9,0)),VLOOKUP('Table Seed Map'!$A$13,SeedMap[],9,0),0))</f>
        <v>801115</v>
      </c>
      <c r="AD20" s="77">
        <f>IF(FormFields[[#This Row],[ID]]="id","form_field",FormFields[[#This Row],[ID]])</f>
        <v>801018</v>
      </c>
      <c r="AE20" s="76"/>
      <c r="AF20" s="78" t="str">
        <f>IF(FormFields[[#This Row],[NO2]]=0,"relation",IF(FormFields[[#This Row],[Rel]]="","",VLOOKUP(FormFields[[#This Row],[Rel]],RelationTable[[Display]:[RELID]],2,0)))</f>
        <v/>
      </c>
      <c r="AG20" s="78" t="str">
        <f>IF(FormFields[[#This Row],[NO2]]=0,"nest_relation1",IF(FormFields[[#This Row],[Rel1]]="","",VLOOKUP(FormFields[[#This Row],[Rel1]],RelationTable[[Display]:[RELID]],2,0)))</f>
        <v/>
      </c>
      <c r="AH20" s="78" t="str">
        <f>IF(FormFields[[#This Row],[NO2]]=0,"nest_relation2",IF(FormFields[[#This Row],[Rel2]]="","",VLOOKUP(FormFields[[#This Row],[Rel2]],RelationTable[[Display]:[RELID]],2,0)))</f>
        <v/>
      </c>
      <c r="AI20" s="78" t="str">
        <f>IF(FormFields[[#This Row],[NO2]]=0,"nest_relation3",IF(FormFields[[#This Row],[Rel3]]="","",VLOOKUP(FormFields[[#This Row],[Rel3]],RelationTable[[Display]:[RELID]],2,0)))</f>
        <v/>
      </c>
      <c r="AJ20" s="71">
        <f>IF(OR(FormFields[[#This Row],[Option Type]]="",FormFields[[#This Row],[Option Type]]="type"),0,1)</f>
        <v>0</v>
      </c>
      <c r="AK20" s="71" t="str">
        <f>'Table Seed Map'!$A$14&amp;"-"&amp;FormFields[[#This Row],[NO4]]</f>
        <v>Field Options-6</v>
      </c>
      <c r="AL20" s="71">
        <f>COUNTIF($AJ$2:FormFields[[#This Row],[Exists FO]],1)</f>
        <v>6</v>
      </c>
      <c r="AM20" s="71">
        <f>IF(FormFields[[#This Row],[NO4]]=0,"id",FormFields[[#This Row],[NO4]]+IF(ISNUMBER(VLOOKUP('Table Seed Map'!$A$14,SeedMap[],9,0)),VLOOKUP('Table Seed Map'!$A$14,SeedMap[],9,0),0))</f>
        <v>801206</v>
      </c>
      <c r="AN20" s="58">
        <f>IF(FormFields[[#This Row],[ID]]="id","form_field",FormFields[[#This Row],[ID]])</f>
        <v>801018</v>
      </c>
      <c r="AO20" s="79"/>
      <c r="AP20" s="79"/>
      <c r="AQ20" s="79"/>
      <c r="AR20" s="79"/>
      <c r="AS20" s="79"/>
      <c r="AT20" s="71">
        <f>IF(OR(FormFields[[#This Row],[Colspan]]="",FormFields[[#This Row],[Colspan]]="colspan"),0,1)</f>
        <v>1</v>
      </c>
      <c r="AU20" s="71" t="str">
        <f>'Table Seed Map'!$A$19&amp;"-"&amp;FormFields[[#This Row],[NO8]]</f>
        <v>Form Layout-1</v>
      </c>
      <c r="AV20" s="71">
        <f>COUNTIF($AT$1:FormFields[[#This Row],[Exists FL]],1)</f>
        <v>1</v>
      </c>
      <c r="AW20" s="71">
        <f>IF(FormFields[[#This Row],[NO8]]=0,"id",IF(FormFields[[#This Row],[Exists FL]]=1,FormFields[[#This Row],[NO8]]+IF(ISNUMBER(VLOOKUP('Table Seed Map'!$A$19,SeedMap[],9,0)),VLOOKUP('Table Seed Map'!$A$19,SeedMap[],9,0),0),""))</f>
        <v>801701</v>
      </c>
      <c r="AX20" s="71">
        <f>FormFields[Form]</f>
        <v>800905</v>
      </c>
      <c r="AY20" s="71">
        <f>IF(FormFields[[#This Row],[ID]]="id","form_field",FormFields[[#This Row],[ID]])</f>
        <v>801018</v>
      </c>
      <c r="AZ20" s="80">
        <v>12</v>
      </c>
      <c r="BA20" s="58">
        <f>FormFields[[#This Row],[ID]]</f>
        <v>801018</v>
      </c>
      <c r="BC20" s="1" t="s">
        <v>1125</v>
      </c>
      <c r="BD20" s="6" t="str">
        <f>'Table Seed Map'!$A$15&amp;"-"&amp;(-1+COUNTA($BC$1:FieldAttrs[[#This Row],[ATTR Field]]))</f>
        <v>Field Attrs-18</v>
      </c>
      <c r="BE20" s="15">
        <f>IF(FieldAttrs[[#This Row],[ATTR Field]]="","id",-1+COUNTA($BC$1:FieldAttrs[[#This Row],[ATTR Field]])+VLOOKUP('Table Seed Map'!$A$15,SeedMap[],9,0))</f>
        <v>801318</v>
      </c>
      <c r="BF20" s="35">
        <f>IFERROR(VLOOKUP(FieldAttrs[ATTR Field],FormFields[[Field Name]:[ID]],2,0),"form_field")</f>
        <v>801017</v>
      </c>
      <c r="BG20" s="35" t="s">
        <v>905</v>
      </c>
      <c r="BH20" s="35">
        <v>4</v>
      </c>
    </row>
    <row r="21" spans="13:60" x14ac:dyDescent="0.25">
      <c r="M21" s="70" t="str">
        <f>'Table Seed Map'!$A$12&amp;"-"&amp;FormFields[[#This Row],[No]]</f>
        <v>Form Fields-19</v>
      </c>
      <c r="N21" s="59" t="s">
        <v>1042</v>
      </c>
      <c r="O21" s="71">
        <f>COUNTA($N$1:FormFields[[#This Row],[Form Name]])-1</f>
        <v>19</v>
      </c>
      <c r="P21" s="70" t="str">
        <f>FormFields[[#This Row],[Form Name]]&amp;"/"&amp;FormFields[[#This Row],[Name]]</f>
        <v>PartnerTask/TaskCompleteAttachment/task.description</v>
      </c>
      <c r="Q21" s="71">
        <f>IF(FormFields[[#This Row],[No]]=0,"id",FormFields[[#This Row],[No]]+IF(ISNUMBER(VLOOKUP('Table Seed Map'!$A$12,SeedMap[],9,0)),VLOOKUP('Table Seed Map'!$A$12,SeedMap[],9,0),0))</f>
        <v>801019</v>
      </c>
      <c r="R21" s="72">
        <f>IFERROR(VLOOKUP(FormFields[[#This Row],[Form Name]],ResourceForms[[FormName]:[ID]],4,0),"resource_form")</f>
        <v>800905</v>
      </c>
      <c r="S21" s="42" t="s">
        <v>1028</v>
      </c>
      <c r="T21" s="73" t="s">
        <v>1026</v>
      </c>
      <c r="U21" s="42" t="s">
        <v>102</v>
      </c>
      <c r="V21" s="74"/>
      <c r="W21" s="74"/>
      <c r="X21" s="74"/>
      <c r="Y21" s="74"/>
      <c r="Z21" s="75" t="str">
        <f>'Table Seed Map'!$A$13&amp;"-"&amp;FormFields[[#This Row],[NO2]]</f>
        <v>Field Data-15</v>
      </c>
      <c r="AA21" s="76">
        <f>COUNTIFS($AB$1:FormFields[[#This Row],[Exists]],1)-1</f>
        <v>15</v>
      </c>
      <c r="AB21" s="76">
        <f>IF(AND(FormFields[[#This Row],[Attribute]]="",FormFields[[#This Row],[Rel]]=""),0,1)</f>
        <v>0</v>
      </c>
      <c r="AC21" s="76">
        <f>IF(FormFields[[#This Row],[NO2]]=0,"id",FormFields[[#This Row],[NO2]]+IF(ISNUMBER(VLOOKUP('Table Seed Map'!$A$13,SeedMap[],9,0)),VLOOKUP('Table Seed Map'!$A$13,SeedMap[],9,0),0))</f>
        <v>801115</v>
      </c>
      <c r="AD21" s="77">
        <f>IF(FormFields[[#This Row],[ID]]="id","form_field",FormFields[[#This Row],[ID]])</f>
        <v>801019</v>
      </c>
      <c r="AE21" s="76"/>
      <c r="AF21" s="78" t="str">
        <f>IF(FormFields[[#This Row],[NO2]]=0,"relation",IF(FormFields[[#This Row],[Rel]]="","",VLOOKUP(FormFields[[#This Row],[Rel]],RelationTable[[Display]:[RELID]],2,0)))</f>
        <v/>
      </c>
      <c r="AG21" s="78" t="str">
        <f>IF(FormFields[[#This Row],[NO2]]=0,"nest_relation1",IF(FormFields[[#This Row],[Rel1]]="","",VLOOKUP(FormFields[[#This Row],[Rel1]],RelationTable[[Display]:[RELID]],2,0)))</f>
        <v/>
      </c>
      <c r="AH21" s="78" t="str">
        <f>IF(FormFields[[#This Row],[NO2]]=0,"nest_relation2",IF(FormFields[[#This Row],[Rel2]]="","",VLOOKUP(FormFields[[#This Row],[Rel2]],RelationTable[[Display]:[RELID]],2,0)))</f>
        <v/>
      </c>
      <c r="AI21" s="78" t="str">
        <f>IF(FormFields[[#This Row],[NO2]]=0,"nest_relation3",IF(FormFields[[#This Row],[Rel3]]="","",VLOOKUP(FormFields[[#This Row],[Rel3]],RelationTable[[Display]:[RELID]],2,0)))</f>
        <v/>
      </c>
      <c r="AJ21" s="71">
        <f>IF(OR(FormFields[[#This Row],[Option Type]]="",FormFields[[#This Row],[Option Type]]="type"),0,1)</f>
        <v>0</v>
      </c>
      <c r="AK21" s="71" t="str">
        <f>'Table Seed Map'!$A$14&amp;"-"&amp;FormFields[[#This Row],[NO4]]</f>
        <v>Field Options-6</v>
      </c>
      <c r="AL21" s="71">
        <f>COUNTIF($AJ$2:FormFields[[#This Row],[Exists FO]],1)</f>
        <v>6</v>
      </c>
      <c r="AM21" s="71">
        <f>IF(FormFields[[#This Row],[NO4]]=0,"id",FormFields[[#This Row],[NO4]]+IF(ISNUMBER(VLOOKUP('Table Seed Map'!$A$14,SeedMap[],9,0)),VLOOKUP('Table Seed Map'!$A$14,SeedMap[],9,0),0))</f>
        <v>801206</v>
      </c>
      <c r="AN21" s="58">
        <f>IF(FormFields[[#This Row],[ID]]="id","form_field",FormFields[[#This Row],[ID]])</f>
        <v>801019</v>
      </c>
      <c r="AO21" s="79"/>
      <c r="AP21" s="79"/>
      <c r="AQ21" s="79"/>
      <c r="AR21" s="79"/>
      <c r="AS21" s="79"/>
      <c r="AT21" s="71">
        <f>IF(OR(FormFields[[#This Row],[Colspan]]="",FormFields[[#This Row],[Colspan]]="colspan"),0,1)</f>
        <v>1</v>
      </c>
      <c r="AU21" s="71" t="str">
        <f>'Table Seed Map'!$A$19&amp;"-"&amp;FormFields[[#This Row],[NO8]]</f>
        <v>Form Layout-2</v>
      </c>
      <c r="AV21" s="71">
        <f>COUNTIF($AT$1:FormFields[[#This Row],[Exists FL]],1)</f>
        <v>2</v>
      </c>
      <c r="AW21" s="71">
        <f>IF(FormFields[[#This Row],[NO8]]=0,"id",IF(FormFields[[#This Row],[Exists FL]]=1,FormFields[[#This Row],[NO8]]+IF(ISNUMBER(VLOOKUP('Table Seed Map'!$A$19,SeedMap[],9,0)),VLOOKUP('Table Seed Map'!$A$19,SeedMap[],9,0),0),""))</f>
        <v>801702</v>
      </c>
      <c r="AX21" s="71">
        <f>FormFields[Form]</f>
        <v>800905</v>
      </c>
      <c r="AY21" s="71">
        <f>IF(FormFields[[#This Row],[ID]]="id","form_field",FormFields[[#This Row],[ID]])</f>
        <v>801019</v>
      </c>
      <c r="AZ21" s="80">
        <v>12</v>
      </c>
      <c r="BA21" s="58">
        <f>FormFields[[#This Row],[ID]]</f>
        <v>801019</v>
      </c>
      <c r="BC21" s="63" t="s">
        <v>1047</v>
      </c>
      <c r="BD21" s="62" t="str">
        <f>'Table Seed Map'!$A$15&amp;"-"&amp;(-1+COUNTA($BC$1:FieldAttrs[[#This Row],[ATTR Field]]))</f>
        <v>Field Attrs-19</v>
      </c>
      <c r="BE21" s="60">
        <f>IF(FieldAttrs[[#This Row],[ATTR Field]]="","id",-1+COUNTA($BC$1:FieldAttrs[[#This Row],[ATTR Field]])+VLOOKUP('Table Seed Map'!$A$15,SeedMap[],9,0))</f>
        <v>801319</v>
      </c>
      <c r="BF21" s="58">
        <f>IFERROR(VLOOKUP(FieldAttrs[ATTR Field],FormFields[[Field Name]:[ID]],2,0),"form_field")</f>
        <v>801018</v>
      </c>
      <c r="BG21" s="35" t="s">
        <v>905</v>
      </c>
      <c r="BH21" s="35">
        <v>4</v>
      </c>
    </row>
    <row r="22" spans="13:60" x14ac:dyDescent="0.25">
      <c r="M22" s="70" t="str">
        <f>'Table Seed Map'!$A$12&amp;"-"&amp;FormFields[[#This Row],[No]]</f>
        <v>Form Fields-20</v>
      </c>
      <c r="N22" s="59" t="s">
        <v>1042</v>
      </c>
      <c r="O22" s="71">
        <f>COUNTA($N$1:FormFields[[#This Row],[Form Name]])-1</f>
        <v>20</v>
      </c>
      <c r="P22" s="70" t="str">
        <f>FormFields[[#This Row],[Form Name]]&amp;"/"&amp;FormFields[[#This Row],[Name]]</f>
        <v>PartnerTask/TaskCompleteAttachment/progress</v>
      </c>
      <c r="Q22" s="71">
        <f>IF(FormFields[[#This Row],[No]]=0,"id",FormFields[[#This Row],[No]]+IF(ISNUMBER(VLOOKUP('Table Seed Map'!$A$12,SeedMap[],9,0)),VLOOKUP('Table Seed Map'!$A$12,SeedMap[],9,0),0))</f>
        <v>801020</v>
      </c>
      <c r="R22" s="72">
        <f>IFERROR(VLOOKUP(FormFields[[#This Row],[Form Name]],ResourceForms[[FormName]:[ID]],4,0),"resource_form")</f>
        <v>800905</v>
      </c>
      <c r="S22" s="42" t="s">
        <v>823</v>
      </c>
      <c r="T22" s="73" t="s">
        <v>1026</v>
      </c>
      <c r="U22" s="42" t="s">
        <v>1039</v>
      </c>
      <c r="V22" s="74"/>
      <c r="W22" s="74"/>
      <c r="X22" s="74"/>
      <c r="Y22" s="74"/>
      <c r="Z22" s="75" t="str">
        <f>'Table Seed Map'!$A$13&amp;"-"&amp;FormFields[[#This Row],[NO2]]</f>
        <v>Field Data-16</v>
      </c>
      <c r="AA22" s="76">
        <f>COUNTIFS($AB$1:FormFields[[#This Row],[Exists]],1)-1</f>
        <v>16</v>
      </c>
      <c r="AB22" s="76">
        <f>IF(AND(FormFields[[#This Row],[Attribute]]="",FormFields[[#This Row],[Rel]]=""),0,1)</f>
        <v>1</v>
      </c>
      <c r="AC22" s="76">
        <f>IF(FormFields[[#This Row],[NO2]]=0,"id",FormFields[[#This Row],[NO2]]+IF(ISNUMBER(VLOOKUP('Table Seed Map'!$A$13,SeedMap[],9,0)),VLOOKUP('Table Seed Map'!$A$13,SeedMap[],9,0),0))</f>
        <v>801116</v>
      </c>
      <c r="AD22" s="77">
        <f>IF(FormFields[[#This Row],[ID]]="id","form_field",FormFields[[#This Row],[ID]])</f>
        <v>801020</v>
      </c>
      <c r="AE22" s="76" t="str">
        <f>IF(FormFields[[#This Row],[No]]=0,"attribute",FormFields[[#This Row],[Name]])</f>
        <v>progress</v>
      </c>
      <c r="AF22" s="78" t="str">
        <f>IF(FormFields[[#This Row],[NO2]]=0,"relation",IF(FormFields[[#This Row],[Rel]]="","",VLOOKUP(FormFields[[#This Row],[Rel]],RelationTable[[Display]:[RELID]],2,0)))</f>
        <v/>
      </c>
      <c r="AG22" s="78" t="str">
        <f>IF(FormFields[[#This Row],[NO2]]=0,"nest_relation1",IF(FormFields[[#This Row],[Rel1]]="","",VLOOKUP(FormFields[[#This Row],[Rel1]],RelationTable[[Display]:[RELID]],2,0)))</f>
        <v/>
      </c>
      <c r="AH22" s="78" t="str">
        <f>IF(FormFields[[#This Row],[NO2]]=0,"nest_relation2",IF(FormFields[[#This Row],[Rel2]]="","",VLOOKUP(FormFields[[#This Row],[Rel2]],RelationTable[[Display]:[RELID]],2,0)))</f>
        <v/>
      </c>
      <c r="AI22" s="78" t="str">
        <f>IF(FormFields[[#This Row],[NO2]]=0,"nest_relation3",IF(FormFields[[#This Row],[Rel3]]="","",VLOOKUP(FormFields[[#This Row],[Rel3]],RelationTable[[Display]:[RELID]],2,0)))</f>
        <v/>
      </c>
      <c r="AJ22" s="71">
        <f>IF(OR(FormFields[[#This Row],[Option Type]]="",FormFields[[#This Row],[Option Type]]="type"),0,1)</f>
        <v>0</v>
      </c>
      <c r="AK22" s="71" t="str">
        <f>'Table Seed Map'!$A$14&amp;"-"&amp;FormFields[[#This Row],[NO4]]</f>
        <v>Field Options-6</v>
      </c>
      <c r="AL22" s="71">
        <f>COUNTIF($AJ$2:FormFields[[#This Row],[Exists FO]],1)</f>
        <v>6</v>
      </c>
      <c r="AM22" s="71">
        <f>IF(FormFields[[#This Row],[NO4]]=0,"id",FormFields[[#This Row],[NO4]]+IF(ISNUMBER(VLOOKUP('Table Seed Map'!$A$14,SeedMap[],9,0)),VLOOKUP('Table Seed Map'!$A$14,SeedMap[],9,0),0))</f>
        <v>801206</v>
      </c>
      <c r="AN22" s="58">
        <f>IF(FormFields[[#This Row],[ID]]="id","form_field",FormFields[[#This Row],[ID]])</f>
        <v>801020</v>
      </c>
      <c r="AO22" s="79"/>
      <c r="AP22" s="79"/>
      <c r="AQ22" s="79"/>
      <c r="AR22" s="79"/>
      <c r="AS22" s="79"/>
      <c r="AT22" s="71">
        <f>IF(OR(FormFields[[#This Row],[Colspan]]="",FormFields[[#This Row],[Colspan]]="colspan"),0,1)</f>
        <v>1</v>
      </c>
      <c r="AU22" s="71" t="str">
        <f>'Table Seed Map'!$A$19&amp;"-"&amp;FormFields[[#This Row],[NO8]]</f>
        <v>Form Layout-3</v>
      </c>
      <c r="AV22" s="71">
        <f>COUNTIF($AT$1:FormFields[[#This Row],[Exists FL]],1)</f>
        <v>3</v>
      </c>
      <c r="AW22" s="71">
        <f>IF(FormFields[[#This Row],[NO8]]=0,"id",IF(FormFields[[#This Row],[Exists FL]]=1,FormFields[[#This Row],[NO8]]+IF(ISNUMBER(VLOOKUP('Table Seed Map'!$A$19,SeedMap[],9,0)),VLOOKUP('Table Seed Map'!$A$19,SeedMap[],9,0),0),""))</f>
        <v>801703</v>
      </c>
      <c r="AX22" s="71">
        <f>FormFields[Form]</f>
        <v>800905</v>
      </c>
      <c r="AY22" s="71">
        <f>IF(FormFields[[#This Row],[ID]]="id","form_field",FormFields[[#This Row],[ID]])</f>
        <v>801020</v>
      </c>
      <c r="AZ22" s="80">
        <v>12</v>
      </c>
      <c r="BA22" s="58">
        <f>FormFields[[#This Row],[ID]]</f>
        <v>801020</v>
      </c>
      <c r="BC22" s="63" t="s">
        <v>1048</v>
      </c>
      <c r="BD22" s="62" t="str">
        <f>'Table Seed Map'!$A$15&amp;"-"&amp;(-1+COUNTA($BC$1:FieldAttrs[[#This Row],[ATTR Field]]))</f>
        <v>Field Attrs-20</v>
      </c>
      <c r="BE22" s="60">
        <f>IF(FieldAttrs[[#This Row],[ATTR Field]]="","id",-1+COUNTA($BC$1:FieldAttrs[[#This Row],[ATTR Field]])+VLOOKUP('Table Seed Map'!$A$15,SeedMap[],9,0))</f>
        <v>801320</v>
      </c>
      <c r="BF22" s="58">
        <f>IFERROR(VLOOKUP(FieldAttrs[ATTR Field],FormFields[[Field Name]:[ID]],2,0),"form_field")</f>
        <v>801019</v>
      </c>
      <c r="BG22" s="35" t="s">
        <v>905</v>
      </c>
      <c r="BH22" s="35">
        <v>4</v>
      </c>
    </row>
    <row r="23" spans="13:60" x14ac:dyDescent="0.25">
      <c r="M23" s="70" t="str">
        <f>'Table Seed Map'!$A$12&amp;"-"&amp;FormFields[[#This Row],[No]]</f>
        <v>Form Fields-21</v>
      </c>
      <c r="N23" s="59" t="s">
        <v>1042</v>
      </c>
      <c r="O23" s="71">
        <f>COUNTA($N$1:FormFields[[#This Row],[Form Name]])-1</f>
        <v>21</v>
      </c>
      <c r="P23" s="70" t="str">
        <f>FormFields[[#This Row],[Form Name]]&amp;"/"&amp;FormFields[[#This Row],[Name]]</f>
        <v>PartnerTask/TaskCompleteAttachment/remarks</v>
      </c>
      <c r="Q23" s="71">
        <f>IF(FormFields[[#This Row],[No]]=0,"id",FormFields[[#This Row],[No]]+IF(ISNUMBER(VLOOKUP('Table Seed Map'!$A$12,SeedMap[],9,0)),VLOOKUP('Table Seed Map'!$A$12,SeedMap[],9,0),0))</f>
        <v>801021</v>
      </c>
      <c r="R23" s="72">
        <f>IFERROR(VLOOKUP(FormFields[[#This Row],[Form Name]],ResourceForms[[FormName]:[ID]],4,0),"resource_form")</f>
        <v>800905</v>
      </c>
      <c r="S23" s="42" t="s">
        <v>1123</v>
      </c>
      <c r="T23" s="73" t="s">
        <v>899</v>
      </c>
      <c r="U23" s="42" t="s">
        <v>1124</v>
      </c>
      <c r="V23" s="74"/>
      <c r="W23" s="74"/>
      <c r="X23" s="74"/>
      <c r="Y23" s="74"/>
      <c r="Z23" s="75" t="str">
        <f>'Table Seed Map'!$A$13&amp;"-"&amp;FormFields[[#This Row],[NO2]]</f>
        <v>Field Data-17</v>
      </c>
      <c r="AA23" s="76">
        <f>COUNTIFS($AB$1:FormFields[[#This Row],[Exists]],1)-1</f>
        <v>17</v>
      </c>
      <c r="AB23" s="76">
        <f>IF(AND(FormFields[[#This Row],[Attribute]]="",FormFields[[#This Row],[Rel]]=""),0,1)</f>
        <v>1</v>
      </c>
      <c r="AC23" s="76">
        <f>IF(FormFields[[#This Row],[NO2]]=0,"id",FormFields[[#This Row],[NO2]]+IF(ISNUMBER(VLOOKUP('Table Seed Map'!$A$13,SeedMap[],9,0)),VLOOKUP('Table Seed Map'!$A$13,SeedMap[],9,0),0))</f>
        <v>801117</v>
      </c>
      <c r="AD23" s="77">
        <f>IF(FormFields[[#This Row],[ID]]="id","form_field",FormFields[[#This Row],[ID]])</f>
        <v>801021</v>
      </c>
      <c r="AE23" s="76" t="str">
        <f>IF(FormFields[[#This Row],[No]]=0,"attribute",FormFields[[#This Row],[Name]])</f>
        <v>remarks</v>
      </c>
      <c r="AF23" s="78" t="str">
        <f>IF(FormFields[[#This Row],[NO2]]=0,"relation",IF(FormFields[[#This Row],[Rel]]="","",VLOOKUP(FormFields[[#This Row],[Rel]],RelationTable[[Display]:[RELID]],2,0)))</f>
        <v/>
      </c>
      <c r="AG23" s="78" t="str">
        <f>IF(FormFields[[#This Row],[NO2]]=0,"nest_relation1",IF(FormFields[[#This Row],[Rel1]]="","",VLOOKUP(FormFields[[#This Row],[Rel1]],RelationTable[[Display]:[RELID]],2,0)))</f>
        <v/>
      </c>
      <c r="AH23" s="78" t="str">
        <f>IF(FormFields[[#This Row],[NO2]]=0,"nest_relation2",IF(FormFields[[#This Row],[Rel2]]="","",VLOOKUP(FormFields[[#This Row],[Rel2]],RelationTable[[Display]:[RELID]],2,0)))</f>
        <v/>
      </c>
      <c r="AI23" s="78" t="str">
        <f>IF(FormFields[[#This Row],[NO2]]=0,"nest_relation3",IF(FormFields[[#This Row],[Rel3]]="","",VLOOKUP(FormFields[[#This Row],[Rel3]],RelationTable[[Display]:[RELID]],2,0)))</f>
        <v/>
      </c>
      <c r="AJ23" s="71">
        <f>IF(OR(FormFields[[#This Row],[Option Type]]="",FormFields[[#This Row],[Option Type]]="type"),0,1)</f>
        <v>0</v>
      </c>
      <c r="AK23" s="71" t="str">
        <f>'Table Seed Map'!$A$14&amp;"-"&amp;FormFields[[#This Row],[NO4]]</f>
        <v>Field Options-6</v>
      </c>
      <c r="AL23" s="71">
        <f>COUNTIF($AJ$2:FormFields[[#This Row],[Exists FO]],1)</f>
        <v>6</v>
      </c>
      <c r="AM23" s="71">
        <f>IF(FormFields[[#This Row],[NO4]]=0,"id",FormFields[[#This Row],[NO4]]+IF(ISNUMBER(VLOOKUP('Table Seed Map'!$A$14,SeedMap[],9,0)),VLOOKUP('Table Seed Map'!$A$14,SeedMap[],9,0),0))</f>
        <v>801206</v>
      </c>
      <c r="AN23" s="58">
        <f>IF(FormFields[[#This Row],[ID]]="id","form_field",FormFields[[#This Row],[ID]])</f>
        <v>801021</v>
      </c>
      <c r="AO23" s="79"/>
      <c r="AP23" s="79"/>
      <c r="AQ23" s="79"/>
      <c r="AR23" s="79"/>
      <c r="AS23" s="79"/>
      <c r="AT23" s="71">
        <f>IF(OR(FormFields[[#This Row],[Colspan]]="",FormFields[[#This Row],[Colspan]]="colspan"),0,1)</f>
        <v>1</v>
      </c>
      <c r="AU23" s="71" t="str">
        <f>'Table Seed Map'!$A$19&amp;"-"&amp;FormFields[[#This Row],[NO8]]</f>
        <v>Form Layout-4</v>
      </c>
      <c r="AV23" s="71">
        <f>COUNTIF($AT$1:FormFields[[#This Row],[Exists FL]],1)</f>
        <v>4</v>
      </c>
      <c r="AW23" s="71">
        <f>IF(FormFields[[#This Row],[NO8]]=0,"id",IF(FormFields[[#This Row],[Exists FL]]=1,FormFields[[#This Row],[NO8]]+IF(ISNUMBER(VLOOKUP('Table Seed Map'!$A$19,SeedMap[],9,0)),VLOOKUP('Table Seed Map'!$A$19,SeedMap[],9,0),0),""))</f>
        <v>801704</v>
      </c>
      <c r="AX23" s="71">
        <f>FormFields[Form]</f>
        <v>800905</v>
      </c>
      <c r="AY23" s="71">
        <f>IF(FormFields[[#This Row],[ID]]="id","form_field",FormFields[[#This Row],[ID]])</f>
        <v>801021</v>
      </c>
      <c r="AZ23" s="80">
        <v>12</v>
      </c>
      <c r="BA23" s="58">
        <f>FormFields[[#This Row],[ID]]</f>
        <v>801021</v>
      </c>
      <c r="BC23" s="63" t="s">
        <v>1049</v>
      </c>
      <c r="BD23" s="62" t="str">
        <f>'Table Seed Map'!$A$15&amp;"-"&amp;(-1+COUNTA($BC$1:FieldAttrs[[#This Row],[ATTR Field]]))</f>
        <v>Field Attrs-21</v>
      </c>
      <c r="BE23" s="60">
        <f>IF(FieldAttrs[[#This Row],[ATTR Field]]="","id",-1+COUNTA($BC$1:FieldAttrs[[#This Row],[ATTR Field]])+VLOOKUP('Table Seed Map'!$A$15,SeedMap[],9,0))</f>
        <v>801321</v>
      </c>
      <c r="BF23" s="58">
        <f>IFERROR(VLOOKUP(FieldAttrs[ATTR Field],FormFields[[Field Name]:[ID]],2,0),"form_field")</f>
        <v>801020</v>
      </c>
      <c r="BG23" s="35" t="s">
        <v>905</v>
      </c>
      <c r="BH23" s="35">
        <v>4</v>
      </c>
    </row>
    <row r="24" spans="13:60" x14ac:dyDescent="0.25">
      <c r="M24" s="70" t="str">
        <f>'Table Seed Map'!$A$12&amp;"-"&amp;FormFields[[#This Row],[No]]</f>
        <v>Form Fields-22</v>
      </c>
      <c r="N24" s="59" t="s">
        <v>1042</v>
      </c>
      <c r="O24" s="71">
        <f>COUNTA($N$1:FormFields[[#This Row],[Form Name]])-1</f>
        <v>22</v>
      </c>
      <c r="P24" s="70" t="str">
        <f>FormFields[[#This Row],[Form Name]]&amp;"/"&amp;FormFields[[#This Row],[Name]]</f>
        <v>PartnerTask/TaskCompleteAttachment/attachment1</v>
      </c>
      <c r="Q24" s="71">
        <f>IF(FormFields[[#This Row],[No]]=0,"id",FormFields[[#This Row],[No]]+IF(ISNUMBER(VLOOKUP('Table Seed Map'!$A$12,SeedMap[],9,0)),VLOOKUP('Table Seed Map'!$A$12,SeedMap[],9,0),0))</f>
        <v>801022</v>
      </c>
      <c r="R24" s="72">
        <f>IFERROR(VLOOKUP(FormFields[[#This Row],[Form Name]],ResourceForms[[FormName]:[ID]],4,0),"resource_form")</f>
        <v>800905</v>
      </c>
      <c r="S24" s="73" t="s">
        <v>837</v>
      </c>
      <c r="T24" s="73" t="s">
        <v>1043</v>
      </c>
      <c r="U24" s="73" t="s">
        <v>1044</v>
      </c>
      <c r="V24" s="74"/>
      <c r="W24" s="74"/>
      <c r="X24" s="74"/>
      <c r="Y24" s="74"/>
      <c r="Z24" s="75" t="str">
        <f>'Table Seed Map'!$A$13&amp;"-"&amp;FormFields[[#This Row],[NO2]]</f>
        <v>Field Data-18</v>
      </c>
      <c r="AA24" s="76">
        <f>COUNTIFS($AB$1:FormFields[[#This Row],[Exists]],1)-1</f>
        <v>18</v>
      </c>
      <c r="AB24" s="76">
        <f>IF(AND(FormFields[[#This Row],[Attribute]]="",FormFields[[#This Row],[Rel]]=""),0,1)</f>
        <v>1</v>
      </c>
      <c r="AC24" s="76">
        <f>IF(FormFields[[#This Row],[NO2]]=0,"id",FormFields[[#This Row],[NO2]]+IF(ISNUMBER(VLOOKUP('Table Seed Map'!$A$13,SeedMap[],9,0)),VLOOKUP('Table Seed Map'!$A$13,SeedMap[],9,0),0))</f>
        <v>801118</v>
      </c>
      <c r="AD24" s="77">
        <f>IF(FormFields[[#This Row],[ID]]="id","form_field",FormFields[[#This Row],[ID]])</f>
        <v>801022</v>
      </c>
      <c r="AE24" s="76" t="str">
        <f>IF(FormFields[[#This Row],[No]]=0,"attribute",FormFields[[#This Row],[Name]])</f>
        <v>attachment1</v>
      </c>
      <c r="AF24" s="78" t="str">
        <f>IF(FormFields[[#This Row],[NO2]]=0,"relation",IF(FormFields[[#This Row],[Rel]]="","",VLOOKUP(FormFields[[#This Row],[Rel]],RelationTable[[Display]:[RELID]],2,0)))</f>
        <v/>
      </c>
      <c r="AG24" s="78" t="str">
        <f>IF(FormFields[[#This Row],[NO2]]=0,"nest_relation1",IF(FormFields[[#This Row],[Rel1]]="","",VLOOKUP(FormFields[[#This Row],[Rel1]],RelationTable[[Display]:[RELID]],2,0)))</f>
        <v/>
      </c>
      <c r="AH24" s="78" t="str">
        <f>IF(FormFields[[#This Row],[NO2]]=0,"nest_relation2",IF(FormFields[[#This Row],[Rel2]]="","",VLOOKUP(FormFields[[#This Row],[Rel2]],RelationTable[[Display]:[RELID]],2,0)))</f>
        <v/>
      </c>
      <c r="AI24" s="78" t="str">
        <f>IF(FormFields[[#This Row],[NO2]]=0,"nest_relation3",IF(FormFields[[#This Row],[Rel3]]="","",VLOOKUP(FormFields[[#This Row],[Rel3]],RelationTable[[Display]:[RELID]],2,0)))</f>
        <v/>
      </c>
      <c r="AJ24" s="71">
        <f>IF(OR(FormFields[[#This Row],[Option Type]]="",FormFields[[#This Row],[Option Type]]="type"),0,1)</f>
        <v>0</v>
      </c>
      <c r="AK24" s="71" t="str">
        <f>'Table Seed Map'!$A$14&amp;"-"&amp;FormFields[[#This Row],[NO4]]</f>
        <v>Field Options-6</v>
      </c>
      <c r="AL24" s="71">
        <f>COUNTIF($AJ$2:FormFields[[#This Row],[Exists FO]],1)</f>
        <v>6</v>
      </c>
      <c r="AM24" s="71">
        <f>IF(FormFields[[#This Row],[NO4]]=0,"id",FormFields[[#This Row],[NO4]]+IF(ISNUMBER(VLOOKUP('Table Seed Map'!$A$14,SeedMap[],9,0)),VLOOKUP('Table Seed Map'!$A$14,SeedMap[],9,0),0))</f>
        <v>801206</v>
      </c>
      <c r="AN24" s="58">
        <f>IF(FormFields[[#This Row],[ID]]="id","form_field",FormFields[[#This Row],[ID]])</f>
        <v>801022</v>
      </c>
      <c r="AO24" s="79"/>
      <c r="AP24" s="79"/>
      <c r="AQ24" s="79"/>
      <c r="AR24" s="79"/>
      <c r="AS24" s="79"/>
      <c r="AT24" s="71">
        <f>IF(OR(FormFields[[#This Row],[Colspan]]="",FormFields[[#This Row],[Colspan]]="colspan"),0,1)</f>
        <v>1</v>
      </c>
      <c r="AU24" s="71" t="str">
        <f>'Table Seed Map'!$A$19&amp;"-"&amp;FormFields[[#This Row],[NO8]]</f>
        <v>Form Layout-5</v>
      </c>
      <c r="AV24" s="71">
        <f>COUNTIF($AT$1:FormFields[[#This Row],[Exists FL]],1)</f>
        <v>5</v>
      </c>
      <c r="AW24" s="71">
        <f>IF(FormFields[[#This Row],[NO8]]=0,"id",IF(FormFields[[#This Row],[Exists FL]]=1,FormFields[[#This Row],[NO8]]+IF(ISNUMBER(VLOOKUP('Table Seed Map'!$A$19,SeedMap[],9,0)),VLOOKUP('Table Seed Map'!$A$19,SeedMap[],9,0),0),""))</f>
        <v>801705</v>
      </c>
      <c r="AX24" s="71">
        <f>FormFields[Form]</f>
        <v>800905</v>
      </c>
      <c r="AY24" s="71">
        <f>IF(FormFields[[#This Row],[ID]]="id","form_field",FormFields[[#This Row],[ID]])</f>
        <v>801022</v>
      </c>
      <c r="AZ24" s="80">
        <v>4</v>
      </c>
      <c r="BA24" s="58">
        <f>FormFields[[#This Row],[ID]]</f>
        <v>801022</v>
      </c>
      <c r="BC24" s="63" t="s">
        <v>1049</v>
      </c>
      <c r="BD24" s="62" t="str">
        <f>'Table Seed Map'!$A$15&amp;"-"&amp;(-1+COUNTA($BC$1:FieldAttrs[[#This Row],[ATTR Field]]))</f>
        <v>Field Attrs-22</v>
      </c>
      <c r="BE24" s="60">
        <f>IF(FieldAttrs[[#This Row],[ATTR Field]]="","id",-1+COUNTA($BC$1:FieldAttrs[[#This Row],[ATTR Field]])+VLOOKUP('Table Seed Map'!$A$15,SeedMap[],9,0))</f>
        <v>801322</v>
      </c>
      <c r="BF24" s="58">
        <f>IFERROR(VLOOKUP(FieldAttrs[ATTR Field],FormFields[[Field Name]:[ID]],2,0),"form_field")</f>
        <v>801020</v>
      </c>
      <c r="BG24" s="35" t="s">
        <v>44</v>
      </c>
      <c r="BH24" s="35" t="s">
        <v>1012</v>
      </c>
    </row>
    <row r="25" spans="13:60" x14ac:dyDescent="0.25">
      <c r="M25" s="70" t="str">
        <f>'Table Seed Map'!$A$12&amp;"-"&amp;FormFields[[#This Row],[No]]</f>
        <v>Form Fields-23</v>
      </c>
      <c r="N25" s="59" t="s">
        <v>1042</v>
      </c>
      <c r="O25" s="71">
        <f>COUNTA($N$1:FormFields[[#This Row],[Form Name]])-1</f>
        <v>23</v>
      </c>
      <c r="P25" s="70" t="str">
        <f>FormFields[[#This Row],[Form Name]]&amp;"/"&amp;FormFields[[#This Row],[Name]]</f>
        <v>PartnerTask/TaskCompleteAttachment/attachment2</v>
      </c>
      <c r="Q25" s="71">
        <f>IF(FormFields[[#This Row],[No]]=0,"id",FormFields[[#This Row],[No]]+IF(ISNUMBER(VLOOKUP('Table Seed Map'!$A$12,SeedMap[],9,0)),VLOOKUP('Table Seed Map'!$A$12,SeedMap[],9,0),0))</f>
        <v>801023</v>
      </c>
      <c r="R25" s="72">
        <f>IFERROR(VLOOKUP(FormFields[[#This Row],[Form Name]],ResourceForms[[FormName]:[ID]],4,0),"resource_form")</f>
        <v>800905</v>
      </c>
      <c r="S25" s="73" t="s">
        <v>839</v>
      </c>
      <c r="T25" s="73" t="s">
        <v>1043</v>
      </c>
      <c r="U25" s="73" t="s">
        <v>1045</v>
      </c>
      <c r="V25" s="74"/>
      <c r="W25" s="74"/>
      <c r="X25" s="74"/>
      <c r="Y25" s="74"/>
      <c r="Z25" s="75" t="str">
        <f>'Table Seed Map'!$A$13&amp;"-"&amp;FormFields[[#This Row],[NO2]]</f>
        <v>Field Data-19</v>
      </c>
      <c r="AA25" s="76">
        <f>COUNTIFS($AB$1:FormFields[[#This Row],[Exists]],1)-1</f>
        <v>19</v>
      </c>
      <c r="AB25" s="76">
        <f>IF(AND(FormFields[[#This Row],[Attribute]]="",FormFields[[#This Row],[Rel]]=""),0,1)</f>
        <v>1</v>
      </c>
      <c r="AC25" s="76">
        <f>IF(FormFields[[#This Row],[NO2]]=0,"id",FormFields[[#This Row],[NO2]]+IF(ISNUMBER(VLOOKUP('Table Seed Map'!$A$13,SeedMap[],9,0)),VLOOKUP('Table Seed Map'!$A$13,SeedMap[],9,0),0))</f>
        <v>801119</v>
      </c>
      <c r="AD25" s="77">
        <f>IF(FormFields[[#This Row],[ID]]="id","form_field",FormFields[[#This Row],[ID]])</f>
        <v>801023</v>
      </c>
      <c r="AE25" s="76" t="str">
        <f>IF(FormFields[[#This Row],[No]]=0,"attribute",FormFields[[#This Row],[Name]])</f>
        <v>attachment2</v>
      </c>
      <c r="AF25" s="78" t="str">
        <f>IF(FormFields[[#This Row],[NO2]]=0,"relation",IF(FormFields[[#This Row],[Rel]]="","",VLOOKUP(FormFields[[#This Row],[Rel]],RelationTable[[Display]:[RELID]],2,0)))</f>
        <v/>
      </c>
      <c r="AG25" s="78" t="str">
        <f>IF(FormFields[[#This Row],[NO2]]=0,"nest_relation1",IF(FormFields[[#This Row],[Rel1]]="","",VLOOKUP(FormFields[[#This Row],[Rel1]],RelationTable[[Display]:[RELID]],2,0)))</f>
        <v/>
      </c>
      <c r="AH25" s="78" t="str">
        <f>IF(FormFields[[#This Row],[NO2]]=0,"nest_relation2",IF(FormFields[[#This Row],[Rel2]]="","",VLOOKUP(FormFields[[#This Row],[Rel2]],RelationTable[[Display]:[RELID]],2,0)))</f>
        <v/>
      </c>
      <c r="AI25" s="78" t="str">
        <f>IF(FormFields[[#This Row],[NO2]]=0,"nest_relation3",IF(FormFields[[#This Row],[Rel3]]="","",VLOOKUP(FormFields[[#This Row],[Rel3]],RelationTable[[Display]:[RELID]],2,0)))</f>
        <v/>
      </c>
      <c r="AJ25" s="71">
        <f>IF(OR(FormFields[[#This Row],[Option Type]]="",FormFields[[#This Row],[Option Type]]="type"),0,1)</f>
        <v>0</v>
      </c>
      <c r="AK25" s="71" t="str">
        <f>'Table Seed Map'!$A$14&amp;"-"&amp;FormFields[[#This Row],[NO4]]</f>
        <v>Field Options-6</v>
      </c>
      <c r="AL25" s="71">
        <f>COUNTIF($AJ$2:FormFields[[#This Row],[Exists FO]],1)</f>
        <v>6</v>
      </c>
      <c r="AM25" s="71">
        <f>IF(FormFields[[#This Row],[NO4]]=0,"id",FormFields[[#This Row],[NO4]]+IF(ISNUMBER(VLOOKUP('Table Seed Map'!$A$14,SeedMap[],9,0)),VLOOKUP('Table Seed Map'!$A$14,SeedMap[],9,0),0))</f>
        <v>801206</v>
      </c>
      <c r="AN25" s="58">
        <f>IF(FormFields[[#This Row],[ID]]="id","form_field",FormFields[[#This Row],[ID]])</f>
        <v>801023</v>
      </c>
      <c r="AO25" s="79"/>
      <c r="AP25" s="79"/>
      <c r="AQ25" s="79"/>
      <c r="AR25" s="79"/>
      <c r="AS25" s="79"/>
      <c r="AT25" s="71">
        <f>IF(OR(FormFields[[#This Row],[Colspan]]="",FormFields[[#This Row],[Colspan]]="colspan"),0,1)</f>
        <v>1</v>
      </c>
      <c r="AU25" s="71" t="str">
        <f>'Table Seed Map'!$A$19&amp;"-"&amp;FormFields[[#This Row],[NO8]]</f>
        <v>Form Layout-6</v>
      </c>
      <c r="AV25" s="71">
        <f>COUNTIF($AT$1:FormFields[[#This Row],[Exists FL]],1)</f>
        <v>6</v>
      </c>
      <c r="AW25" s="71">
        <f>IF(FormFields[[#This Row],[NO8]]=0,"id",IF(FormFields[[#This Row],[Exists FL]]=1,FormFields[[#This Row],[NO8]]+IF(ISNUMBER(VLOOKUP('Table Seed Map'!$A$19,SeedMap[],9,0)),VLOOKUP('Table Seed Map'!$A$19,SeedMap[],9,0),0),""))</f>
        <v>801706</v>
      </c>
      <c r="AX25" s="71">
        <f>FormFields[Form]</f>
        <v>800905</v>
      </c>
      <c r="AY25" s="71">
        <f>IF(FormFields[[#This Row],[ID]]="id","form_field",FormFields[[#This Row],[ID]])</f>
        <v>801023</v>
      </c>
      <c r="AZ25" s="80">
        <v>4</v>
      </c>
      <c r="BA25" s="58">
        <f>FormFields[[#This Row],[ID]]</f>
        <v>801023</v>
      </c>
      <c r="BC25" s="63" t="s">
        <v>1126</v>
      </c>
      <c r="BD25" s="62" t="str">
        <f>'Table Seed Map'!$A$15&amp;"-"&amp;(-1+COUNTA($BC$1:FieldAttrs[[#This Row],[ATTR Field]]))</f>
        <v>Field Attrs-23</v>
      </c>
      <c r="BE25" s="60">
        <f>IF(FieldAttrs[[#This Row],[ATTR Field]]="","id",-1+COUNTA($BC$1:FieldAttrs[[#This Row],[ATTR Field]])+VLOOKUP('Table Seed Map'!$A$15,SeedMap[],9,0))</f>
        <v>801323</v>
      </c>
      <c r="BF25" s="58">
        <f>IFERROR(VLOOKUP(FieldAttrs[ATTR Field],FormFields[[Field Name]:[ID]],2,0),"form_field")</f>
        <v>801021</v>
      </c>
      <c r="BG25" s="35" t="s">
        <v>905</v>
      </c>
      <c r="BH25" s="35">
        <v>4</v>
      </c>
    </row>
    <row r="26" spans="13:60" x14ac:dyDescent="0.25">
      <c r="M26" s="70" t="str">
        <f>'Table Seed Map'!$A$12&amp;"-"&amp;FormFields[[#This Row],[No]]</f>
        <v>Form Fields-24</v>
      </c>
      <c r="N26" s="59" t="s">
        <v>1042</v>
      </c>
      <c r="O26" s="71">
        <f>COUNTA($N$1:FormFields[[#This Row],[Form Name]])-1</f>
        <v>24</v>
      </c>
      <c r="P26" s="70" t="str">
        <f>FormFields[[#This Row],[Form Name]]&amp;"/"&amp;FormFields[[#This Row],[Name]]</f>
        <v>PartnerTask/TaskCompleteAttachment/attachment3</v>
      </c>
      <c r="Q26" s="71">
        <f>IF(FormFields[[#This Row],[No]]=0,"id",FormFields[[#This Row],[No]]+IF(ISNUMBER(VLOOKUP('Table Seed Map'!$A$12,SeedMap[],9,0)),VLOOKUP('Table Seed Map'!$A$12,SeedMap[],9,0),0))</f>
        <v>801024</v>
      </c>
      <c r="R26" s="72">
        <f>IFERROR(VLOOKUP(FormFields[[#This Row],[Form Name]],ResourceForms[[FormName]:[ID]],4,0),"resource_form")</f>
        <v>800905</v>
      </c>
      <c r="S26" s="73" t="s">
        <v>840</v>
      </c>
      <c r="T26" s="73" t="s">
        <v>1043</v>
      </c>
      <c r="U26" s="73" t="s">
        <v>1046</v>
      </c>
      <c r="V26" s="74"/>
      <c r="W26" s="74"/>
      <c r="X26" s="74"/>
      <c r="Y26" s="74"/>
      <c r="Z26" s="75" t="str">
        <f>'Table Seed Map'!$A$13&amp;"-"&amp;FormFields[[#This Row],[NO2]]</f>
        <v>Field Data-20</v>
      </c>
      <c r="AA26" s="76">
        <f>COUNTIFS($AB$1:FormFields[[#This Row],[Exists]],1)-1</f>
        <v>20</v>
      </c>
      <c r="AB26" s="76">
        <f>IF(AND(FormFields[[#This Row],[Attribute]]="",FormFields[[#This Row],[Rel]]=""),0,1)</f>
        <v>1</v>
      </c>
      <c r="AC26" s="76">
        <f>IF(FormFields[[#This Row],[NO2]]=0,"id",FormFields[[#This Row],[NO2]]+IF(ISNUMBER(VLOOKUP('Table Seed Map'!$A$13,SeedMap[],9,0)),VLOOKUP('Table Seed Map'!$A$13,SeedMap[],9,0),0))</f>
        <v>801120</v>
      </c>
      <c r="AD26" s="77">
        <f>IF(FormFields[[#This Row],[ID]]="id","form_field",FormFields[[#This Row],[ID]])</f>
        <v>801024</v>
      </c>
      <c r="AE26" s="76" t="str">
        <f>IF(FormFields[[#This Row],[No]]=0,"attribute",FormFields[[#This Row],[Name]])</f>
        <v>attachment3</v>
      </c>
      <c r="AF26" s="78" t="str">
        <f>IF(FormFields[[#This Row],[NO2]]=0,"relation",IF(FormFields[[#This Row],[Rel]]="","",VLOOKUP(FormFields[[#This Row],[Rel]],RelationTable[[Display]:[RELID]],2,0)))</f>
        <v/>
      </c>
      <c r="AG26" s="78" t="str">
        <f>IF(FormFields[[#This Row],[NO2]]=0,"nest_relation1",IF(FormFields[[#This Row],[Rel1]]="","",VLOOKUP(FormFields[[#This Row],[Rel1]],RelationTable[[Display]:[RELID]],2,0)))</f>
        <v/>
      </c>
      <c r="AH26" s="78" t="str">
        <f>IF(FormFields[[#This Row],[NO2]]=0,"nest_relation2",IF(FormFields[[#This Row],[Rel2]]="","",VLOOKUP(FormFields[[#This Row],[Rel2]],RelationTable[[Display]:[RELID]],2,0)))</f>
        <v/>
      </c>
      <c r="AI26" s="78" t="str">
        <f>IF(FormFields[[#This Row],[NO2]]=0,"nest_relation3",IF(FormFields[[#This Row],[Rel3]]="","",VLOOKUP(FormFields[[#This Row],[Rel3]],RelationTable[[Display]:[RELID]],2,0)))</f>
        <v/>
      </c>
      <c r="AJ26" s="71">
        <f>IF(OR(FormFields[[#This Row],[Option Type]]="",FormFields[[#This Row],[Option Type]]="type"),0,1)</f>
        <v>0</v>
      </c>
      <c r="AK26" s="71" t="str">
        <f>'Table Seed Map'!$A$14&amp;"-"&amp;FormFields[[#This Row],[NO4]]</f>
        <v>Field Options-6</v>
      </c>
      <c r="AL26" s="71">
        <f>COUNTIF($AJ$2:FormFields[[#This Row],[Exists FO]],1)</f>
        <v>6</v>
      </c>
      <c r="AM26" s="71">
        <f>IF(FormFields[[#This Row],[NO4]]=0,"id",FormFields[[#This Row],[NO4]]+IF(ISNUMBER(VLOOKUP('Table Seed Map'!$A$14,SeedMap[],9,0)),VLOOKUP('Table Seed Map'!$A$14,SeedMap[],9,0),0))</f>
        <v>801206</v>
      </c>
      <c r="AN26" s="58">
        <f>IF(FormFields[[#This Row],[ID]]="id","form_field",FormFields[[#This Row],[ID]])</f>
        <v>801024</v>
      </c>
      <c r="AO26" s="79"/>
      <c r="AP26" s="79"/>
      <c r="AQ26" s="79"/>
      <c r="AR26" s="79"/>
      <c r="AS26" s="79"/>
      <c r="AT26" s="71">
        <f>IF(OR(FormFields[[#This Row],[Colspan]]="",FormFields[[#This Row],[Colspan]]="colspan"),0,1)</f>
        <v>1</v>
      </c>
      <c r="AU26" s="71" t="str">
        <f>'Table Seed Map'!$A$19&amp;"-"&amp;FormFields[[#This Row],[NO8]]</f>
        <v>Form Layout-7</v>
      </c>
      <c r="AV26" s="71">
        <f>COUNTIF($AT$1:FormFields[[#This Row],[Exists FL]],1)</f>
        <v>7</v>
      </c>
      <c r="AW26" s="71">
        <f>IF(FormFields[[#This Row],[NO8]]=0,"id",IF(FormFields[[#This Row],[Exists FL]]=1,FormFields[[#This Row],[NO8]]+IF(ISNUMBER(VLOOKUP('Table Seed Map'!$A$19,SeedMap[],9,0)),VLOOKUP('Table Seed Map'!$A$19,SeedMap[],9,0),0),""))</f>
        <v>801707</v>
      </c>
      <c r="AX26" s="71">
        <f>FormFields[Form]</f>
        <v>800905</v>
      </c>
      <c r="AY26" s="71">
        <f>IF(FormFields[[#This Row],[ID]]="id","form_field",FormFields[[#This Row],[ID]])</f>
        <v>801024</v>
      </c>
      <c r="AZ26" s="80">
        <v>4</v>
      </c>
      <c r="BA26" s="58">
        <f>FormFields[[#This Row],[ID]]</f>
        <v>801024</v>
      </c>
      <c r="BC26" s="63" t="s">
        <v>1094</v>
      </c>
      <c r="BD26" s="62" t="str">
        <f>'Table Seed Map'!$A$15&amp;"-"&amp;(-1+COUNTA($BC$1:FieldAttrs[[#This Row],[ATTR Field]]))</f>
        <v>Field Attrs-24</v>
      </c>
      <c r="BE26" s="60">
        <f>IF(FieldAttrs[[#This Row],[ATTR Field]]="","id",-1+COUNTA($BC$1:FieldAttrs[[#This Row],[ATTR Field]])+VLOOKUP('Table Seed Map'!$A$15,SeedMap[],9,0))</f>
        <v>801324</v>
      </c>
      <c r="BF26" s="58">
        <f>IFERROR(VLOOKUP(FieldAttrs[ATTR Field],FormFields[[Field Name]:[ID]],2,0),"form_field")</f>
        <v>801025</v>
      </c>
      <c r="BG26" s="35" t="s">
        <v>905</v>
      </c>
      <c r="BH26" s="35">
        <v>4</v>
      </c>
    </row>
    <row r="27" spans="13:60" x14ac:dyDescent="0.25">
      <c r="M27" s="70" t="str">
        <f>'Table Seed Map'!$A$12&amp;"-"&amp;FormFields[[#This Row],[No]]</f>
        <v>Form Fields-25</v>
      </c>
      <c r="N27" s="59" t="s">
        <v>1093</v>
      </c>
      <c r="O27" s="71">
        <f>COUNTA($N$1:FormFields[[#This Row],[Form Name]])-1</f>
        <v>25</v>
      </c>
      <c r="P27" s="70" t="str">
        <f>FormFields[[#This Row],[Form Name]]&amp;"/"&amp;FormFields[[#This Row],[Name]]</f>
        <v>PartnerTask/TaskDismissForm/task.name</v>
      </c>
      <c r="Q27" s="71">
        <f>IF(FormFields[[#This Row],[No]]=0,"id",FormFields[[#This Row],[No]]+IF(ISNUMBER(VLOOKUP('Table Seed Map'!$A$12,SeedMap[],9,0)),VLOOKUP('Table Seed Map'!$A$12,SeedMap[],9,0),0))</f>
        <v>801025</v>
      </c>
      <c r="R27" s="72">
        <f>IFERROR(VLOOKUP(FormFields[[#This Row],[Form Name]],ResourceForms[[FormName]:[ID]],4,0),"resource_form")</f>
        <v>800906</v>
      </c>
      <c r="S27" s="73" t="s">
        <v>1027</v>
      </c>
      <c r="T27" s="73" t="s">
        <v>1026</v>
      </c>
      <c r="U27" s="73" t="s">
        <v>1</v>
      </c>
      <c r="V27" s="74"/>
      <c r="W27" s="74"/>
      <c r="X27" s="74"/>
      <c r="Y27" s="74"/>
      <c r="Z27" s="75" t="str">
        <f>'Table Seed Map'!$A$13&amp;"-"&amp;FormFields[[#This Row],[NO2]]</f>
        <v>Field Data-20</v>
      </c>
      <c r="AA27" s="76">
        <f>COUNTIFS($AB$1:FormFields[[#This Row],[Exists]],1)-1</f>
        <v>20</v>
      </c>
      <c r="AB27" s="76">
        <f>IF(AND(FormFields[[#This Row],[Attribute]]="",FormFields[[#This Row],[Rel]]=""),0,1)</f>
        <v>0</v>
      </c>
      <c r="AC27" s="76">
        <f>IF(FormFields[[#This Row],[NO2]]=0,"id",FormFields[[#This Row],[NO2]]+IF(ISNUMBER(VLOOKUP('Table Seed Map'!$A$13,SeedMap[],9,0)),VLOOKUP('Table Seed Map'!$A$13,SeedMap[],9,0),0))</f>
        <v>801120</v>
      </c>
      <c r="AD27" s="77">
        <f>IF(FormFields[[#This Row],[ID]]="id","form_field",FormFields[[#This Row],[ID]])</f>
        <v>801025</v>
      </c>
      <c r="AE27" s="76"/>
      <c r="AF27" s="78" t="str">
        <f>IF(FormFields[[#This Row],[NO2]]=0,"relation",IF(FormFields[[#This Row],[Rel]]="","",VLOOKUP(FormFields[[#This Row],[Rel]],RelationTable[[Display]:[RELID]],2,0)))</f>
        <v/>
      </c>
      <c r="AG27" s="78" t="str">
        <f>IF(FormFields[[#This Row],[NO2]]=0,"nest_relation1",IF(FormFields[[#This Row],[Rel1]]="","",VLOOKUP(FormFields[[#This Row],[Rel1]],RelationTable[[Display]:[RELID]],2,0)))</f>
        <v/>
      </c>
      <c r="AH27" s="78" t="str">
        <f>IF(FormFields[[#This Row],[NO2]]=0,"nest_relation2",IF(FormFields[[#This Row],[Rel2]]="","",VLOOKUP(FormFields[[#This Row],[Rel2]],RelationTable[[Display]:[RELID]],2,0)))</f>
        <v/>
      </c>
      <c r="AI27" s="78" t="str">
        <f>IF(FormFields[[#This Row],[NO2]]=0,"nest_relation3",IF(FormFields[[#This Row],[Rel3]]="","",VLOOKUP(FormFields[[#This Row],[Rel3]],RelationTable[[Display]:[RELID]],2,0)))</f>
        <v/>
      </c>
      <c r="AJ27" s="71">
        <f>IF(OR(FormFields[[#This Row],[Option Type]]="",FormFields[[#This Row],[Option Type]]="type"),0,1)</f>
        <v>0</v>
      </c>
      <c r="AK27" s="71" t="str">
        <f>'Table Seed Map'!$A$14&amp;"-"&amp;FormFields[[#This Row],[NO4]]</f>
        <v>Field Options-6</v>
      </c>
      <c r="AL27" s="71">
        <f>COUNTIF($AJ$2:FormFields[[#This Row],[Exists FO]],1)</f>
        <v>6</v>
      </c>
      <c r="AM27" s="71">
        <f>IF(FormFields[[#This Row],[NO4]]=0,"id",FormFields[[#This Row],[NO4]]+IF(ISNUMBER(VLOOKUP('Table Seed Map'!$A$14,SeedMap[],9,0)),VLOOKUP('Table Seed Map'!$A$14,SeedMap[],9,0),0))</f>
        <v>801206</v>
      </c>
      <c r="AN27" s="58">
        <f>IF(FormFields[[#This Row],[ID]]="id","form_field",FormFields[[#This Row],[ID]])</f>
        <v>801025</v>
      </c>
      <c r="AO27" s="79"/>
      <c r="AP27" s="79"/>
      <c r="AQ27" s="79"/>
      <c r="AR27" s="79"/>
      <c r="AS27" s="79"/>
      <c r="AT27" s="71">
        <f>IF(OR(FormFields[[#This Row],[Colspan]]="",FormFields[[#This Row],[Colspan]]="colspan"),0,1)</f>
        <v>0</v>
      </c>
      <c r="AU27" s="71" t="str">
        <f>'Table Seed Map'!$A$19&amp;"-"&amp;FormFields[[#This Row],[NO8]]</f>
        <v>Form Layout-7</v>
      </c>
      <c r="AV27" s="71">
        <f>COUNTIF($AT$1:FormFields[[#This Row],[Exists FL]],1)</f>
        <v>7</v>
      </c>
      <c r="AW27" s="71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27" s="71">
        <f>FormFields[Form]</f>
        <v>800906</v>
      </c>
      <c r="AY27" s="71">
        <f>IF(FormFields[[#This Row],[ID]]="id","form_field",FormFields[[#This Row],[ID]])</f>
        <v>801025</v>
      </c>
      <c r="AZ27" s="80"/>
      <c r="BA27" s="58">
        <f>FormFields[[#This Row],[ID]]</f>
        <v>801025</v>
      </c>
      <c r="BC27" s="63" t="s">
        <v>1095</v>
      </c>
      <c r="BD27" s="62" t="str">
        <f>'Table Seed Map'!$A$15&amp;"-"&amp;(-1+COUNTA($BC$1:FieldAttrs[[#This Row],[ATTR Field]]))</f>
        <v>Field Attrs-25</v>
      </c>
      <c r="BE27" s="60">
        <f>IF(FieldAttrs[[#This Row],[ATTR Field]]="","id",-1+COUNTA($BC$1:FieldAttrs[[#This Row],[ATTR Field]])+VLOOKUP('Table Seed Map'!$A$15,SeedMap[],9,0))</f>
        <v>801325</v>
      </c>
      <c r="BF27" s="58">
        <f>IFERROR(VLOOKUP(FieldAttrs[ATTR Field],FormFields[[Field Name]:[ID]],2,0),"form_field")</f>
        <v>801026</v>
      </c>
      <c r="BG27" s="35" t="s">
        <v>905</v>
      </c>
      <c r="BH27" s="35">
        <v>4</v>
      </c>
    </row>
    <row r="28" spans="13:60" x14ac:dyDescent="0.25">
      <c r="M28" s="70" t="str">
        <f>'Table Seed Map'!$A$12&amp;"-"&amp;FormFields[[#This Row],[No]]</f>
        <v>Form Fields-26</v>
      </c>
      <c r="N28" s="59" t="s">
        <v>1093</v>
      </c>
      <c r="O28" s="71">
        <f>COUNTA($N$1:FormFields[[#This Row],[Form Name]])-1</f>
        <v>26</v>
      </c>
      <c r="P28" s="70" t="str">
        <f>FormFields[[#This Row],[Form Name]]&amp;"/"&amp;FormFields[[#This Row],[Name]]</f>
        <v>PartnerTask/TaskDismissForm/task.description</v>
      </c>
      <c r="Q28" s="71">
        <f>IF(FormFields[[#This Row],[No]]=0,"id",FormFields[[#This Row],[No]]+IF(ISNUMBER(VLOOKUP('Table Seed Map'!$A$12,SeedMap[],9,0)),VLOOKUP('Table Seed Map'!$A$12,SeedMap[],9,0),0))</f>
        <v>801026</v>
      </c>
      <c r="R28" s="72">
        <f>IFERROR(VLOOKUP(FormFields[[#This Row],[Form Name]],ResourceForms[[FormName]:[ID]],4,0),"resource_form")</f>
        <v>800906</v>
      </c>
      <c r="S28" s="73" t="s">
        <v>1028</v>
      </c>
      <c r="T28" s="73" t="s">
        <v>1029</v>
      </c>
      <c r="U28" s="73" t="s">
        <v>102</v>
      </c>
      <c r="V28" s="74"/>
      <c r="W28" s="74"/>
      <c r="X28" s="74"/>
      <c r="Y28" s="74"/>
      <c r="Z28" s="75" t="str">
        <f>'Table Seed Map'!$A$13&amp;"-"&amp;FormFields[[#This Row],[NO2]]</f>
        <v>Field Data-20</v>
      </c>
      <c r="AA28" s="76">
        <f>COUNTIFS($AB$1:FormFields[[#This Row],[Exists]],1)-1</f>
        <v>20</v>
      </c>
      <c r="AB28" s="76">
        <f>IF(AND(FormFields[[#This Row],[Attribute]]="",FormFields[[#This Row],[Rel]]=""),0,1)</f>
        <v>0</v>
      </c>
      <c r="AC28" s="76">
        <f>IF(FormFields[[#This Row],[NO2]]=0,"id",FormFields[[#This Row],[NO2]]+IF(ISNUMBER(VLOOKUP('Table Seed Map'!$A$13,SeedMap[],9,0)),VLOOKUP('Table Seed Map'!$A$13,SeedMap[],9,0),0))</f>
        <v>801120</v>
      </c>
      <c r="AD28" s="77">
        <f>IF(FormFields[[#This Row],[ID]]="id","form_field",FormFields[[#This Row],[ID]])</f>
        <v>801026</v>
      </c>
      <c r="AE28" s="76"/>
      <c r="AF28" s="78" t="str">
        <f>IF(FormFields[[#This Row],[NO2]]=0,"relation",IF(FormFields[[#This Row],[Rel]]="","",VLOOKUP(FormFields[[#This Row],[Rel]],RelationTable[[Display]:[RELID]],2,0)))</f>
        <v/>
      </c>
      <c r="AG28" s="78" t="str">
        <f>IF(FormFields[[#This Row],[NO2]]=0,"nest_relation1",IF(FormFields[[#This Row],[Rel1]]="","",VLOOKUP(FormFields[[#This Row],[Rel1]],RelationTable[[Display]:[RELID]],2,0)))</f>
        <v/>
      </c>
      <c r="AH28" s="78" t="str">
        <f>IF(FormFields[[#This Row],[NO2]]=0,"nest_relation2",IF(FormFields[[#This Row],[Rel2]]="","",VLOOKUP(FormFields[[#This Row],[Rel2]],RelationTable[[Display]:[RELID]],2,0)))</f>
        <v/>
      </c>
      <c r="AI28" s="78" t="str">
        <f>IF(FormFields[[#This Row],[NO2]]=0,"nest_relation3",IF(FormFields[[#This Row],[Rel3]]="","",VLOOKUP(FormFields[[#This Row],[Rel3]],RelationTable[[Display]:[RELID]],2,0)))</f>
        <v/>
      </c>
      <c r="AJ28" s="71">
        <f>IF(OR(FormFields[[#This Row],[Option Type]]="",FormFields[[#This Row],[Option Type]]="type"),0,1)</f>
        <v>0</v>
      </c>
      <c r="AK28" s="71" t="str">
        <f>'Table Seed Map'!$A$14&amp;"-"&amp;FormFields[[#This Row],[NO4]]</f>
        <v>Field Options-6</v>
      </c>
      <c r="AL28" s="71">
        <f>COUNTIF($AJ$2:FormFields[[#This Row],[Exists FO]],1)</f>
        <v>6</v>
      </c>
      <c r="AM28" s="71">
        <f>IF(FormFields[[#This Row],[NO4]]=0,"id",FormFields[[#This Row],[NO4]]+IF(ISNUMBER(VLOOKUP('Table Seed Map'!$A$14,SeedMap[],9,0)),VLOOKUP('Table Seed Map'!$A$14,SeedMap[],9,0),0))</f>
        <v>801206</v>
      </c>
      <c r="AN28" s="58">
        <f>IF(FormFields[[#This Row],[ID]]="id","form_field",FormFields[[#This Row],[ID]])</f>
        <v>801026</v>
      </c>
      <c r="AO28" s="79"/>
      <c r="AP28" s="79"/>
      <c r="AQ28" s="79"/>
      <c r="AR28" s="79"/>
      <c r="AS28" s="79"/>
      <c r="AT28" s="71">
        <f>IF(OR(FormFields[[#This Row],[Colspan]]="",FormFields[[#This Row],[Colspan]]="colspan"),0,1)</f>
        <v>0</v>
      </c>
      <c r="AU28" s="71" t="str">
        <f>'Table Seed Map'!$A$19&amp;"-"&amp;FormFields[[#This Row],[NO8]]</f>
        <v>Form Layout-7</v>
      </c>
      <c r="AV28" s="71">
        <f>COUNTIF($AT$1:FormFields[[#This Row],[Exists FL]],1)</f>
        <v>7</v>
      </c>
      <c r="AW28" s="71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28" s="71">
        <f>FormFields[Form]</f>
        <v>800906</v>
      </c>
      <c r="AY28" s="71">
        <f>IF(FormFields[[#This Row],[ID]]="id","form_field",FormFields[[#This Row],[ID]])</f>
        <v>801026</v>
      </c>
      <c r="AZ28" s="80"/>
      <c r="BA28" s="58">
        <f>FormFields[[#This Row],[ID]]</f>
        <v>801026</v>
      </c>
      <c r="BC28" s="63" t="s">
        <v>1127</v>
      </c>
      <c r="BD28" s="62" t="str">
        <f>'Table Seed Map'!$A$15&amp;"-"&amp;(-1+COUNTA($BC$1:FieldAttrs[[#This Row],[ATTR Field]]))</f>
        <v>Field Attrs-26</v>
      </c>
      <c r="BE28" s="60">
        <f>IF(FieldAttrs[[#This Row],[ATTR Field]]="","id",-1+COUNTA($BC$1:FieldAttrs[[#This Row],[ATTR Field]])+VLOOKUP('Table Seed Map'!$A$15,SeedMap[],9,0))</f>
        <v>801326</v>
      </c>
      <c r="BF28" s="58">
        <f>IFERROR(VLOOKUP(FieldAttrs[ATTR Field],FormFields[[Field Name]:[ID]],2,0),"form_field")</f>
        <v>801027</v>
      </c>
      <c r="BG28" s="35" t="s">
        <v>905</v>
      </c>
      <c r="BH28" s="35">
        <v>4</v>
      </c>
    </row>
    <row r="29" spans="13:60" x14ac:dyDescent="0.25">
      <c r="M29" s="70" t="str">
        <f>'Table Seed Map'!$A$12&amp;"-"&amp;FormFields[[#This Row],[No]]</f>
        <v>Form Fields-27</v>
      </c>
      <c r="N29" s="59" t="s">
        <v>1093</v>
      </c>
      <c r="O29" s="71">
        <f>COUNTA($N$1:FormFields[[#This Row],[Form Name]])-1</f>
        <v>27</v>
      </c>
      <c r="P29" s="70" t="str">
        <f>FormFields[[#This Row],[Form Name]]&amp;"/"&amp;FormFields[[#This Row],[Name]]</f>
        <v>PartnerTask/TaskDismissForm/progress</v>
      </c>
      <c r="Q29" s="71">
        <f>IF(FormFields[[#This Row],[No]]=0,"id",FormFields[[#This Row],[No]]+IF(ISNUMBER(VLOOKUP('Table Seed Map'!$A$12,SeedMap[],9,0)),VLOOKUP('Table Seed Map'!$A$12,SeedMap[],9,0),0))</f>
        <v>801027</v>
      </c>
      <c r="R29" s="72">
        <f>IFERROR(VLOOKUP(FormFields[[#This Row],[Form Name]],ResourceForms[[FormName]:[ID]],4,0),"resource_form")</f>
        <v>800906</v>
      </c>
      <c r="S29" s="73" t="s">
        <v>823</v>
      </c>
      <c r="T29" s="73" t="s">
        <v>1026</v>
      </c>
      <c r="U29" s="73" t="s">
        <v>1039</v>
      </c>
      <c r="V29" s="74"/>
      <c r="W29" s="74"/>
      <c r="X29" s="74"/>
      <c r="Y29" s="74"/>
      <c r="Z29" s="75" t="str">
        <f>'Table Seed Map'!$A$13&amp;"-"&amp;FormFields[[#This Row],[NO2]]</f>
        <v>Field Data-21</v>
      </c>
      <c r="AA29" s="76">
        <f>COUNTIFS($AB$1:FormFields[[#This Row],[Exists]],1)-1</f>
        <v>21</v>
      </c>
      <c r="AB29" s="76">
        <f>IF(AND(FormFields[[#This Row],[Attribute]]="",FormFields[[#This Row],[Rel]]=""),0,1)</f>
        <v>1</v>
      </c>
      <c r="AC29" s="76">
        <f>IF(FormFields[[#This Row],[NO2]]=0,"id",FormFields[[#This Row],[NO2]]+IF(ISNUMBER(VLOOKUP('Table Seed Map'!$A$13,SeedMap[],9,0)),VLOOKUP('Table Seed Map'!$A$13,SeedMap[],9,0),0))</f>
        <v>801121</v>
      </c>
      <c r="AD29" s="77">
        <f>IF(FormFields[[#This Row],[ID]]="id","form_field",FormFields[[#This Row],[ID]])</f>
        <v>801027</v>
      </c>
      <c r="AE29" s="76" t="str">
        <f>IF(FormFields[[#This Row],[No]]=0,"attribute",FormFields[[#This Row],[Name]])</f>
        <v>progress</v>
      </c>
      <c r="AF29" s="78" t="str">
        <f>IF(FormFields[[#This Row],[NO2]]=0,"relation",IF(FormFields[[#This Row],[Rel]]="","",VLOOKUP(FormFields[[#This Row],[Rel]],RelationTable[[Display]:[RELID]],2,0)))</f>
        <v/>
      </c>
      <c r="AG29" s="78" t="str">
        <f>IF(FormFields[[#This Row],[NO2]]=0,"nest_relation1",IF(FormFields[[#This Row],[Rel1]]="","",VLOOKUP(FormFields[[#This Row],[Rel1]],RelationTable[[Display]:[RELID]],2,0)))</f>
        <v/>
      </c>
      <c r="AH29" s="78" t="str">
        <f>IF(FormFields[[#This Row],[NO2]]=0,"nest_relation2",IF(FormFields[[#This Row],[Rel2]]="","",VLOOKUP(FormFields[[#This Row],[Rel2]],RelationTable[[Display]:[RELID]],2,0)))</f>
        <v/>
      </c>
      <c r="AI29" s="78" t="str">
        <f>IF(FormFields[[#This Row],[NO2]]=0,"nest_relation3",IF(FormFields[[#This Row],[Rel3]]="","",VLOOKUP(FormFields[[#This Row],[Rel3]],RelationTable[[Display]:[RELID]],2,0)))</f>
        <v/>
      </c>
      <c r="AJ29" s="71">
        <f>IF(OR(FormFields[[#This Row],[Option Type]]="",FormFields[[#This Row],[Option Type]]="type"),0,1)</f>
        <v>0</v>
      </c>
      <c r="AK29" s="71" t="str">
        <f>'Table Seed Map'!$A$14&amp;"-"&amp;FormFields[[#This Row],[NO4]]</f>
        <v>Field Options-6</v>
      </c>
      <c r="AL29" s="71">
        <f>COUNTIF($AJ$2:FormFields[[#This Row],[Exists FO]],1)</f>
        <v>6</v>
      </c>
      <c r="AM29" s="71">
        <f>IF(FormFields[[#This Row],[NO4]]=0,"id",FormFields[[#This Row],[NO4]]+IF(ISNUMBER(VLOOKUP('Table Seed Map'!$A$14,SeedMap[],9,0)),VLOOKUP('Table Seed Map'!$A$14,SeedMap[],9,0),0))</f>
        <v>801206</v>
      </c>
      <c r="AN29" s="58">
        <f>IF(FormFields[[#This Row],[ID]]="id","form_field",FormFields[[#This Row],[ID]])</f>
        <v>801027</v>
      </c>
      <c r="AO29" s="79"/>
      <c r="AP29" s="79"/>
      <c r="AQ29" s="79"/>
      <c r="AR29" s="79"/>
      <c r="AS29" s="79"/>
      <c r="AT29" s="71">
        <f>IF(OR(FormFields[[#This Row],[Colspan]]="",FormFields[[#This Row],[Colspan]]="colspan"),0,1)</f>
        <v>0</v>
      </c>
      <c r="AU29" s="71" t="str">
        <f>'Table Seed Map'!$A$19&amp;"-"&amp;FormFields[[#This Row],[NO8]]</f>
        <v>Form Layout-7</v>
      </c>
      <c r="AV29" s="71">
        <f>COUNTIF($AT$1:FormFields[[#This Row],[Exists FL]],1)</f>
        <v>7</v>
      </c>
      <c r="AW29" s="71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29" s="71">
        <f>FormFields[Form]</f>
        <v>800906</v>
      </c>
      <c r="AY29" s="71">
        <f>IF(FormFields[[#This Row],[ID]]="id","form_field",FormFields[[#This Row],[ID]])</f>
        <v>801027</v>
      </c>
      <c r="AZ29" s="80"/>
      <c r="BA29" s="58">
        <f>FormFields[[#This Row],[ID]]</f>
        <v>801027</v>
      </c>
      <c r="BC29" s="63" t="s">
        <v>1127</v>
      </c>
      <c r="BD29" s="62" t="str">
        <f>'Table Seed Map'!$A$15&amp;"-"&amp;(-1+COUNTA($BC$1:FieldAttrs[[#This Row],[ATTR Field]]))</f>
        <v>Field Attrs-27</v>
      </c>
      <c r="BE29" s="60">
        <f>IF(FieldAttrs[[#This Row],[ATTR Field]]="","id",-1+COUNTA($BC$1:FieldAttrs[[#This Row],[ATTR Field]])+VLOOKUP('Table Seed Map'!$A$15,SeedMap[],9,0))</f>
        <v>801327</v>
      </c>
      <c r="BF29" s="58">
        <f>IFERROR(VLOOKUP(FieldAttrs[ATTR Field],FormFields[[Field Name]:[ID]],2,0),"form_field")</f>
        <v>801027</v>
      </c>
      <c r="BG29" s="35" t="s">
        <v>44</v>
      </c>
      <c r="BH29" s="35" t="s">
        <v>1011</v>
      </c>
    </row>
    <row r="30" spans="13:60" x14ac:dyDescent="0.25">
      <c r="M30" s="70" t="str">
        <f>'Table Seed Map'!$A$12&amp;"-"&amp;FormFields[[#This Row],[No]]</f>
        <v>Form Fields-28</v>
      </c>
      <c r="N30" s="59" t="s">
        <v>1093</v>
      </c>
      <c r="O30" s="71">
        <f>COUNTA($N$1:FormFields[[#This Row],[Form Name]])-1</f>
        <v>28</v>
      </c>
      <c r="P30" s="70" t="str">
        <f>FormFields[[#This Row],[Form Name]]&amp;"/"&amp;FormFields[[#This Row],[Name]]</f>
        <v>PartnerTask/TaskDismissForm/remarks</v>
      </c>
      <c r="Q30" s="71">
        <f>IF(FormFields[[#This Row],[No]]=0,"id",FormFields[[#This Row],[No]]+IF(ISNUMBER(VLOOKUP('Table Seed Map'!$A$12,SeedMap[],9,0)),VLOOKUP('Table Seed Map'!$A$12,SeedMap[],9,0),0))</f>
        <v>801028</v>
      </c>
      <c r="R30" s="72">
        <f>IFERROR(VLOOKUP(FormFields[[#This Row],[Form Name]],ResourceForms[[FormName]:[ID]],4,0),"resource_form")</f>
        <v>800906</v>
      </c>
      <c r="S30" s="73" t="s">
        <v>1123</v>
      </c>
      <c r="T30" s="73" t="s">
        <v>899</v>
      </c>
      <c r="U30" s="73" t="s">
        <v>1124</v>
      </c>
      <c r="V30" s="74"/>
      <c r="W30" s="74"/>
      <c r="X30" s="74"/>
      <c r="Y30" s="74"/>
      <c r="Z30" s="75" t="str">
        <f>'Table Seed Map'!$A$13&amp;"-"&amp;FormFields[[#This Row],[NO2]]</f>
        <v>Field Data-22</v>
      </c>
      <c r="AA30" s="76">
        <f>COUNTIFS($AB$1:FormFields[[#This Row],[Exists]],1)-1</f>
        <v>22</v>
      </c>
      <c r="AB30" s="76">
        <f>IF(AND(FormFields[[#This Row],[Attribute]]="",FormFields[[#This Row],[Rel]]=""),0,1)</f>
        <v>1</v>
      </c>
      <c r="AC30" s="76">
        <f>IF(FormFields[[#This Row],[NO2]]=0,"id",FormFields[[#This Row],[NO2]]+IF(ISNUMBER(VLOOKUP('Table Seed Map'!$A$13,SeedMap[],9,0)),VLOOKUP('Table Seed Map'!$A$13,SeedMap[],9,0),0))</f>
        <v>801122</v>
      </c>
      <c r="AD30" s="77">
        <f>IF(FormFields[[#This Row],[ID]]="id","form_field",FormFields[[#This Row],[ID]])</f>
        <v>801028</v>
      </c>
      <c r="AE30" s="76" t="str">
        <f>IF(FormFields[[#This Row],[No]]=0,"attribute",FormFields[[#This Row],[Name]])</f>
        <v>remarks</v>
      </c>
      <c r="AF30" s="78" t="str">
        <f>IF(FormFields[[#This Row],[NO2]]=0,"relation",IF(FormFields[[#This Row],[Rel]]="","",VLOOKUP(FormFields[[#This Row],[Rel]],RelationTable[[Display]:[RELID]],2,0)))</f>
        <v/>
      </c>
      <c r="AG30" s="78" t="str">
        <f>IF(FormFields[[#This Row],[NO2]]=0,"nest_relation1",IF(FormFields[[#This Row],[Rel1]]="","",VLOOKUP(FormFields[[#This Row],[Rel1]],RelationTable[[Display]:[RELID]],2,0)))</f>
        <v/>
      </c>
      <c r="AH30" s="78" t="str">
        <f>IF(FormFields[[#This Row],[NO2]]=0,"nest_relation2",IF(FormFields[[#This Row],[Rel2]]="","",VLOOKUP(FormFields[[#This Row],[Rel2]],RelationTable[[Display]:[RELID]],2,0)))</f>
        <v/>
      </c>
      <c r="AI30" s="78" t="str">
        <f>IF(FormFields[[#This Row],[NO2]]=0,"nest_relation3",IF(FormFields[[#This Row],[Rel3]]="","",VLOOKUP(FormFields[[#This Row],[Rel3]],RelationTable[[Display]:[RELID]],2,0)))</f>
        <v/>
      </c>
      <c r="AJ30" s="71">
        <f>IF(OR(FormFields[[#This Row],[Option Type]]="",FormFields[[#This Row],[Option Type]]="type"),0,1)</f>
        <v>0</v>
      </c>
      <c r="AK30" s="71" t="str">
        <f>'Table Seed Map'!$A$14&amp;"-"&amp;FormFields[[#This Row],[NO4]]</f>
        <v>Field Options-6</v>
      </c>
      <c r="AL30" s="71">
        <f>COUNTIF($AJ$2:FormFields[[#This Row],[Exists FO]],1)</f>
        <v>6</v>
      </c>
      <c r="AM30" s="71">
        <f>IF(FormFields[[#This Row],[NO4]]=0,"id",FormFields[[#This Row],[NO4]]+IF(ISNUMBER(VLOOKUP('Table Seed Map'!$A$14,SeedMap[],9,0)),VLOOKUP('Table Seed Map'!$A$14,SeedMap[],9,0),0))</f>
        <v>801206</v>
      </c>
      <c r="AN30" s="58">
        <f>IF(FormFields[[#This Row],[ID]]="id","form_field",FormFields[[#This Row],[ID]])</f>
        <v>801028</v>
      </c>
      <c r="AO30" s="79"/>
      <c r="AP30" s="79"/>
      <c r="AQ30" s="79"/>
      <c r="AR30" s="79"/>
      <c r="AS30" s="79"/>
      <c r="AT30" s="71">
        <f>IF(OR(FormFields[[#This Row],[Colspan]]="",FormFields[[#This Row],[Colspan]]="colspan"),0,1)</f>
        <v>0</v>
      </c>
      <c r="AU30" s="71" t="str">
        <f>'Table Seed Map'!$A$19&amp;"-"&amp;FormFields[[#This Row],[NO8]]</f>
        <v>Form Layout-7</v>
      </c>
      <c r="AV30" s="71">
        <f>COUNTIF($AT$1:FormFields[[#This Row],[Exists FL]],1)</f>
        <v>7</v>
      </c>
      <c r="AW30" s="71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30" s="71">
        <f>FormFields[Form]</f>
        <v>800906</v>
      </c>
      <c r="AY30" s="71">
        <f>IF(FormFields[[#This Row],[ID]]="id","form_field",FormFields[[#This Row],[ID]])</f>
        <v>801028</v>
      </c>
      <c r="AZ30" s="80"/>
      <c r="BA30" s="58">
        <f>FormFields[[#This Row],[ID]]</f>
        <v>801028</v>
      </c>
      <c r="BC30" s="63" t="s">
        <v>1128</v>
      </c>
      <c r="BD30" s="62" t="str">
        <f>'Table Seed Map'!$A$15&amp;"-"&amp;(-1+COUNTA($BC$1:FieldAttrs[[#This Row],[ATTR Field]]))</f>
        <v>Field Attrs-28</v>
      </c>
      <c r="BE30" s="60">
        <f>IF(FieldAttrs[[#This Row],[ATTR Field]]="","id",-1+COUNTA($BC$1:FieldAttrs[[#This Row],[ATTR Field]])+VLOOKUP('Table Seed Map'!$A$15,SeedMap[],9,0))</f>
        <v>801328</v>
      </c>
      <c r="BF30" s="58">
        <f>IFERROR(VLOOKUP(FieldAttrs[ATTR Field],FormFields[[Field Name]:[ID]],2,0),"form_field")</f>
        <v>801028</v>
      </c>
      <c r="BG30" s="35" t="s">
        <v>905</v>
      </c>
      <c r="BH30" s="35">
        <v>4</v>
      </c>
    </row>
    <row r="31" spans="13:60" x14ac:dyDescent="0.25">
      <c r="M31" s="70" t="str">
        <f>'Table Seed Map'!$A$12&amp;"-"&amp;FormFields[[#This Row],[No]]</f>
        <v>Form Fields-29</v>
      </c>
      <c r="N31" s="59" t="s">
        <v>1138</v>
      </c>
      <c r="O31" s="71">
        <f>COUNTA($N$1:FormFields[[#This Row],[Form Name]])-1</f>
        <v>29</v>
      </c>
      <c r="P31" s="70" t="str">
        <f>FormFields[[#This Row],[Form Name]]&amp;"/"&amp;FormFields[[#This Row],[Name]]</f>
        <v>PartnerTask/TaskUpdateForm/task.name</v>
      </c>
      <c r="Q31" s="71">
        <f>IF(FormFields[[#This Row],[No]]=0,"id",FormFields[[#This Row],[No]]+IF(ISNUMBER(VLOOKUP('Table Seed Map'!$A$12,SeedMap[],9,0)),VLOOKUP('Table Seed Map'!$A$12,SeedMap[],9,0),0))</f>
        <v>801029</v>
      </c>
      <c r="R31" s="72">
        <f>IFERROR(VLOOKUP(FormFields[[#This Row],[Form Name]],ResourceForms[[FormName]:[ID]],4,0),"resource_form")</f>
        <v>800907</v>
      </c>
      <c r="S31" s="73" t="s">
        <v>1027</v>
      </c>
      <c r="T31" s="73" t="s">
        <v>1026</v>
      </c>
      <c r="U31" s="73" t="s">
        <v>846</v>
      </c>
      <c r="V31" s="74"/>
      <c r="W31" s="74"/>
      <c r="X31" s="74"/>
      <c r="Y31" s="74"/>
      <c r="Z31" s="75" t="str">
        <f>'Table Seed Map'!$A$13&amp;"-"&amp;FormFields[[#This Row],[NO2]]</f>
        <v>Field Data-23</v>
      </c>
      <c r="AA31" s="76">
        <f>COUNTIFS($AB$1:FormFields[[#This Row],[Exists]],1)-1</f>
        <v>23</v>
      </c>
      <c r="AB31" s="76">
        <f>IF(AND(FormFields[[#This Row],[Attribute]]="",FormFields[[#This Row],[Rel]]=""),0,1)</f>
        <v>1</v>
      </c>
      <c r="AC31" s="76">
        <f>IF(FormFields[[#This Row],[NO2]]=0,"id",FormFields[[#This Row],[NO2]]+IF(ISNUMBER(VLOOKUP('Table Seed Map'!$A$13,SeedMap[],9,0)),VLOOKUP('Table Seed Map'!$A$13,SeedMap[],9,0),0))</f>
        <v>801123</v>
      </c>
      <c r="AD31" s="77">
        <f>IF(FormFields[[#This Row],[ID]]="id","form_field",FormFields[[#This Row],[ID]])</f>
        <v>801029</v>
      </c>
      <c r="AE31" s="76" t="str">
        <f>IF(FormFields[[#This Row],[No]]=0,"attribute",FormFields[[#This Row],[Name]])</f>
        <v>task.name</v>
      </c>
      <c r="AF31" s="78" t="str">
        <f>IF(FormFields[[#This Row],[NO2]]=0,"relation",IF(FormFields[[#This Row],[Rel]]="","",VLOOKUP(FormFields[[#This Row],[Rel]],RelationTable[[Display]:[RELID]],2,0)))</f>
        <v/>
      </c>
      <c r="AG31" s="78" t="str">
        <f>IF(FormFields[[#This Row],[NO2]]=0,"nest_relation1",IF(FormFields[[#This Row],[Rel1]]="","",VLOOKUP(FormFields[[#This Row],[Rel1]],RelationTable[[Display]:[RELID]],2,0)))</f>
        <v/>
      </c>
      <c r="AH31" s="78" t="str">
        <f>IF(FormFields[[#This Row],[NO2]]=0,"nest_relation2",IF(FormFields[[#This Row],[Rel2]]="","",VLOOKUP(FormFields[[#This Row],[Rel2]],RelationTable[[Display]:[RELID]],2,0)))</f>
        <v/>
      </c>
      <c r="AI31" s="78" t="str">
        <f>IF(FormFields[[#This Row],[NO2]]=0,"nest_relation3",IF(FormFields[[#This Row],[Rel3]]="","",VLOOKUP(FormFields[[#This Row],[Rel3]],RelationTable[[Display]:[RELID]],2,0)))</f>
        <v/>
      </c>
      <c r="AJ31" s="71">
        <f>IF(OR(FormFields[[#This Row],[Option Type]]="",FormFields[[#This Row],[Option Type]]="type"),0,1)</f>
        <v>0</v>
      </c>
      <c r="AK31" s="71" t="str">
        <f>'Table Seed Map'!$A$14&amp;"-"&amp;FormFields[[#This Row],[NO4]]</f>
        <v>Field Options-6</v>
      </c>
      <c r="AL31" s="71">
        <f>COUNTIF($AJ$2:FormFields[[#This Row],[Exists FO]],1)</f>
        <v>6</v>
      </c>
      <c r="AM31" s="71">
        <f>IF(FormFields[[#This Row],[NO4]]=0,"id",FormFields[[#This Row],[NO4]]+IF(ISNUMBER(VLOOKUP('Table Seed Map'!$A$14,SeedMap[],9,0)),VLOOKUP('Table Seed Map'!$A$14,SeedMap[],9,0),0))</f>
        <v>801206</v>
      </c>
      <c r="AN31" s="58">
        <f>IF(FormFields[[#This Row],[ID]]="id","form_field",FormFields[[#This Row],[ID]])</f>
        <v>801029</v>
      </c>
      <c r="AO31" s="79"/>
      <c r="AP31" s="79"/>
      <c r="AQ31" s="79"/>
      <c r="AR31" s="79"/>
      <c r="AS31" s="79"/>
      <c r="AT31" s="71">
        <f>IF(OR(FormFields[[#This Row],[Colspan]]="",FormFields[[#This Row],[Colspan]]="colspan"),0,1)</f>
        <v>0</v>
      </c>
      <c r="AU31" s="71" t="str">
        <f>'Table Seed Map'!$A$19&amp;"-"&amp;FormFields[[#This Row],[NO8]]</f>
        <v>Form Layout-7</v>
      </c>
      <c r="AV31" s="71">
        <f>COUNTIF($AT$1:FormFields[[#This Row],[Exists FL]],1)</f>
        <v>7</v>
      </c>
      <c r="AW31" s="71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31" s="71">
        <f>FormFields[Form]</f>
        <v>800907</v>
      </c>
      <c r="AY31" s="71">
        <f>IF(FormFields[[#This Row],[ID]]="id","form_field",FormFields[[#This Row],[ID]])</f>
        <v>801029</v>
      </c>
      <c r="AZ31" s="80"/>
      <c r="BA31" s="58">
        <f>FormFields[[#This Row],[ID]]</f>
        <v>801029</v>
      </c>
      <c r="BC31" s="63" t="s">
        <v>1140</v>
      </c>
      <c r="BD31" s="62" t="str">
        <f>'Table Seed Map'!$A$15&amp;"-"&amp;(-1+COUNTA($BC$1:FieldAttrs[[#This Row],[ATTR Field]]))</f>
        <v>Field Attrs-29</v>
      </c>
      <c r="BE31" s="60">
        <f>IF(FieldAttrs[[#This Row],[ATTR Field]]="","id",-1+COUNTA($BC$1:FieldAttrs[[#This Row],[ATTR Field]])+VLOOKUP('Table Seed Map'!$A$15,SeedMap[],9,0))</f>
        <v>801329</v>
      </c>
      <c r="BF31" s="58">
        <f>IFERROR(VLOOKUP(FieldAttrs[ATTR Field],FormFields[[Field Name]:[ID]],2,0),"form_field")</f>
        <v>801029</v>
      </c>
      <c r="BG31" s="58" t="s">
        <v>905</v>
      </c>
      <c r="BH31" s="58">
        <v>4</v>
      </c>
    </row>
    <row r="32" spans="13:60" x14ac:dyDescent="0.25">
      <c r="M32" s="70" t="str">
        <f>'Table Seed Map'!$A$12&amp;"-"&amp;FormFields[[#This Row],[No]]</f>
        <v>Form Fields-30</v>
      </c>
      <c r="N32" s="59" t="s">
        <v>1138</v>
      </c>
      <c r="O32" s="71">
        <f>COUNTA($N$1:FormFields[[#This Row],[Form Name]])-1</f>
        <v>30</v>
      </c>
      <c r="P32" s="70" t="str">
        <f>FormFields[[#This Row],[Form Name]]&amp;"/"&amp;FormFields[[#This Row],[Name]]</f>
        <v>PartnerTask/TaskUpdateForm/progress</v>
      </c>
      <c r="Q32" s="71">
        <f>IF(FormFields[[#This Row],[No]]=0,"id",FormFields[[#This Row],[No]]+IF(ISNUMBER(VLOOKUP('Table Seed Map'!$A$12,SeedMap[],9,0)),VLOOKUP('Table Seed Map'!$A$12,SeedMap[],9,0),0))</f>
        <v>801030</v>
      </c>
      <c r="R32" s="72">
        <f>IFERROR(VLOOKUP(FormFields[[#This Row],[Form Name]],ResourceForms[[FormName]:[ID]],4,0),"resource_form")</f>
        <v>800907</v>
      </c>
      <c r="S32" s="73" t="s">
        <v>823</v>
      </c>
      <c r="T32" s="73" t="s">
        <v>900</v>
      </c>
      <c r="U32" s="73" t="s">
        <v>1139</v>
      </c>
      <c r="V32" s="74"/>
      <c r="W32" s="74"/>
      <c r="X32" s="74"/>
      <c r="Y32" s="74"/>
      <c r="Z32" s="75" t="str">
        <f>'Table Seed Map'!$A$13&amp;"-"&amp;FormFields[[#This Row],[NO2]]</f>
        <v>Field Data-24</v>
      </c>
      <c r="AA32" s="76">
        <f>COUNTIFS($AB$1:FormFields[[#This Row],[Exists]],1)-1</f>
        <v>24</v>
      </c>
      <c r="AB32" s="76">
        <f>IF(AND(FormFields[[#This Row],[Attribute]]="",FormFields[[#This Row],[Rel]]=""),0,1)</f>
        <v>1</v>
      </c>
      <c r="AC32" s="76">
        <f>IF(FormFields[[#This Row],[NO2]]=0,"id",FormFields[[#This Row],[NO2]]+IF(ISNUMBER(VLOOKUP('Table Seed Map'!$A$13,SeedMap[],9,0)),VLOOKUP('Table Seed Map'!$A$13,SeedMap[],9,0),0))</f>
        <v>801124</v>
      </c>
      <c r="AD32" s="77">
        <f>IF(FormFields[[#This Row],[ID]]="id","form_field",FormFields[[#This Row],[ID]])</f>
        <v>801030</v>
      </c>
      <c r="AE32" s="76" t="str">
        <f>IF(FormFields[[#This Row],[No]]=0,"attribute",FormFields[[#This Row],[Name]])</f>
        <v>progress</v>
      </c>
      <c r="AF32" s="78" t="str">
        <f>IF(FormFields[[#This Row],[NO2]]=0,"relation",IF(FormFields[[#This Row],[Rel]]="","",VLOOKUP(FormFields[[#This Row],[Rel]],RelationTable[[Display]:[RELID]],2,0)))</f>
        <v/>
      </c>
      <c r="AG32" s="78" t="str">
        <f>IF(FormFields[[#This Row],[NO2]]=0,"nest_relation1",IF(FormFields[[#This Row],[Rel1]]="","",VLOOKUP(FormFields[[#This Row],[Rel1]],RelationTable[[Display]:[RELID]],2,0)))</f>
        <v/>
      </c>
      <c r="AH32" s="78" t="str">
        <f>IF(FormFields[[#This Row],[NO2]]=0,"nest_relation2",IF(FormFields[[#This Row],[Rel2]]="","",VLOOKUP(FormFields[[#This Row],[Rel2]],RelationTable[[Display]:[RELID]],2,0)))</f>
        <v/>
      </c>
      <c r="AI32" s="78" t="str">
        <f>IF(FormFields[[#This Row],[NO2]]=0,"nest_relation3",IF(FormFields[[#This Row],[Rel3]]="","",VLOOKUP(FormFields[[#This Row],[Rel3]],RelationTable[[Display]:[RELID]],2,0)))</f>
        <v/>
      </c>
      <c r="AJ32" s="71">
        <f>IF(OR(FormFields[[#This Row],[Option Type]]="",FormFields[[#This Row],[Option Type]]="type"),0,1)</f>
        <v>1</v>
      </c>
      <c r="AK32" s="71" t="str">
        <f>'Table Seed Map'!$A$14&amp;"-"&amp;FormFields[[#This Row],[NO4]]</f>
        <v>Field Options-7</v>
      </c>
      <c r="AL32" s="71">
        <f>COUNTIF($AJ$2:FormFields[[#This Row],[Exists FO]],1)</f>
        <v>7</v>
      </c>
      <c r="AM32" s="71">
        <f>IF(FormFields[[#This Row],[NO4]]=0,"id",FormFields[[#This Row],[NO4]]+IF(ISNUMBER(VLOOKUP('Table Seed Map'!$A$14,SeedMap[],9,0)),VLOOKUP('Table Seed Map'!$A$14,SeedMap[],9,0),0))</f>
        <v>801207</v>
      </c>
      <c r="AN32" s="58">
        <f>IF(FormFields[[#This Row],[ID]]="id","form_field",FormFields[[#This Row],[ID]])</f>
        <v>801030</v>
      </c>
      <c r="AO32" s="79" t="s">
        <v>903</v>
      </c>
      <c r="AP32" s="79"/>
      <c r="AQ32" s="79"/>
      <c r="AR32" s="79"/>
      <c r="AS32" s="79"/>
      <c r="AT32" s="71">
        <f>IF(OR(FormFields[[#This Row],[Colspan]]="",FormFields[[#This Row],[Colspan]]="colspan"),0,1)</f>
        <v>0</v>
      </c>
      <c r="AU32" s="71" t="str">
        <f>'Table Seed Map'!$A$19&amp;"-"&amp;FormFields[[#This Row],[NO8]]</f>
        <v>Form Layout-7</v>
      </c>
      <c r="AV32" s="71">
        <f>COUNTIF($AT$1:FormFields[[#This Row],[Exists FL]],1)</f>
        <v>7</v>
      </c>
      <c r="AW32" s="71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32" s="71">
        <f>FormFields[Form]</f>
        <v>800907</v>
      </c>
      <c r="AY32" s="71">
        <f>IF(FormFields[[#This Row],[ID]]="id","form_field",FormFields[[#This Row],[ID]])</f>
        <v>801030</v>
      </c>
      <c r="AZ32" s="80"/>
      <c r="BA32" s="58">
        <f>FormFields[[#This Row],[ID]]</f>
        <v>801030</v>
      </c>
      <c r="BC32" s="63" t="s">
        <v>1141</v>
      </c>
      <c r="BD32" s="62" t="str">
        <f>'Table Seed Map'!$A$15&amp;"-"&amp;(-1+COUNTA($BC$1:FieldAttrs[[#This Row],[ATTR Field]]))</f>
        <v>Field Attrs-30</v>
      </c>
      <c r="BE32" s="60">
        <f>IF(FieldAttrs[[#This Row],[ATTR Field]]="","id",-1+COUNTA($BC$1:FieldAttrs[[#This Row],[ATTR Field]])+VLOOKUP('Table Seed Map'!$A$15,SeedMap[],9,0))</f>
        <v>801330</v>
      </c>
      <c r="BF32" s="58">
        <f>IFERROR(VLOOKUP(FieldAttrs[ATTR Field],FormFields[[Field Name]:[ID]],2,0),"form_field")</f>
        <v>801030</v>
      </c>
      <c r="BG32" s="58" t="s">
        <v>905</v>
      </c>
      <c r="BH32" s="58">
        <v>4</v>
      </c>
    </row>
    <row r="33" spans="13:60" x14ac:dyDescent="0.25">
      <c r="M33" s="70" t="str">
        <f>'Table Seed Map'!$A$12&amp;"-"&amp;FormFields[[#This Row],[No]]</f>
        <v>Form Fields-31</v>
      </c>
      <c r="N33" s="59" t="s">
        <v>1138</v>
      </c>
      <c r="O33" s="71">
        <f>COUNTA($N$1:FormFields[[#This Row],[Form Name]])-1</f>
        <v>31</v>
      </c>
      <c r="P33" s="70" t="str">
        <f>FormFields[[#This Row],[Form Name]]&amp;"/"&amp;FormFields[[#This Row],[Name]]</f>
        <v>PartnerTask/TaskUpdateForm/remarks</v>
      </c>
      <c r="Q33" s="71">
        <f>IF(FormFields[[#This Row],[No]]=0,"id",FormFields[[#This Row],[No]]+IF(ISNUMBER(VLOOKUP('Table Seed Map'!$A$12,SeedMap[],9,0)),VLOOKUP('Table Seed Map'!$A$12,SeedMap[],9,0),0))</f>
        <v>801031</v>
      </c>
      <c r="R33" s="72">
        <f>IFERROR(VLOOKUP(FormFields[[#This Row],[Form Name]],ResourceForms[[FormName]:[ID]],4,0),"resource_form")</f>
        <v>800907</v>
      </c>
      <c r="S33" s="73" t="s">
        <v>1123</v>
      </c>
      <c r="T33" s="73" t="s">
        <v>899</v>
      </c>
      <c r="U33" s="73" t="s">
        <v>1124</v>
      </c>
      <c r="V33" s="74"/>
      <c r="W33" s="74"/>
      <c r="X33" s="74"/>
      <c r="Y33" s="74"/>
      <c r="Z33" s="75" t="str">
        <f>'Table Seed Map'!$A$13&amp;"-"&amp;FormFields[[#This Row],[NO2]]</f>
        <v>Field Data-25</v>
      </c>
      <c r="AA33" s="76">
        <f>COUNTIFS($AB$1:FormFields[[#This Row],[Exists]],1)-1</f>
        <v>25</v>
      </c>
      <c r="AB33" s="76">
        <f>IF(AND(FormFields[[#This Row],[Attribute]]="",FormFields[[#This Row],[Rel]]=""),0,1)</f>
        <v>1</v>
      </c>
      <c r="AC33" s="76">
        <f>IF(FormFields[[#This Row],[NO2]]=0,"id",FormFields[[#This Row],[NO2]]+IF(ISNUMBER(VLOOKUP('Table Seed Map'!$A$13,SeedMap[],9,0)),VLOOKUP('Table Seed Map'!$A$13,SeedMap[],9,0),0))</f>
        <v>801125</v>
      </c>
      <c r="AD33" s="77">
        <f>IF(FormFields[[#This Row],[ID]]="id","form_field",FormFields[[#This Row],[ID]])</f>
        <v>801031</v>
      </c>
      <c r="AE33" s="76" t="str">
        <f>IF(FormFields[[#This Row],[No]]=0,"attribute",FormFields[[#This Row],[Name]])</f>
        <v>remarks</v>
      </c>
      <c r="AF33" s="78" t="str">
        <f>IF(FormFields[[#This Row],[NO2]]=0,"relation",IF(FormFields[[#This Row],[Rel]]="","",VLOOKUP(FormFields[[#This Row],[Rel]],RelationTable[[Display]:[RELID]],2,0)))</f>
        <v/>
      </c>
      <c r="AG33" s="78" t="str">
        <f>IF(FormFields[[#This Row],[NO2]]=0,"nest_relation1",IF(FormFields[[#This Row],[Rel1]]="","",VLOOKUP(FormFields[[#This Row],[Rel1]],RelationTable[[Display]:[RELID]],2,0)))</f>
        <v/>
      </c>
      <c r="AH33" s="78" t="str">
        <f>IF(FormFields[[#This Row],[NO2]]=0,"nest_relation2",IF(FormFields[[#This Row],[Rel2]]="","",VLOOKUP(FormFields[[#This Row],[Rel2]],RelationTable[[Display]:[RELID]],2,0)))</f>
        <v/>
      </c>
      <c r="AI33" s="78" t="str">
        <f>IF(FormFields[[#This Row],[NO2]]=0,"nest_relation3",IF(FormFields[[#This Row],[Rel3]]="","",VLOOKUP(FormFields[[#This Row],[Rel3]],RelationTable[[Display]:[RELID]],2,0)))</f>
        <v/>
      </c>
      <c r="AJ33" s="71">
        <f>IF(OR(FormFields[[#This Row],[Option Type]]="",FormFields[[#This Row],[Option Type]]="type"),0,1)</f>
        <v>0</v>
      </c>
      <c r="AK33" s="71" t="str">
        <f>'Table Seed Map'!$A$14&amp;"-"&amp;FormFields[[#This Row],[NO4]]</f>
        <v>Field Options-7</v>
      </c>
      <c r="AL33" s="71">
        <f>COUNTIF($AJ$2:FormFields[[#This Row],[Exists FO]],1)</f>
        <v>7</v>
      </c>
      <c r="AM33" s="71">
        <f>IF(FormFields[[#This Row],[NO4]]=0,"id",FormFields[[#This Row],[NO4]]+IF(ISNUMBER(VLOOKUP('Table Seed Map'!$A$14,SeedMap[],9,0)),VLOOKUP('Table Seed Map'!$A$14,SeedMap[],9,0),0))</f>
        <v>801207</v>
      </c>
      <c r="AN33" s="58">
        <f>IF(FormFields[[#This Row],[ID]]="id","form_field",FormFields[[#This Row],[ID]])</f>
        <v>801031</v>
      </c>
      <c r="AO33" s="79"/>
      <c r="AP33" s="79"/>
      <c r="AQ33" s="79"/>
      <c r="AR33" s="79"/>
      <c r="AS33" s="79"/>
      <c r="AT33" s="71">
        <f>IF(OR(FormFields[[#This Row],[Colspan]]="",FormFields[[#This Row],[Colspan]]="colspan"),0,1)</f>
        <v>0</v>
      </c>
      <c r="AU33" s="71" t="str">
        <f>'Table Seed Map'!$A$19&amp;"-"&amp;FormFields[[#This Row],[NO8]]</f>
        <v>Form Layout-7</v>
      </c>
      <c r="AV33" s="71">
        <f>COUNTIF($AT$1:FormFields[[#This Row],[Exists FL]],1)</f>
        <v>7</v>
      </c>
      <c r="AW33" s="71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33" s="71">
        <f>FormFields[Form]</f>
        <v>800907</v>
      </c>
      <c r="AY33" s="71">
        <f>IF(FormFields[[#This Row],[ID]]="id","form_field",FormFields[[#This Row],[ID]])</f>
        <v>801031</v>
      </c>
      <c r="AZ33" s="80"/>
      <c r="BA33" s="58">
        <f>FormFields[[#This Row],[ID]]</f>
        <v>801031</v>
      </c>
      <c r="BC33" s="63" t="s">
        <v>1142</v>
      </c>
      <c r="BD33" s="62" t="str">
        <f>'Table Seed Map'!$A$15&amp;"-"&amp;(-1+COUNTA($BC$1:FieldAttrs[[#This Row],[ATTR Field]]))</f>
        <v>Field Attrs-31</v>
      </c>
      <c r="BE33" s="60">
        <f>IF(FieldAttrs[[#This Row],[ATTR Field]]="","id",-1+COUNTA($BC$1:FieldAttrs[[#This Row],[ATTR Field]])+VLOOKUP('Table Seed Map'!$A$15,SeedMap[],9,0))</f>
        <v>801331</v>
      </c>
      <c r="BF33" s="58">
        <f>IFERROR(VLOOKUP(FieldAttrs[ATTR Field],FormFields[[Field Name]:[ID]],2,0),"form_field")</f>
        <v>801031</v>
      </c>
      <c r="BG33" s="58" t="s">
        <v>905</v>
      </c>
      <c r="BH33" s="58">
        <v>4</v>
      </c>
    </row>
  </sheetData>
  <dataValidations count="9">
    <dataValidation type="list" allowBlank="1" showInputMessage="1" showErrorMessage="1" sqref="EN2:ES2 CS2:CY2 BX2 V2:Y33">
      <formula1>Relations</formula1>
    </dataValidation>
    <dataValidation type="list" allowBlank="1" showInputMessage="1" showErrorMessage="1" sqref="CH2 DY2 BV2:BW2 N2:N33">
      <formula1>FormNames</formula1>
    </dataValidation>
    <dataValidation type="list" allowBlank="1" showInputMessage="1" showErrorMessage="1" sqref="DB2 DN2 EA2 BY2 BJ2:BJ12 BC2:BC33">
      <formula1>FieldDisplayNames</formula1>
    </dataValidation>
    <dataValidation type="list" allowBlank="1" showInputMessage="1" showErrorMessage="1" sqref="DW2 DH2">
      <formula1>"operator,=,&lt;,&gt;,&lt;=,&gt;=,&lt;&gt;,In,NotIn,like"</formula1>
    </dataValidation>
    <dataValidation type="list" allowBlank="1" showInputMessage="1" showErrorMessage="1" sqref="DR2">
      <formula1>"type,disabled-enabled,enabled-disabled,hidden-visible,visible-hidden,readonly-editable,editable-readonly"</formula1>
    </dataValidation>
    <dataValidation type="list" allowBlank="1" showInputMessage="1" showErrorMessage="1" sqref="DT2">
      <formula1>"alter_on,not null,value,null"</formula1>
    </dataValidation>
    <dataValidation type="list" allowBlank="1" showInputMessage="1" showErrorMessage="1" sqref="DZ2">
      <formula1>DataNames</formula1>
    </dataValidation>
    <dataValidation type="list" allowBlank="1" showInputMessage="1" showErrorMessage="1" sqref="DL2">
      <formula1>"ignore_null,Yes,No"</formula1>
    </dataValidation>
    <dataValidation type="list" allowBlank="1" showInputMessage="1" showErrorMessage="1" sqref="D2:D9">
      <formula1>Resources</formula1>
    </dataValidation>
  </dataValidations>
  <pageMargins left="0.7" right="0.7" top="0.75" bottom="0.75" header="0.3" footer="0.3"/>
  <pageSetup paperSize="9" orientation="portrait" horizontalDpi="1200" verticalDpi="1200" r:id="rId1"/>
  <tableParts count="9"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workbookViewId="0">
      <selection activeCell="AT1" sqref="AT1:AY1048576"/>
    </sheetView>
  </sheetViews>
  <sheetFormatPr defaultRowHeight="15" x14ac:dyDescent="0.25"/>
  <cols>
    <col min="1" max="1" width="8.28515625" customWidth="1"/>
    <col min="2" max="2" width="70.5703125" bestFit="1" customWidth="1"/>
    <col min="3" max="3" width="32.42578125" style="20" hidden="1" customWidth="1"/>
    <col min="4" max="4" width="16.5703125" customWidth="1"/>
    <col min="5" max="5" width="12.42578125" hidden="1" customWidth="1"/>
    <col min="6" max="6" width="55.5703125" hidden="1" customWidth="1"/>
    <col min="7" max="7" width="67.140625" hidden="1" customWidth="1"/>
    <col min="8" max="8" width="113.42578125" style="20" bestFit="1" customWidth="1"/>
    <col min="9" max="9" width="113.42578125" bestFit="1" customWidth="1"/>
  </cols>
  <sheetData>
    <row r="1" spans="1:8" x14ac:dyDescent="0.25">
      <c r="A1" s="20" t="s">
        <v>99</v>
      </c>
      <c r="B1" s="20" t="s">
        <v>279</v>
      </c>
      <c r="C1" s="20" t="s">
        <v>12</v>
      </c>
      <c r="D1" s="20" t="s">
        <v>280</v>
      </c>
      <c r="E1" s="20" t="s">
        <v>281</v>
      </c>
      <c r="F1" s="20" t="s">
        <v>282</v>
      </c>
      <c r="G1" s="20" t="s">
        <v>283</v>
      </c>
      <c r="H1" s="20" t="s">
        <v>284</v>
      </c>
    </row>
    <row r="2" spans="1:8" x14ac:dyDescent="0.25">
      <c r="A2" s="3">
        <f>IFERROR($A1+1,1)</f>
        <v>1</v>
      </c>
      <c r="B2" s="1" t="s">
        <v>492</v>
      </c>
      <c r="C2" s="6" t="str">
        <f>MID(MigrationRenamer[Filename],26,LEN(MigrationRenamer[Filename])-35)</f>
        <v>__groups</v>
      </c>
      <c r="D2" s="6" t="str">
        <f t="shared" ref="D2:D44" si="0">"2019_01_24_"</f>
        <v>2019_01_24_</v>
      </c>
      <c r="E2" s="6" t="str">
        <f>TEXT(MATCH(MigrationRenamer[[#This Row],[Table]],Tables[Table],0),"000000")</f>
        <v>000002</v>
      </c>
      <c r="F2" s="6" t="str">
        <f>RIGHT(MigrationRenamer[Filename],LEN(MigrationRenamer[Filename])-LEN(MigrationRenamer[Date Part])-LEN(MigrationRenamer[Sequence]))</f>
        <v>_create___groups_table.php</v>
      </c>
      <c r="G2" s="6" t="str">
        <f>MigrationRenamer[Date Part]&amp;MigrationRenamer[Sequence]&amp;MigrationRenamer[Name Part]</f>
        <v>2019_01_24_000002_create___groups_table.php</v>
      </c>
      <c r="H2" s="6" t="str">
        <f>IFERROR("ren "&amp;MigrationRenamer[Filename]&amp;" "&amp;MigrationRenamer[New Name],"del "&amp;MigrationRenamer[Filename])</f>
        <v>ren 2019_01_24_000002_create___groups_table.php 2019_01_24_000002_create___groups_table.php</v>
      </c>
    </row>
    <row r="3" spans="1:8" x14ac:dyDescent="0.25">
      <c r="A3" s="3">
        <f>IFERROR($A2+1,1)</f>
        <v>2</v>
      </c>
      <c r="B3" s="1" t="s">
        <v>493</v>
      </c>
      <c r="C3" s="6" t="str">
        <f>MID(MigrationRenamer[Filename],26,LEN(MigrationRenamer[Filename])-35)</f>
        <v>__group_users</v>
      </c>
      <c r="D3" s="6" t="str">
        <f t="shared" si="0"/>
        <v>2019_01_24_</v>
      </c>
      <c r="E3" s="6" t="str">
        <f>TEXT(MATCH(MigrationRenamer[[#This Row],[Table]],Tables[Table],0),"000000")</f>
        <v>000003</v>
      </c>
      <c r="F3" s="6" t="str">
        <f>RIGHT(MigrationRenamer[Filename],LEN(MigrationRenamer[Filename])-LEN(MigrationRenamer[Date Part])-LEN(MigrationRenamer[Sequence]))</f>
        <v>_create___group_users_table.php</v>
      </c>
      <c r="G3" s="6" t="str">
        <f>MigrationRenamer[Date Part]&amp;MigrationRenamer[Sequence]&amp;MigrationRenamer[Name Part]</f>
        <v>2019_01_24_000003_create___group_users_table.php</v>
      </c>
      <c r="H3" s="6" t="str">
        <f>IFERROR("ren "&amp;MigrationRenamer[Filename]&amp;" "&amp;MigrationRenamer[New Name],"del "&amp;MigrationRenamer[Filename])</f>
        <v>ren 2019_01_24_000003_create___group_users_table.php 2019_01_24_000003_create___group_users_table.php</v>
      </c>
    </row>
    <row r="4" spans="1:8" x14ac:dyDescent="0.25">
      <c r="A4" s="3">
        <f t="shared" ref="A4:A42" si="1">IFERROR($A3+1,1)</f>
        <v>3</v>
      </c>
      <c r="B4" s="1" t="s">
        <v>494</v>
      </c>
      <c r="C4" s="6" t="str">
        <f>MID(MigrationRenamer[Filename],26,LEN(MigrationRenamer[Filename])-35)</f>
        <v>__roles</v>
      </c>
      <c r="D4" s="6" t="str">
        <f t="shared" si="0"/>
        <v>2019_01_24_</v>
      </c>
      <c r="E4" s="6" t="str">
        <f>TEXT(MATCH(MigrationRenamer[[#This Row],[Table]],Tables[Table],0),"000000")</f>
        <v>000004</v>
      </c>
      <c r="F4" s="6" t="str">
        <f>RIGHT(MigrationRenamer[Filename],LEN(MigrationRenamer[Filename])-LEN(MigrationRenamer[Date Part])-LEN(MigrationRenamer[Sequence]))</f>
        <v>_create___roles_table.php</v>
      </c>
      <c r="G4" s="6" t="str">
        <f>MigrationRenamer[Date Part]&amp;MigrationRenamer[Sequence]&amp;MigrationRenamer[Name Part]</f>
        <v>2019_01_24_000004_create___roles_table.php</v>
      </c>
      <c r="H4" s="6" t="str">
        <f>IFERROR("ren "&amp;MigrationRenamer[Filename]&amp;" "&amp;MigrationRenamer[New Name],"del "&amp;MigrationRenamer[Filename])</f>
        <v>ren 2019_01_24_000004_create___roles_table.php 2019_01_24_000004_create___roles_table.php</v>
      </c>
    </row>
    <row r="5" spans="1:8" x14ac:dyDescent="0.25">
      <c r="A5" s="3">
        <f t="shared" si="1"/>
        <v>4</v>
      </c>
      <c r="B5" s="1" t="s">
        <v>495</v>
      </c>
      <c r="C5" s="6" t="str">
        <f>MID(MigrationRenamer[Filename],26,LEN(MigrationRenamer[Filename])-35)</f>
        <v>__group_roles</v>
      </c>
      <c r="D5" s="6" t="str">
        <f t="shared" si="0"/>
        <v>2019_01_24_</v>
      </c>
      <c r="E5" s="6" t="str">
        <f>TEXT(MATCH(MigrationRenamer[[#This Row],[Table]],Tables[Table],0),"000000")</f>
        <v>000005</v>
      </c>
      <c r="F5" s="6" t="str">
        <f>RIGHT(MigrationRenamer[Filename],LEN(MigrationRenamer[Filename])-LEN(MigrationRenamer[Date Part])-LEN(MigrationRenamer[Sequence]))</f>
        <v>_create___group_roles_table.php</v>
      </c>
      <c r="G5" s="6" t="str">
        <f>MigrationRenamer[Date Part]&amp;MigrationRenamer[Sequence]&amp;MigrationRenamer[Name Part]</f>
        <v>2019_01_24_000005_create___group_roles_table.php</v>
      </c>
      <c r="H5" s="6" t="str">
        <f>IFERROR("ren "&amp;MigrationRenamer[Filename]&amp;" "&amp;MigrationRenamer[New Name],"del "&amp;MigrationRenamer[Filename])</f>
        <v>ren 2019_01_24_000005_create___group_roles_table.php 2019_01_24_000005_create___group_roles_table.php</v>
      </c>
    </row>
    <row r="6" spans="1:8" x14ac:dyDescent="0.25">
      <c r="A6" s="3">
        <f t="shared" si="1"/>
        <v>5</v>
      </c>
      <c r="B6" s="1" t="s">
        <v>496</v>
      </c>
      <c r="C6" s="6" t="str">
        <f>MID(MigrationRenamer[Filename],26,LEN(MigrationRenamer[Filename])-35)</f>
        <v>__resources</v>
      </c>
      <c r="D6" s="6" t="str">
        <f t="shared" si="0"/>
        <v>2019_01_24_</v>
      </c>
      <c r="E6" s="6" t="str">
        <f>TEXT(MATCH(MigrationRenamer[[#This Row],[Table]],Tables[Table],0),"000000")</f>
        <v>000006</v>
      </c>
      <c r="F6" s="6" t="str">
        <f>RIGHT(MigrationRenamer[Filename],LEN(MigrationRenamer[Filename])-LEN(MigrationRenamer[Date Part])-LEN(MigrationRenamer[Sequence]))</f>
        <v>_create___resources_table.php</v>
      </c>
      <c r="G6" s="6" t="str">
        <f>MigrationRenamer[Date Part]&amp;MigrationRenamer[Sequence]&amp;MigrationRenamer[Name Part]</f>
        <v>2019_01_24_000006_create___resources_table.php</v>
      </c>
      <c r="H6" s="6" t="str">
        <f>IFERROR("ren "&amp;MigrationRenamer[Filename]&amp;" "&amp;MigrationRenamer[New Name],"del "&amp;MigrationRenamer[Filename])</f>
        <v>ren 2019_01_24_000006_create___resources_table.php 2019_01_24_000006_create___resources_table.php</v>
      </c>
    </row>
    <row r="7" spans="1:8" x14ac:dyDescent="0.25">
      <c r="A7" s="3">
        <f t="shared" si="1"/>
        <v>6</v>
      </c>
      <c r="B7" s="1" t="s">
        <v>497</v>
      </c>
      <c r="C7" s="6" t="str">
        <f>MID(MigrationRenamer[Filename],26,LEN(MigrationRenamer[Filename])-35)</f>
        <v>__resource_roles</v>
      </c>
      <c r="D7" s="6" t="str">
        <f t="shared" si="0"/>
        <v>2019_01_24_</v>
      </c>
      <c r="E7" s="6" t="str">
        <f>TEXT(MATCH(MigrationRenamer[[#This Row],[Table]],Tables[Table],0),"000000")</f>
        <v>000007</v>
      </c>
      <c r="F7" s="6" t="str">
        <f>RIGHT(MigrationRenamer[Filename],LEN(MigrationRenamer[Filename])-LEN(MigrationRenamer[Date Part])-LEN(MigrationRenamer[Sequence]))</f>
        <v>_create___resource_roles_table.php</v>
      </c>
      <c r="G7" s="6" t="str">
        <f>MigrationRenamer[Date Part]&amp;MigrationRenamer[Sequence]&amp;MigrationRenamer[Name Part]</f>
        <v>2019_01_24_000007_create___resource_roles_table.php</v>
      </c>
      <c r="H7" s="6" t="str">
        <f>IFERROR("ren "&amp;MigrationRenamer[Filename]&amp;" "&amp;MigrationRenamer[New Name],"del "&amp;MigrationRenamer[Filename])</f>
        <v>ren 2019_01_24_000007_create___resource_roles_table.php 2019_01_24_000007_create___resource_roles_table.php</v>
      </c>
    </row>
    <row r="8" spans="1:8" x14ac:dyDescent="0.25">
      <c r="A8" s="3">
        <f t="shared" si="1"/>
        <v>7</v>
      </c>
      <c r="B8" s="1" t="s">
        <v>498</v>
      </c>
      <c r="C8" s="6" t="str">
        <f>MID(MigrationRenamer[Filename],26,LEN(MigrationRenamer[Filename])-35)</f>
        <v>__resource_relations</v>
      </c>
      <c r="D8" s="6" t="str">
        <f t="shared" si="0"/>
        <v>2019_01_24_</v>
      </c>
      <c r="E8" s="6" t="str">
        <f>TEXT(MATCH(MigrationRenamer[[#This Row],[Table]],Tables[Table],0),"000000")</f>
        <v>000008</v>
      </c>
      <c r="F8" s="6" t="str">
        <f>RIGHT(MigrationRenamer[Filename],LEN(MigrationRenamer[Filename])-LEN(MigrationRenamer[Date Part])-LEN(MigrationRenamer[Sequence]))</f>
        <v>_create___resource_relations_table.php</v>
      </c>
      <c r="G8" s="6" t="str">
        <f>MigrationRenamer[Date Part]&amp;MigrationRenamer[Sequence]&amp;MigrationRenamer[Name Part]</f>
        <v>2019_01_24_000008_create___resource_relations_table.php</v>
      </c>
      <c r="H8" s="6" t="str">
        <f>IFERROR("ren "&amp;MigrationRenamer[Filename]&amp;" "&amp;MigrationRenamer[New Name],"del "&amp;MigrationRenamer[Filename])</f>
        <v>ren 2019_01_24_000008_create___resource_relations_table.php 2019_01_24_000008_create___resource_relations_table.php</v>
      </c>
    </row>
    <row r="9" spans="1:8" x14ac:dyDescent="0.25">
      <c r="A9" s="3">
        <f t="shared" si="1"/>
        <v>8</v>
      </c>
      <c r="B9" s="1" t="s">
        <v>499</v>
      </c>
      <c r="C9" s="6" t="str">
        <f>MID(MigrationRenamer[Filename],26,LEN(MigrationRenamer[Filename])-35)</f>
        <v>__resource_scopes</v>
      </c>
      <c r="D9" s="6" t="str">
        <f t="shared" si="0"/>
        <v>2019_01_24_</v>
      </c>
      <c r="E9" s="6" t="str">
        <f>TEXT(MATCH(MigrationRenamer[[#This Row],[Table]],Tables[Table],0),"000000")</f>
        <v>000009</v>
      </c>
      <c r="F9" s="6" t="str">
        <f>RIGHT(MigrationRenamer[Filename],LEN(MigrationRenamer[Filename])-LEN(MigrationRenamer[Date Part])-LEN(MigrationRenamer[Sequence]))</f>
        <v>_create___resource_scopes_table.php</v>
      </c>
      <c r="G9" s="6" t="str">
        <f>MigrationRenamer[Date Part]&amp;MigrationRenamer[Sequence]&amp;MigrationRenamer[Name Part]</f>
        <v>2019_01_24_000009_create___resource_scopes_table.php</v>
      </c>
      <c r="H9" s="6" t="str">
        <f>IFERROR("ren "&amp;MigrationRenamer[Filename]&amp;" "&amp;MigrationRenamer[New Name],"del "&amp;MigrationRenamer[Filename])</f>
        <v>ren 2019_01_24_000009_create___resource_scopes_table.php 2019_01_24_000009_create___resource_scopes_table.php</v>
      </c>
    </row>
    <row r="10" spans="1:8" x14ac:dyDescent="0.25">
      <c r="A10" s="3">
        <f t="shared" si="1"/>
        <v>9</v>
      </c>
      <c r="B10" s="1" t="s">
        <v>500</v>
      </c>
      <c r="C10" s="6" t="str">
        <f>MID(MigrationRenamer[Filename],26,LEN(MigrationRenamer[Filename])-35)</f>
        <v>__resource_forms</v>
      </c>
      <c r="D10" s="6" t="str">
        <f t="shared" si="0"/>
        <v>2019_01_24_</v>
      </c>
      <c r="E10" s="6" t="str">
        <f>TEXT(MATCH(MigrationRenamer[[#This Row],[Table]],Tables[Table],0),"000000")</f>
        <v>000010</v>
      </c>
      <c r="F10" s="6" t="str">
        <f>RIGHT(MigrationRenamer[Filename],LEN(MigrationRenamer[Filename])-LEN(MigrationRenamer[Date Part])-LEN(MigrationRenamer[Sequence]))</f>
        <v>_create___resource_forms_table.php</v>
      </c>
      <c r="G10" s="6" t="str">
        <f>MigrationRenamer[Date Part]&amp;MigrationRenamer[Sequence]&amp;MigrationRenamer[Name Part]</f>
        <v>2019_01_24_000010_create___resource_forms_table.php</v>
      </c>
      <c r="H10" s="6" t="str">
        <f>IFERROR("ren "&amp;MigrationRenamer[Filename]&amp;" "&amp;MigrationRenamer[New Name],"del "&amp;MigrationRenamer[Filename])</f>
        <v>ren 2019_01_24_000010_create___resource_forms_table.php 2019_01_24_000010_create___resource_forms_table.php</v>
      </c>
    </row>
    <row r="11" spans="1:8" x14ac:dyDescent="0.25">
      <c r="A11" s="3">
        <f t="shared" si="1"/>
        <v>10</v>
      </c>
      <c r="B11" s="1" t="s">
        <v>501</v>
      </c>
      <c r="C11" s="6" t="str">
        <f>MID(MigrationRenamer[Filename],26,LEN(MigrationRenamer[Filename])-35)</f>
        <v>__resource_form_fields</v>
      </c>
      <c r="D11" s="6" t="str">
        <f t="shared" si="0"/>
        <v>2019_01_24_</v>
      </c>
      <c r="E11" s="6" t="str">
        <f>TEXT(MATCH(MigrationRenamer[[#This Row],[Table]],Tables[Table],0),"000000")</f>
        <v>000011</v>
      </c>
      <c r="F11" s="6" t="str">
        <f>RIGHT(MigrationRenamer[Filename],LEN(MigrationRenamer[Filename])-LEN(MigrationRenamer[Date Part])-LEN(MigrationRenamer[Sequence]))</f>
        <v>_create___resource_form_fields_table.php</v>
      </c>
      <c r="G11" s="6" t="str">
        <f>MigrationRenamer[Date Part]&amp;MigrationRenamer[Sequence]&amp;MigrationRenamer[Name Part]</f>
        <v>2019_01_24_000011_create___resource_form_fields_table.php</v>
      </c>
      <c r="H11" s="6" t="str">
        <f>IFERROR("ren "&amp;MigrationRenamer[Filename]&amp;" "&amp;MigrationRenamer[New Name],"del "&amp;MigrationRenamer[Filename])</f>
        <v>ren 2019_01_24_000011_create___resource_form_fields_table.php 2019_01_24_000011_create___resource_form_fields_table.php</v>
      </c>
    </row>
    <row r="12" spans="1:8" x14ac:dyDescent="0.25">
      <c r="A12" s="3">
        <f t="shared" si="1"/>
        <v>11</v>
      </c>
      <c r="B12" s="1" t="s">
        <v>502</v>
      </c>
      <c r="C12" s="6" t="str">
        <f>MID(MigrationRenamer[Filename],26,LEN(MigrationRenamer[Filename])-35)</f>
        <v>__resource_form_field_attrs</v>
      </c>
      <c r="D12" s="6" t="str">
        <f t="shared" si="0"/>
        <v>2019_01_24_</v>
      </c>
      <c r="E12" s="6" t="str">
        <f>TEXT(MATCH(MigrationRenamer[[#This Row],[Table]],Tables[Table],0),"000000")</f>
        <v>000012</v>
      </c>
      <c r="F12" s="6" t="str">
        <f>RIGHT(MigrationRenamer[Filename],LEN(MigrationRenamer[Filename])-LEN(MigrationRenamer[Date Part])-LEN(MigrationRenamer[Sequence]))</f>
        <v>_create___resource_form_field_attrs_table.php</v>
      </c>
      <c r="G12" s="6" t="str">
        <f>MigrationRenamer[Date Part]&amp;MigrationRenamer[Sequence]&amp;MigrationRenamer[Name Part]</f>
        <v>2019_01_24_000012_create___resource_form_field_attrs_table.php</v>
      </c>
      <c r="H12" s="6" t="str">
        <f>IFERROR("ren "&amp;MigrationRenamer[Filename]&amp;" "&amp;MigrationRenamer[New Name],"del "&amp;MigrationRenamer[Filename])</f>
        <v>ren 2019_01_24_000012_create___resource_form_field_attrs_table.php 2019_01_24_000012_create___resource_form_field_attrs_table.php</v>
      </c>
    </row>
    <row r="13" spans="1:8" x14ac:dyDescent="0.25">
      <c r="A13" s="3">
        <f t="shared" si="1"/>
        <v>12</v>
      </c>
      <c r="B13" s="1" t="s">
        <v>503</v>
      </c>
      <c r="C13" s="6" t="str">
        <f>MID(MigrationRenamer[Filename],26,LEN(MigrationRenamer[Filename])-35)</f>
        <v>__resource_form_field_data</v>
      </c>
      <c r="D13" s="6" t="str">
        <f t="shared" si="0"/>
        <v>2019_01_24_</v>
      </c>
      <c r="E13" s="6" t="str">
        <f>TEXT(MATCH(MigrationRenamer[[#This Row],[Table]],Tables[Table],0),"000000")</f>
        <v>000013</v>
      </c>
      <c r="F13" s="6" t="str">
        <f>RIGHT(MigrationRenamer[Filename],LEN(MigrationRenamer[Filename])-LEN(MigrationRenamer[Date Part])-LEN(MigrationRenamer[Sequence]))</f>
        <v>_create___resource_form_field_data_table.php</v>
      </c>
      <c r="G13" s="6" t="str">
        <f>MigrationRenamer[Date Part]&amp;MigrationRenamer[Sequence]&amp;MigrationRenamer[Name Part]</f>
        <v>2019_01_24_000013_create___resource_form_field_data_table.php</v>
      </c>
      <c r="H13" s="6" t="str">
        <f>IFERROR("ren "&amp;MigrationRenamer[Filename]&amp;" "&amp;MigrationRenamer[New Name],"del "&amp;MigrationRenamer[Filename])</f>
        <v>ren 2019_01_24_000013_create___resource_form_field_data_table.php 2019_01_24_000013_create___resource_form_field_data_table.php</v>
      </c>
    </row>
    <row r="14" spans="1:8" x14ac:dyDescent="0.25">
      <c r="A14" s="3">
        <f t="shared" si="1"/>
        <v>13</v>
      </c>
      <c r="B14" s="1" t="s">
        <v>504</v>
      </c>
      <c r="C14" s="6" t="str">
        <f>MID(MigrationRenamer[Filename],26,LEN(MigrationRenamer[Filename])-35)</f>
        <v>__resource_form_field_validations</v>
      </c>
      <c r="D14" s="6" t="str">
        <f t="shared" si="0"/>
        <v>2019_01_24_</v>
      </c>
      <c r="E14" s="6" t="str">
        <f>TEXT(MATCH(MigrationRenamer[[#This Row],[Table]],Tables[Table],0),"000000")</f>
        <v>000014</v>
      </c>
      <c r="F14" s="6" t="str">
        <f>RIGHT(MigrationRenamer[Filename],LEN(MigrationRenamer[Filename])-LEN(MigrationRenamer[Date Part])-LEN(MigrationRenamer[Sequence]))</f>
        <v>_create___resource_form_field_validations_table.php</v>
      </c>
      <c r="G14" s="6" t="str">
        <f>MigrationRenamer[Date Part]&amp;MigrationRenamer[Sequence]&amp;MigrationRenamer[Name Part]</f>
        <v>2019_01_24_000014_create___resource_form_field_validations_table.php</v>
      </c>
      <c r="H14" s="6" t="str">
        <f>IFERROR("ren "&amp;MigrationRenamer[Filename]&amp;" "&amp;MigrationRenamer[New Name],"del "&amp;MigrationRenamer[Filename])</f>
        <v>ren 2019_01_24_000014_create___resource_form_field_validations_table.php 2019_01_24_000014_create___resource_form_field_validations_table.php</v>
      </c>
    </row>
    <row r="15" spans="1:8" x14ac:dyDescent="0.25">
      <c r="A15" s="3">
        <f t="shared" si="1"/>
        <v>14</v>
      </c>
      <c r="B15" s="1" t="s">
        <v>505</v>
      </c>
      <c r="C15" s="6" t="str">
        <f>MID(MigrationRenamer[Filename],26,LEN(MigrationRenamer[Filename])-35)</f>
        <v>__resource_form_field_options</v>
      </c>
      <c r="D15" s="6" t="str">
        <f t="shared" si="0"/>
        <v>2019_01_24_</v>
      </c>
      <c r="E15" s="6" t="str">
        <f>TEXT(MATCH(MigrationRenamer[[#This Row],[Table]],Tables[Table],0),"000000")</f>
        <v>000015</v>
      </c>
      <c r="F15" s="6" t="str">
        <f>RIGHT(MigrationRenamer[Filename],LEN(MigrationRenamer[Filename])-LEN(MigrationRenamer[Date Part])-LEN(MigrationRenamer[Sequence]))</f>
        <v>_create___resource_form_field_options_table.php</v>
      </c>
      <c r="G15" s="6" t="str">
        <f>MigrationRenamer[Date Part]&amp;MigrationRenamer[Sequence]&amp;MigrationRenamer[Name Part]</f>
        <v>2019_01_24_000015_create___resource_form_field_options_table.php</v>
      </c>
      <c r="H15" s="6" t="str">
        <f>IFERROR("ren "&amp;MigrationRenamer[Filename]&amp;" "&amp;MigrationRenamer[New Name],"del "&amp;MigrationRenamer[Filename])</f>
        <v>ren 2019_01_24_000015_create___resource_form_field_options_table.php 2019_01_24_000015_create___resource_form_field_options_table.php</v>
      </c>
    </row>
    <row r="16" spans="1:8" x14ac:dyDescent="0.25">
      <c r="A16" s="3">
        <f t="shared" si="1"/>
        <v>15</v>
      </c>
      <c r="B16" s="1" t="s">
        <v>506</v>
      </c>
      <c r="C16" s="6" t="str">
        <f>MID(MigrationRenamer[Filename],26,LEN(MigrationRenamer[Filename])-35)</f>
        <v>__resource_form_field_depends</v>
      </c>
      <c r="D16" s="6" t="str">
        <f t="shared" si="0"/>
        <v>2019_01_24_</v>
      </c>
      <c r="E16" s="6" t="str">
        <f>TEXT(MATCH(MigrationRenamer[[#This Row],[Table]],Tables[Table],0),"000000")</f>
        <v>000016</v>
      </c>
      <c r="F16" s="6" t="str">
        <f>RIGHT(MigrationRenamer[Filename],LEN(MigrationRenamer[Filename])-LEN(MigrationRenamer[Date Part])-LEN(MigrationRenamer[Sequence]))</f>
        <v>_create___resource_form_field_depends_table.php</v>
      </c>
      <c r="G16" s="6" t="str">
        <f>MigrationRenamer[Date Part]&amp;MigrationRenamer[Sequence]&amp;MigrationRenamer[Name Part]</f>
        <v>2019_01_24_000016_create___resource_form_field_depends_table.php</v>
      </c>
      <c r="H16" s="6" t="str">
        <f>IFERROR("ren "&amp;MigrationRenamer[Filename]&amp;" "&amp;MigrationRenamer[New Name],"del "&amp;MigrationRenamer[Filename])</f>
        <v>ren 2019_01_24_000016_create___resource_form_field_depends_table.php 2019_01_24_000016_create___resource_form_field_depends_table.php</v>
      </c>
    </row>
    <row r="17" spans="1:8" x14ac:dyDescent="0.25">
      <c r="A17" s="3">
        <f t="shared" si="1"/>
        <v>16</v>
      </c>
      <c r="B17" s="1" t="s">
        <v>507</v>
      </c>
      <c r="C17" s="6" t="str">
        <f>MID(MigrationRenamer[Filename],26,LEN(MigrationRenamer[Filename])-35)</f>
        <v>__resource_form_field_dynamic</v>
      </c>
      <c r="D17" s="6" t="str">
        <f t="shared" si="0"/>
        <v>2019_01_24_</v>
      </c>
      <c r="E17" s="6" t="str">
        <f>TEXT(MATCH(MigrationRenamer[[#This Row],[Table]],Tables[Table],0),"000000")</f>
        <v>000017</v>
      </c>
      <c r="F17" s="6" t="str">
        <f>RIGHT(MigrationRenamer[Filename],LEN(MigrationRenamer[Filename])-LEN(MigrationRenamer[Date Part])-LEN(MigrationRenamer[Sequence]))</f>
        <v>_create___resource_form_field_dynamic_table.php</v>
      </c>
      <c r="G17" s="6" t="str">
        <f>MigrationRenamer[Date Part]&amp;MigrationRenamer[Sequence]&amp;MigrationRenamer[Name Part]</f>
        <v>2019_01_24_000017_create___resource_form_field_dynamic_table.php</v>
      </c>
      <c r="H17" s="6" t="str">
        <f>IFERROR("ren "&amp;MigrationRenamer[Filename]&amp;" "&amp;MigrationRenamer[New Name],"del "&amp;MigrationRenamer[Filename])</f>
        <v>ren 2019_01_24_000017_create___resource_form_field_dynamic_table.php 2019_01_24_000017_create___resource_form_field_dynamic_table.php</v>
      </c>
    </row>
    <row r="18" spans="1:8" x14ac:dyDescent="0.25">
      <c r="A18" s="3">
        <f t="shared" si="1"/>
        <v>17</v>
      </c>
      <c r="B18" s="1" t="s">
        <v>508</v>
      </c>
      <c r="C18" s="6" t="str">
        <f>MID(MigrationRenamer[Filename],26,LEN(MigrationRenamer[Filename])-35)</f>
        <v>__resource_form_layout</v>
      </c>
      <c r="D18" s="6" t="str">
        <f t="shared" si="0"/>
        <v>2019_01_24_</v>
      </c>
      <c r="E18" s="6" t="str">
        <f>TEXT(MATCH(MigrationRenamer[[#This Row],[Table]],Tables[Table],0),"000000")</f>
        <v>000018</v>
      </c>
      <c r="F18" s="6" t="str">
        <f>RIGHT(MigrationRenamer[Filename],LEN(MigrationRenamer[Filename])-LEN(MigrationRenamer[Date Part])-LEN(MigrationRenamer[Sequence]))</f>
        <v>_create___resource_form_layout_table.php</v>
      </c>
      <c r="G18" s="6" t="str">
        <f>MigrationRenamer[Date Part]&amp;MigrationRenamer[Sequence]&amp;MigrationRenamer[Name Part]</f>
        <v>2019_01_24_000018_create___resource_form_layout_table.php</v>
      </c>
      <c r="H18" s="6" t="str">
        <f>IFERROR("ren "&amp;MigrationRenamer[Filename]&amp;" "&amp;MigrationRenamer[New Name],"del "&amp;MigrationRenamer[Filename])</f>
        <v>ren 2019_01_24_000018_create___resource_form_layout_table.php 2019_01_24_000018_create___resource_form_layout_table.php</v>
      </c>
    </row>
    <row r="19" spans="1:8" x14ac:dyDescent="0.25">
      <c r="A19" s="3">
        <f t="shared" si="1"/>
        <v>18</v>
      </c>
      <c r="B19" s="1" t="s">
        <v>509</v>
      </c>
      <c r="C19" s="6" t="str">
        <f>MID(MigrationRenamer[Filename],26,LEN(MigrationRenamer[Filename])-35)</f>
        <v>__resource_form_data_map</v>
      </c>
      <c r="D19" s="6" t="str">
        <f t="shared" si="0"/>
        <v>2019_01_24_</v>
      </c>
      <c r="E19" s="6" t="str">
        <f>TEXT(MATCH(MigrationRenamer[[#This Row],[Table]],Tables[Table],0),"000000")</f>
        <v>000032</v>
      </c>
      <c r="F19" s="6" t="str">
        <f>RIGHT(MigrationRenamer[Filename],LEN(MigrationRenamer[Filename])-LEN(MigrationRenamer[Date Part])-LEN(MigrationRenamer[Sequence]))</f>
        <v>_create___resource_form_data_map_table.php</v>
      </c>
      <c r="G19" s="6" t="str">
        <f>MigrationRenamer[Date Part]&amp;MigrationRenamer[Sequence]&amp;MigrationRenamer[Name Part]</f>
        <v>2019_01_24_000032_create___resource_form_data_map_table.php</v>
      </c>
      <c r="H19" s="6" t="str">
        <f>IFERROR("ren "&amp;MigrationRenamer[Filename]&amp;" "&amp;MigrationRenamer[New Name],"del "&amp;MigrationRenamer[Filename])</f>
        <v>ren 2019_01_24_000019_create___resource_form_data_map_table.php 2019_01_24_000032_create___resource_form_data_map_table.php</v>
      </c>
    </row>
    <row r="20" spans="1:8" x14ac:dyDescent="0.25">
      <c r="A20" s="3">
        <f t="shared" si="1"/>
        <v>19</v>
      </c>
      <c r="B20" s="1" t="s">
        <v>510</v>
      </c>
      <c r="C20" s="6" t="str">
        <f>MID(MigrationRenamer[Filename],26,LEN(MigrationRenamer[Filename])-35)</f>
        <v>__resource_form_collection</v>
      </c>
      <c r="D20" s="6" t="str">
        <f t="shared" si="0"/>
        <v>2019_01_24_</v>
      </c>
      <c r="E20" s="6" t="str">
        <f>TEXT(MATCH(MigrationRenamer[[#This Row],[Table]],Tables[Table],0),"000000")</f>
        <v>000019</v>
      </c>
      <c r="F20" s="6" t="str">
        <f>RIGHT(MigrationRenamer[Filename],LEN(MigrationRenamer[Filename])-LEN(MigrationRenamer[Date Part])-LEN(MigrationRenamer[Sequence]))</f>
        <v>_create___resource_form_collection_table.php</v>
      </c>
      <c r="G20" s="6" t="str">
        <f>MigrationRenamer[Date Part]&amp;MigrationRenamer[Sequence]&amp;MigrationRenamer[Name Part]</f>
        <v>2019_01_24_000019_create___resource_form_collection_table.php</v>
      </c>
      <c r="H20" s="6" t="str">
        <f>IFERROR("ren "&amp;MigrationRenamer[Filename]&amp;" "&amp;MigrationRenamer[New Name],"del "&amp;MigrationRenamer[Filename])</f>
        <v>ren 2019_01_24_000020_create___resource_form_collection_table.php 2019_01_24_000019_create___resource_form_collection_table.php</v>
      </c>
    </row>
    <row r="21" spans="1:8" x14ac:dyDescent="0.25">
      <c r="A21" s="3">
        <f t="shared" si="1"/>
        <v>20</v>
      </c>
      <c r="B21" s="1" t="s">
        <v>511</v>
      </c>
      <c r="C21" s="6" t="str">
        <f>MID(MigrationRenamer[Filename],26,LEN(MigrationRenamer[Filename])-35)</f>
        <v>__resource_form_upload</v>
      </c>
      <c r="D21" s="6" t="str">
        <f t="shared" si="0"/>
        <v>2019_01_24_</v>
      </c>
      <c r="E21" s="6" t="str">
        <f>TEXT(MATCH(MigrationRenamer[[#This Row],[Table]],Tables[Table],0),"000000")</f>
        <v>000020</v>
      </c>
      <c r="F21" s="6" t="str">
        <f>RIGHT(MigrationRenamer[Filename],LEN(MigrationRenamer[Filename])-LEN(MigrationRenamer[Date Part])-LEN(MigrationRenamer[Sequence]))</f>
        <v>_create___resource_form_upload_table.php</v>
      </c>
      <c r="G21" s="6" t="str">
        <f>MigrationRenamer[Date Part]&amp;MigrationRenamer[Sequence]&amp;MigrationRenamer[Name Part]</f>
        <v>2019_01_24_000020_create___resource_form_upload_table.php</v>
      </c>
      <c r="H21" s="6" t="str">
        <f>IFERROR("ren "&amp;MigrationRenamer[Filename]&amp;" "&amp;MigrationRenamer[New Name],"del "&amp;MigrationRenamer[Filename])</f>
        <v>ren 2019_01_24_000021_create___resource_form_upload_table.php 2019_01_24_000020_create___resource_form_upload_table.php</v>
      </c>
    </row>
    <row r="22" spans="1:8" x14ac:dyDescent="0.25">
      <c r="A22" s="3">
        <f t="shared" si="1"/>
        <v>21</v>
      </c>
      <c r="B22" s="1" t="s">
        <v>512</v>
      </c>
      <c r="C22" s="6" t="str">
        <f>MID(MigrationRenamer[Filename],26,LEN(MigrationRenamer[Filename])-35)</f>
        <v>__resource_form_defaults</v>
      </c>
      <c r="D22" s="6" t="str">
        <f t="shared" si="0"/>
        <v>2019_01_24_</v>
      </c>
      <c r="E22" s="6" t="str">
        <f>TEXT(MATCH(MigrationRenamer[[#This Row],[Table]],Tables[Table],0),"000000")</f>
        <v>000021</v>
      </c>
      <c r="F22" s="6" t="str">
        <f>RIGHT(MigrationRenamer[Filename],LEN(MigrationRenamer[Filename])-LEN(MigrationRenamer[Date Part])-LEN(MigrationRenamer[Sequence]))</f>
        <v>_create___resource_form_defaults_table.php</v>
      </c>
      <c r="G22" s="6" t="str">
        <f>MigrationRenamer[Date Part]&amp;MigrationRenamer[Sequence]&amp;MigrationRenamer[Name Part]</f>
        <v>2019_01_24_000021_create___resource_form_defaults_table.php</v>
      </c>
      <c r="H22" s="6" t="str">
        <f>IFERROR("ren "&amp;MigrationRenamer[Filename]&amp;" "&amp;MigrationRenamer[New Name],"del "&amp;MigrationRenamer[Filename])</f>
        <v>ren 2019_01_24_000022_create___resource_form_defaults_table.php 2019_01_24_000021_create___resource_form_defaults_table.php</v>
      </c>
    </row>
    <row r="23" spans="1:8" x14ac:dyDescent="0.25">
      <c r="A23" s="3">
        <f t="shared" si="1"/>
        <v>22</v>
      </c>
      <c r="B23" s="1" t="s">
        <v>513</v>
      </c>
      <c r="C23" s="6" t="str">
        <f>MID(MigrationRenamer[Filename],26,LEN(MigrationRenamer[Filename])-35)</f>
        <v>__resource_lists</v>
      </c>
      <c r="D23" s="6" t="str">
        <f t="shared" si="0"/>
        <v>2019_01_24_</v>
      </c>
      <c r="E23" s="6" t="str">
        <f>TEXT(MATCH(MigrationRenamer[[#This Row],[Table]],Tables[Table],0),"000000")</f>
        <v>000022</v>
      </c>
      <c r="F23" s="6" t="str">
        <f>RIGHT(MigrationRenamer[Filename],LEN(MigrationRenamer[Filename])-LEN(MigrationRenamer[Date Part])-LEN(MigrationRenamer[Sequence]))</f>
        <v>_create___resource_lists_table.php</v>
      </c>
      <c r="G23" s="6" t="str">
        <f>MigrationRenamer[Date Part]&amp;MigrationRenamer[Sequence]&amp;MigrationRenamer[Name Part]</f>
        <v>2019_01_24_000022_create___resource_lists_table.php</v>
      </c>
      <c r="H23" s="6" t="str">
        <f>IFERROR("ren "&amp;MigrationRenamer[Filename]&amp;" "&amp;MigrationRenamer[New Name],"del "&amp;MigrationRenamer[Filename])</f>
        <v>ren 2019_01_24_000023_create___resource_lists_table.php 2019_01_24_000022_create___resource_lists_table.php</v>
      </c>
    </row>
    <row r="24" spans="1:8" x14ac:dyDescent="0.25">
      <c r="A24" s="3">
        <f t="shared" si="1"/>
        <v>23</v>
      </c>
      <c r="B24" s="1" t="s">
        <v>514</v>
      </c>
      <c r="C24" s="6" t="str">
        <f>MID(MigrationRenamer[Filename],26,LEN(MigrationRenamer[Filename])-35)</f>
        <v>__resource_list_relations</v>
      </c>
      <c r="D24" s="6" t="str">
        <f t="shared" si="0"/>
        <v>2019_01_24_</v>
      </c>
      <c r="E24" s="6" t="str">
        <f>TEXT(MATCH(MigrationRenamer[[#This Row],[Table]],Tables[Table],0),"000000")</f>
        <v>000023</v>
      </c>
      <c r="F24" s="6" t="str">
        <f>RIGHT(MigrationRenamer[Filename],LEN(MigrationRenamer[Filename])-LEN(MigrationRenamer[Date Part])-LEN(MigrationRenamer[Sequence]))</f>
        <v>_create___resource_list_relations_table.php</v>
      </c>
      <c r="G24" s="6" t="str">
        <f>MigrationRenamer[Date Part]&amp;MigrationRenamer[Sequence]&amp;MigrationRenamer[Name Part]</f>
        <v>2019_01_24_000023_create___resource_list_relations_table.php</v>
      </c>
      <c r="H24" s="6" t="str">
        <f>IFERROR("ren "&amp;MigrationRenamer[Filename]&amp;" "&amp;MigrationRenamer[New Name],"del "&amp;MigrationRenamer[Filename])</f>
        <v>ren 2019_01_24_000024_create___resource_list_relations_table.php 2019_01_24_000023_create___resource_list_relations_table.php</v>
      </c>
    </row>
    <row r="25" spans="1:8" x14ac:dyDescent="0.25">
      <c r="A25" s="3">
        <f t="shared" si="1"/>
        <v>24</v>
      </c>
      <c r="B25" s="1" t="s">
        <v>515</v>
      </c>
      <c r="C25" s="6" t="str">
        <f>MID(MigrationRenamer[Filename],26,LEN(MigrationRenamer[Filename])-35)</f>
        <v>__resource_list_scopes</v>
      </c>
      <c r="D25" s="6" t="str">
        <f t="shared" si="0"/>
        <v>2019_01_24_</v>
      </c>
      <c r="E25" s="6" t="str">
        <f>TEXT(MATCH(MigrationRenamer[[#This Row],[Table]],Tables[Table],0),"000000")</f>
        <v>000024</v>
      </c>
      <c r="F25" s="6" t="str">
        <f>RIGHT(MigrationRenamer[Filename],LEN(MigrationRenamer[Filename])-LEN(MigrationRenamer[Date Part])-LEN(MigrationRenamer[Sequence]))</f>
        <v>_create___resource_list_scopes_table.php</v>
      </c>
      <c r="G25" s="6" t="str">
        <f>MigrationRenamer[Date Part]&amp;MigrationRenamer[Sequence]&amp;MigrationRenamer[Name Part]</f>
        <v>2019_01_24_000024_create___resource_list_scopes_table.php</v>
      </c>
      <c r="H25" s="6" t="str">
        <f>IFERROR("ren "&amp;MigrationRenamer[Filename]&amp;" "&amp;MigrationRenamer[New Name],"del "&amp;MigrationRenamer[Filename])</f>
        <v>ren 2019_01_24_000025_create___resource_list_scopes_table.php 2019_01_24_000024_create___resource_list_scopes_table.php</v>
      </c>
    </row>
    <row r="26" spans="1:8" x14ac:dyDescent="0.25">
      <c r="A26" s="3">
        <f t="shared" si="1"/>
        <v>25</v>
      </c>
      <c r="B26" s="1" t="s">
        <v>516</v>
      </c>
      <c r="C26" s="6" t="str">
        <f>MID(MigrationRenamer[Filename],26,LEN(MigrationRenamer[Filename])-35)</f>
        <v>__resource_list_layout</v>
      </c>
      <c r="D26" s="6" t="str">
        <f t="shared" si="0"/>
        <v>2019_01_24_</v>
      </c>
      <c r="E26" s="6" t="str">
        <f>TEXT(MATCH(MigrationRenamer[[#This Row],[Table]],Tables[Table],0),"000000")</f>
        <v>000025</v>
      </c>
      <c r="F26" s="6" t="str">
        <f>RIGHT(MigrationRenamer[Filename],LEN(MigrationRenamer[Filename])-LEN(MigrationRenamer[Date Part])-LEN(MigrationRenamer[Sequence]))</f>
        <v>_create___resource_list_layout_table.php</v>
      </c>
      <c r="G26" s="6" t="str">
        <f>MigrationRenamer[Date Part]&amp;MigrationRenamer[Sequence]&amp;MigrationRenamer[Name Part]</f>
        <v>2019_01_24_000025_create___resource_list_layout_table.php</v>
      </c>
      <c r="H26" s="6" t="str">
        <f>IFERROR("ren "&amp;MigrationRenamer[Filename]&amp;" "&amp;MigrationRenamer[New Name],"del "&amp;MigrationRenamer[Filename])</f>
        <v>ren 2019_01_24_000026_create___resource_list_layout_table.php 2019_01_24_000025_create___resource_list_layout_table.php</v>
      </c>
    </row>
    <row r="27" spans="1:8" x14ac:dyDescent="0.25">
      <c r="A27" s="3">
        <f t="shared" si="1"/>
        <v>26</v>
      </c>
      <c r="B27" s="1" t="s">
        <v>517</v>
      </c>
      <c r="C27" s="6" t="str">
        <f>MID(MigrationRenamer[Filename],26,LEN(MigrationRenamer[Filename])-35)</f>
        <v>__resource_list_search</v>
      </c>
      <c r="D27" s="6" t="str">
        <f t="shared" si="0"/>
        <v>2019_01_24_</v>
      </c>
      <c r="E27" s="6" t="str">
        <f>TEXT(MATCH(MigrationRenamer[[#This Row],[Table]],Tables[Table],0),"000000")</f>
        <v>000026</v>
      </c>
      <c r="F27" s="6" t="str">
        <f>RIGHT(MigrationRenamer[Filename],LEN(MigrationRenamer[Filename])-LEN(MigrationRenamer[Date Part])-LEN(MigrationRenamer[Sequence]))</f>
        <v>_create___resource_list_search_table.php</v>
      </c>
      <c r="G27" s="6" t="str">
        <f>MigrationRenamer[Date Part]&amp;MigrationRenamer[Sequence]&amp;MigrationRenamer[Name Part]</f>
        <v>2019_01_24_000026_create___resource_list_search_table.php</v>
      </c>
      <c r="H27" s="6" t="str">
        <f>IFERROR("ren "&amp;MigrationRenamer[Filename]&amp;" "&amp;MigrationRenamer[New Name],"del "&amp;MigrationRenamer[Filename])</f>
        <v>ren 2019_01_24_000027_create___resource_list_search_table.php 2019_01_24_000026_create___resource_list_search_table.php</v>
      </c>
    </row>
    <row r="28" spans="1:8" x14ac:dyDescent="0.25">
      <c r="A28" s="3">
        <f t="shared" si="1"/>
        <v>27</v>
      </c>
      <c r="B28" s="1" t="s">
        <v>518</v>
      </c>
      <c r="C28" s="6" t="str">
        <f>MID(MigrationRenamer[Filename],26,LEN(MigrationRenamer[Filename])-35)</f>
        <v>__resource_data</v>
      </c>
      <c r="D28" s="6" t="str">
        <f t="shared" si="0"/>
        <v>2019_01_24_</v>
      </c>
      <c r="E28" s="6" t="str">
        <f>TEXT(MATCH(MigrationRenamer[[#This Row],[Table]],Tables[Table],0),"000000")</f>
        <v>000027</v>
      </c>
      <c r="F28" s="6" t="str">
        <f>RIGHT(MigrationRenamer[Filename],LEN(MigrationRenamer[Filename])-LEN(MigrationRenamer[Date Part])-LEN(MigrationRenamer[Sequence]))</f>
        <v>_create___resource_data_table.php</v>
      </c>
      <c r="G28" s="6" t="str">
        <f>MigrationRenamer[Date Part]&amp;MigrationRenamer[Sequence]&amp;MigrationRenamer[Name Part]</f>
        <v>2019_01_24_000027_create___resource_data_table.php</v>
      </c>
      <c r="H28" s="6" t="str">
        <f>IFERROR("ren "&amp;MigrationRenamer[Filename]&amp;" "&amp;MigrationRenamer[New Name],"del "&amp;MigrationRenamer[Filename])</f>
        <v>ren 2019_01_24_000028_create___resource_data_table.php 2019_01_24_000027_create___resource_data_table.php</v>
      </c>
    </row>
    <row r="29" spans="1:8" x14ac:dyDescent="0.25">
      <c r="A29" s="3">
        <f t="shared" si="1"/>
        <v>28</v>
      </c>
      <c r="B29" s="1" t="s">
        <v>519</v>
      </c>
      <c r="C29" s="6" t="str">
        <f>MID(MigrationRenamer[Filename],26,LEN(MigrationRenamer[Filename])-35)</f>
        <v>__resource_data_relations</v>
      </c>
      <c r="D29" s="6" t="str">
        <f t="shared" si="0"/>
        <v>2019_01_24_</v>
      </c>
      <c r="E29" s="6" t="str">
        <f>TEXT(MATCH(MigrationRenamer[[#This Row],[Table]],Tables[Table],0),"000000")</f>
        <v>000028</v>
      </c>
      <c r="F29" s="6" t="str">
        <f>RIGHT(MigrationRenamer[Filename],LEN(MigrationRenamer[Filename])-LEN(MigrationRenamer[Date Part])-LEN(MigrationRenamer[Sequence]))</f>
        <v>_create___resource_data_relations_table.php</v>
      </c>
      <c r="G29" s="6" t="str">
        <f>MigrationRenamer[Date Part]&amp;MigrationRenamer[Sequence]&amp;MigrationRenamer[Name Part]</f>
        <v>2019_01_24_000028_create___resource_data_relations_table.php</v>
      </c>
      <c r="H29" s="6" t="str">
        <f>IFERROR("ren "&amp;MigrationRenamer[Filename]&amp;" "&amp;MigrationRenamer[New Name],"del "&amp;MigrationRenamer[Filename])</f>
        <v>ren 2019_01_24_000029_create___resource_data_relations_table.php 2019_01_24_000028_create___resource_data_relations_table.php</v>
      </c>
    </row>
    <row r="30" spans="1:8" x14ac:dyDescent="0.25">
      <c r="A30" s="3">
        <f t="shared" si="1"/>
        <v>29</v>
      </c>
      <c r="B30" s="1" t="s">
        <v>520</v>
      </c>
      <c r="C30" s="6" t="str">
        <f>MID(MigrationRenamer[Filename],26,LEN(MigrationRenamer[Filename])-35)</f>
        <v>__resource_data_scopes</v>
      </c>
      <c r="D30" s="6" t="str">
        <f t="shared" si="0"/>
        <v>2019_01_24_</v>
      </c>
      <c r="E30" s="6" t="str">
        <f>TEXT(MATCH(MigrationRenamer[[#This Row],[Table]],Tables[Table],0),"000000")</f>
        <v>000029</v>
      </c>
      <c r="F30" s="6" t="str">
        <f>RIGHT(MigrationRenamer[Filename],LEN(MigrationRenamer[Filename])-LEN(MigrationRenamer[Date Part])-LEN(MigrationRenamer[Sequence]))</f>
        <v>_create___resource_data_scopes_table.php</v>
      </c>
      <c r="G30" s="6" t="str">
        <f>MigrationRenamer[Date Part]&amp;MigrationRenamer[Sequence]&amp;MigrationRenamer[Name Part]</f>
        <v>2019_01_24_000029_create___resource_data_scopes_table.php</v>
      </c>
      <c r="H30" s="6" t="str">
        <f>IFERROR("ren "&amp;MigrationRenamer[Filename]&amp;" "&amp;MigrationRenamer[New Name],"del "&amp;MigrationRenamer[Filename])</f>
        <v>ren 2019_01_24_000030_create___resource_data_scopes_table.php 2019_01_24_000029_create___resource_data_scopes_table.php</v>
      </c>
    </row>
    <row r="31" spans="1:8" x14ac:dyDescent="0.25">
      <c r="A31" s="3">
        <f t="shared" si="1"/>
        <v>30</v>
      </c>
      <c r="B31" s="1" t="s">
        <v>521</v>
      </c>
      <c r="C31" s="6" t="str">
        <f>MID(MigrationRenamer[Filename],26,LEN(MigrationRenamer[Filename])-35)</f>
        <v>__resource_data_view_sections</v>
      </c>
      <c r="D31" s="6" t="str">
        <f t="shared" si="0"/>
        <v>2019_01_24_</v>
      </c>
      <c r="E31" s="6" t="str">
        <f>TEXT(MATCH(MigrationRenamer[[#This Row],[Table]],Tables[Table],0),"000000")</f>
        <v>000030</v>
      </c>
      <c r="F31" s="6" t="str">
        <f>RIGHT(MigrationRenamer[Filename],LEN(MigrationRenamer[Filename])-LEN(MigrationRenamer[Date Part])-LEN(MigrationRenamer[Sequence]))</f>
        <v>_create___resource_data_view_sections_table.php</v>
      </c>
      <c r="G31" s="6" t="str">
        <f>MigrationRenamer[Date Part]&amp;MigrationRenamer[Sequence]&amp;MigrationRenamer[Name Part]</f>
        <v>2019_01_24_000030_create___resource_data_view_sections_table.php</v>
      </c>
      <c r="H31" s="6" t="str">
        <f>IFERROR("ren "&amp;MigrationRenamer[Filename]&amp;" "&amp;MigrationRenamer[New Name],"del "&amp;MigrationRenamer[Filename])</f>
        <v>ren 2019_01_24_000031_create___resource_data_view_sections_table.php 2019_01_24_000030_create___resource_data_view_sections_table.php</v>
      </c>
    </row>
    <row r="32" spans="1:8" x14ac:dyDescent="0.25">
      <c r="A32" s="3">
        <f t="shared" si="1"/>
        <v>31</v>
      </c>
      <c r="B32" s="1" t="s">
        <v>522</v>
      </c>
      <c r="C32" s="6" t="str">
        <f>MID(MigrationRenamer[Filename],26,LEN(MigrationRenamer[Filename])-35)</f>
        <v>__resource_data_view_section_items</v>
      </c>
      <c r="D32" s="6" t="str">
        <f t="shared" si="0"/>
        <v>2019_01_24_</v>
      </c>
      <c r="E32" s="6" t="str">
        <f>TEXT(MATCH(MigrationRenamer[[#This Row],[Table]],Tables[Table],0),"000000")</f>
        <v>000031</v>
      </c>
      <c r="F32" s="6" t="str">
        <f>RIGHT(MigrationRenamer[Filename],LEN(MigrationRenamer[Filename])-LEN(MigrationRenamer[Date Part])-LEN(MigrationRenamer[Sequence]))</f>
        <v>_create___resource_data_view_section_items_table.php</v>
      </c>
      <c r="G32" s="6" t="str">
        <f>MigrationRenamer[Date Part]&amp;MigrationRenamer[Sequence]&amp;MigrationRenamer[Name Part]</f>
        <v>2019_01_24_000031_create___resource_data_view_section_items_table.php</v>
      </c>
      <c r="H32" s="6" t="str">
        <f>IFERROR("ren "&amp;MigrationRenamer[Filename]&amp;" "&amp;MigrationRenamer[New Name],"del "&amp;MigrationRenamer[Filename])</f>
        <v>ren 2019_01_24_000032_create___resource_data_view_section_items_table.php 2019_01_24_000031_create___resource_data_view_section_items_table.php</v>
      </c>
    </row>
    <row r="33" spans="1:8" x14ac:dyDescent="0.25">
      <c r="A33" s="3">
        <f t="shared" si="1"/>
        <v>32</v>
      </c>
      <c r="B33" s="1" t="s">
        <v>523</v>
      </c>
      <c r="C33" s="6" t="str">
        <f>MID(MigrationRenamer[Filename],26,LEN(MigrationRenamer[Filename])-35)</f>
        <v>__resource_actions</v>
      </c>
      <c r="D33" s="6" t="str">
        <f t="shared" si="0"/>
        <v>2019_01_24_</v>
      </c>
      <c r="E33" s="6" t="str">
        <f>TEXT(MATCH(MigrationRenamer[[#This Row],[Table]],Tables[Table],0),"000000")</f>
        <v>000033</v>
      </c>
      <c r="F33" s="6" t="str">
        <f>RIGHT(MigrationRenamer[Filename],LEN(MigrationRenamer[Filename])-LEN(MigrationRenamer[Date Part])-LEN(MigrationRenamer[Sequence]))</f>
        <v>_create___resource_actions_table.php</v>
      </c>
      <c r="G33" s="6" t="str">
        <f>MigrationRenamer[Date Part]&amp;MigrationRenamer[Sequence]&amp;MigrationRenamer[Name Part]</f>
        <v>2019_01_24_000033_create___resource_actions_table.php</v>
      </c>
      <c r="H33" s="6" t="str">
        <f>IFERROR("ren "&amp;MigrationRenamer[Filename]&amp;" "&amp;MigrationRenamer[New Name],"del "&amp;MigrationRenamer[Filename])</f>
        <v>ren 2019_01_24_000033_create___resource_actions_table.php 2019_01_24_000033_create___resource_actions_table.php</v>
      </c>
    </row>
    <row r="34" spans="1:8" x14ac:dyDescent="0.25">
      <c r="A34" s="3">
        <f t="shared" si="1"/>
        <v>33</v>
      </c>
      <c r="B34" s="1" t="s">
        <v>524</v>
      </c>
      <c r="C34" s="6" t="str">
        <f>MID(MigrationRenamer[Filename],26,LEN(MigrationRenamer[Filename])-35)</f>
        <v>__resource_action_attrs</v>
      </c>
      <c r="D34" s="6" t="str">
        <f t="shared" si="0"/>
        <v>2019_01_24_</v>
      </c>
      <c r="E34" s="6" t="str">
        <f>TEXT(MATCH(MigrationRenamer[[#This Row],[Table]],Tables[Table],0),"000000")</f>
        <v>000034</v>
      </c>
      <c r="F34" s="6" t="str">
        <f>RIGHT(MigrationRenamer[Filename],LEN(MigrationRenamer[Filename])-LEN(MigrationRenamer[Date Part])-LEN(MigrationRenamer[Sequence]))</f>
        <v>_create___resource_action_attrs_table.php</v>
      </c>
      <c r="G34" s="6" t="str">
        <f>MigrationRenamer[Date Part]&amp;MigrationRenamer[Sequence]&amp;MigrationRenamer[Name Part]</f>
        <v>2019_01_24_000034_create___resource_action_attrs_table.php</v>
      </c>
      <c r="H34" s="6" t="str">
        <f>IFERROR("ren "&amp;MigrationRenamer[Filename]&amp;" "&amp;MigrationRenamer[New Name],"del "&amp;MigrationRenamer[Filename])</f>
        <v>ren 2019_01_24_000034_create___resource_action_attrs_table.php 2019_01_24_000034_create___resource_action_attrs_table.php</v>
      </c>
    </row>
    <row r="35" spans="1:8" x14ac:dyDescent="0.25">
      <c r="A35" s="3">
        <f t="shared" si="1"/>
        <v>34</v>
      </c>
      <c r="B35" s="1" t="s">
        <v>525</v>
      </c>
      <c r="C35" s="6" t="str">
        <f>MID(MigrationRenamer[Filename],26,LEN(MigrationRenamer[Filename])-35)</f>
        <v>__resource_action_methods</v>
      </c>
      <c r="D35" s="6" t="str">
        <f t="shared" si="0"/>
        <v>2019_01_24_</v>
      </c>
      <c r="E35" s="6" t="str">
        <f>TEXT(MATCH(MigrationRenamer[[#This Row],[Table]],Tables[Table],0),"000000")</f>
        <v>000035</v>
      </c>
      <c r="F35" s="6" t="str">
        <f>RIGHT(MigrationRenamer[Filename],LEN(MigrationRenamer[Filename])-LEN(MigrationRenamer[Date Part])-LEN(MigrationRenamer[Sequence]))</f>
        <v>_create___resource_action_methods_table.php</v>
      </c>
      <c r="G35" s="6" t="str">
        <f>MigrationRenamer[Date Part]&amp;MigrationRenamer[Sequence]&amp;MigrationRenamer[Name Part]</f>
        <v>2019_01_24_000035_create___resource_action_methods_table.php</v>
      </c>
      <c r="H35" s="6" t="str">
        <f>IFERROR("ren "&amp;MigrationRenamer[Filename]&amp;" "&amp;MigrationRenamer[New Name],"del "&amp;MigrationRenamer[Filename])</f>
        <v>ren 2019_01_24_000035_create___resource_action_methods_table.php 2019_01_24_000035_create___resource_action_methods_table.php</v>
      </c>
    </row>
    <row r="36" spans="1:8" x14ac:dyDescent="0.25">
      <c r="A36" s="3">
        <f t="shared" si="1"/>
        <v>35</v>
      </c>
      <c r="B36" s="1" t="s">
        <v>526</v>
      </c>
      <c r="C36" s="6" t="str">
        <f>MID(MigrationRenamer[Filename],26,LEN(MigrationRenamer[Filename])-35)</f>
        <v>__resource_action_lists</v>
      </c>
      <c r="D36" s="6" t="str">
        <f t="shared" si="0"/>
        <v>2019_01_24_</v>
      </c>
      <c r="E36" s="6" t="str">
        <f>TEXT(MATCH(MigrationRenamer[[#This Row],[Table]],Tables[Table],0),"000000")</f>
        <v>000036</v>
      </c>
      <c r="F36" s="6" t="str">
        <f>RIGHT(MigrationRenamer[Filename],LEN(MigrationRenamer[Filename])-LEN(MigrationRenamer[Date Part])-LEN(MigrationRenamer[Sequence]))</f>
        <v>_create___resource_action_lists_table.php</v>
      </c>
      <c r="G36" s="6" t="str">
        <f>MigrationRenamer[Date Part]&amp;MigrationRenamer[Sequence]&amp;MigrationRenamer[Name Part]</f>
        <v>2019_01_24_000036_create___resource_action_lists_table.php</v>
      </c>
      <c r="H36" s="6" t="str">
        <f>IFERROR("ren "&amp;MigrationRenamer[Filename]&amp;" "&amp;MigrationRenamer[New Name],"del "&amp;MigrationRenamer[Filename])</f>
        <v>ren 2019_01_24_000036_create___resource_action_lists_table.php 2019_01_24_000036_create___resource_action_lists_table.php</v>
      </c>
    </row>
    <row r="37" spans="1:8" x14ac:dyDescent="0.25">
      <c r="A37" s="3">
        <f t="shared" si="1"/>
        <v>36</v>
      </c>
      <c r="B37" s="1" t="s">
        <v>527</v>
      </c>
      <c r="C37" s="6" t="str">
        <f>MID(MigrationRenamer[Filename],26,LEN(MigrationRenamer[Filename])-35)</f>
        <v>__resource_action_data</v>
      </c>
      <c r="D37" s="6" t="str">
        <f t="shared" si="0"/>
        <v>2019_01_24_</v>
      </c>
      <c r="E37" s="6" t="str">
        <f>TEXT(MATCH(MigrationRenamer[[#This Row],[Table]],Tables[Table],0),"000000")</f>
        <v>000037</v>
      </c>
      <c r="F37" s="6" t="str">
        <f>RIGHT(MigrationRenamer[Filename],LEN(MigrationRenamer[Filename])-LEN(MigrationRenamer[Date Part])-LEN(MigrationRenamer[Sequence]))</f>
        <v>_create___resource_action_data_table.php</v>
      </c>
      <c r="G37" s="6" t="str">
        <f>MigrationRenamer[Date Part]&amp;MigrationRenamer[Sequence]&amp;MigrationRenamer[Name Part]</f>
        <v>2019_01_24_000037_create___resource_action_data_table.php</v>
      </c>
      <c r="H37" s="6" t="str">
        <f>IFERROR("ren "&amp;MigrationRenamer[Filename]&amp;" "&amp;MigrationRenamer[New Name],"del "&amp;MigrationRenamer[Filename])</f>
        <v>ren 2019_01_24_000037_create___resource_action_data_table.php 2019_01_24_000037_create___resource_action_data_table.php</v>
      </c>
    </row>
    <row r="38" spans="1:8" x14ac:dyDescent="0.25">
      <c r="A38" s="3">
        <f t="shared" si="1"/>
        <v>37</v>
      </c>
      <c r="B38" s="1" t="s">
        <v>528</v>
      </c>
      <c r="C38" s="6" t="str">
        <f>MID(MigrationRenamer[Filename],26,LEN(MigrationRenamer[Filename])-35)</f>
        <v>__resource_defaults</v>
      </c>
      <c r="D38" s="6" t="str">
        <f t="shared" si="0"/>
        <v>2019_01_24_</v>
      </c>
      <c r="E38" s="6" t="str">
        <f>TEXT(MATCH(MigrationRenamer[[#This Row],[Table]],Tables[Table],0),"000000")</f>
        <v>000038</v>
      </c>
      <c r="F38" s="6" t="str">
        <f>RIGHT(MigrationRenamer[Filename],LEN(MigrationRenamer[Filename])-LEN(MigrationRenamer[Date Part])-LEN(MigrationRenamer[Sequence]))</f>
        <v>_create___resource_defaults_table.php</v>
      </c>
      <c r="G38" s="6" t="str">
        <f>MigrationRenamer[Date Part]&amp;MigrationRenamer[Sequence]&amp;MigrationRenamer[Name Part]</f>
        <v>2019_01_24_000038_create___resource_defaults_table.php</v>
      </c>
      <c r="H38" s="6" t="str">
        <f>IFERROR("ren "&amp;MigrationRenamer[Filename]&amp;" "&amp;MigrationRenamer[New Name],"del "&amp;MigrationRenamer[Filename])</f>
        <v>ren 2019_01_24_000038_create___resource_defaults_table.php 2019_01_24_000038_create___resource_defaults_table.php</v>
      </c>
    </row>
    <row r="39" spans="1:8" x14ac:dyDescent="0.25">
      <c r="A39" s="3">
        <f t="shared" si="1"/>
        <v>38</v>
      </c>
      <c r="B39" s="1" t="s">
        <v>529</v>
      </c>
      <c r="C39" s="6" t="str">
        <f>MID(MigrationRenamer[Filename],26,LEN(MigrationRenamer[Filename])-35)</f>
        <v>__resource_metrics</v>
      </c>
      <c r="D39" s="6" t="str">
        <f t="shared" si="0"/>
        <v>2019_01_24_</v>
      </c>
      <c r="E39" s="6" t="str">
        <f>TEXT(MATCH(MigrationRenamer[[#This Row],[Table]],Tables[Table],0),"000000")</f>
        <v>000039</v>
      </c>
      <c r="F39" s="6" t="str">
        <f>RIGHT(MigrationRenamer[Filename],LEN(MigrationRenamer[Filename])-LEN(MigrationRenamer[Date Part])-LEN(MigrationRenamer[Sequence]))</f>
        <v>_create___resource_metrics_table.php</v>
      </c>
      <c r="G39" s="6" t="str">
        <f>MigrationRenamer[Date Part]&amp;MigrationRenamer[Sequence]&amp;MigrationRenamer[Name Part]</f>
        <v>2019_01_24_000039_create___resource_metrics_table.php</v>
      </c>
      <c r="H39" s="6" t="str">
        <f>IFERROR("ren "&amp;MigrationRenamer[Filename]&amp;" "&amp;MigrationRenamer[New Name],"del "&amp;MigrationRenamer[Filename])</f>
        <v>ren 2019_01_24_000039_create___resource_metrics_table.php 2019_01_24_000039_create___resource_metrics_table.php</v>
      </c>
    </row>
    <row r="40" spans="1:8" x14ac:dyDescent="0.25">
      <c r="A40" s="3">
        <f t="shared" si="1"/>
        <v>39</v>
      </c>
      <c r="B40" s="1" t="s">
        <v>530</v>
      </c>
      <c r="C40" s="6" t="str">
        <f>MID(MigrationRenamer[Filename],26,LEN(MigrationRenamer[Filename])-35)</f>
        <v>__resource_dashboard</v>
      </c>
      <c r="D40" s="6" t="str">
        <f t="shared" si="0"/>
        <v>2019_01_24_</v>
      </c>
      <c r="E40" s="6" t="str">
        <f>TEXT(MATCH(MigrationRenamer[[#This Row],[Table]],Tables[Table],0),"000000")</f>
        <v>000040</v>
      </c>
      <c r="F40" s="6" t="str">
        <f>RIGHT(MigrationRenamer[Filename],LEN(MigrationRenamer[Filename])-LEN(MigrationRenamer[Date Part])-LEN(MigrationRenamer[Sequence]))</f>
        <v>_create___resource_dashboard_table.php</v>
      </c>
      <c r="G40" s="6" t="str">
        <f>MigrationRenamer[Date Part]&amp;MigrationRenamer[Sequence]&amp;MigrationRenamer[Name Part]</f>
        <v>2019_01_24_000040_create___resource_dashboard_table.php</v>
      </c>
      <c r="H40" s="6" t="str">
        <f>IFERROR("ren "&amp;MigrationRenamer[Filename]&amp;" "&amp;MigrationRenamer[New Name],"del "&amp;MigrationRenamer[Filename])</f>
        <v>ren 2019_01_24_000040_create___resource_dashboard_table.php 2019_01_24_000040_create___resource_dashboard_table.php</v>
      </c>
    </row>
    <row r="41" spans="1:8" x14ac:dyDescent="0.25">
      <c r="A41" s="3">
        <f t="shared" si="1"/>
        <v>40</v>
      </c>
      <c r="B41" s="1" t="s">
        <v>531</v>
      </c>
      <c r="C41" s="6" t="str">
        <f>MID(MigrationRenamer[Filename],26,LEN(MigrationRenamer[Filename])-35)</f>
        <v>__resource_dashboard_sections</v>
      </c>
      <c r="D41" s="6" t="str">
        <f t="shared" si="0"/>
        <v>2019_01_24_</v>
      </c>
      <c r="E41" s="6" t="str">
        <f>TEXT(MATCH(MigrationRenamer[[#This Row],[Table]],Tables[Table],0),"000000")</f>
        <v>000041</v>
      </c>
      <c r="F41" s="6" t="str">
        <f>RIGHT(MigrationRenamer[Filename],LEN(MigrationRenamer[Filename])-LEN(MigrationRenamer[Date Part])-LEN(MigrationRenamer[Sequence]))</f>
        <v>_create___resource_dashboard_sections_table.php</v>
      </c>
      <c r="G41" s="6" t="str">
        <f>MigrationRenamer[Date Part]&amp;MigrationRenamer[Sequence]&amp;MigrationRenamer[Name Part]</f>
        <v>2019_01_24_000041_create___resource_dashboard_sections_table.php</v>
      </c>
      <c r="H41" s="6" t="str">
        <f>IFERROR("ren "&amp;MigrationRenamer[Filename]&amp;" "&amp;MigrationRenamer[New Name],"del "&amp;MigrationRenamer[Filename])</f>
        <v>ren 2019_01_24_000041_create___resource_dashboard_sections_table.php 2019_01_24_000041_create___resource_dashboard_sections_table.php</v>
      </c>
    </row>
    <row r="42" spans="1:8" x14ac:dyDescent="0.25">
      <c r="A42" s="3">
        <f t="shared" si="1"/>
        <v>41</v>
      </c>
      <c r="B42" s="1" t="s">
        <v>532</v>
      </c>
      <c r="C42" s="6" t="str">
        <f>MID(MigrationRenamer[Filename],26,LEN(MigrationRenamer[Filename])-35)</f>
        <v>__resource_dashboard_section_items</v>
      </c>
      <c r="D42" s="6" t="str">
        <f t="shared" si="0"/>
        <v>2019_01_24_</v>
      </c>
      <c r="E42" s="6" t="str">
        <f>TEXT(MATCH(MigrationRenamer[[#This Row],[Table]],Tables[Table],0),"000000")</f>
        <v>000042</v>
      </c>
      <c r="F42" s="6" t="str">
        <f>RIGHT(MigrationRenamer[Filename],LEN(MigrationRenamer[Filename])-LEN(MigrationRenamer[Date Part])-LEN(MigrationRenamer[Sequence]))</f>
        <v>_create___resource_dashboard_section_items_table.php</v>
      </c>
      <c r="G42" s="6" t="str">
        <f>MigrationRenamer[Date Part]&amp;MigrationRenamer[Sequence]&amp;MigrationRenamer[Name Part]</f>
        <v>2019_01_24_000042_create___resource_dashboard_section_items_table.php</v>
      </c>
      <c r="H42" s="6" t="str">
        <f>IFERROR("ren "&amp;MigrationRenamer[Filename]&amp;" "&amp;MigrationRenamer[New Name],"del "&amp;MigrationRenamer[Filename])</f>
        <v>ren 2019_01_24_000042_create___resource_dashboard_section_items_table.php 2019_01_24_000042_create___resource_dashboard_section_items_table.php</v>
      </c>
    </row>
    <row r="43" spans="1:8" x14ac:dyDescent="0.25">
      <c r="A43" s="32">
        <f>IFERROR($A42+1,1)</f>
        <v>42</v>
      </c>
      <c r="B43" s="5" t="s">
        <v>533</v>
      </c>
      <c r="C43" s="8" t="str">
        <f>MID(MigrationRenamer[Filename],26,LEN(MigrationRenamer[Filename])-35)</f>
        <v>__organisation</v>
      </c>
      <c r="D43" s="8" t="str">
        <f t="shared" si="0"/>
        <v>2019_01_24_</v>
      </c>
      <c r="E43" s="8" t="str">
        <f>TEXT(MATCH(MigrationRenamer[[#This Row],[Table]],Tables[Table],0),"000000")</f>
        <v>000043</v>
      </c>
      <c r="F43" s="8" t="str">
        <f>RIGHT(MigrationRenamer[Filename],LEN(MigrationRenamer[Filename])-LEN(MigrationRenamer[Date Part])-LEN(MigrationRenamer[Sequence]))</f>
        <v>_create___organisation_table.php</v>
      </c>
      <c r="G43" s="8" t="str">
        <f>MigrationRenamer[Date Part]&amp;MigrationRenamer[Sequence]&amp;MigrationRenamer[Name Part]</f>
        <v>2019_01_24_000043_create___organisation_table.php</v>
      </c>
      <c r="H43" s="8" t="str">
        <f>IFERROR("ren "&amp;MigrationRenamer[Filename]&amp;" "&amp;MigrationRenamer[New Name],"del "&amp;MigrationRenamer[Filename])</f>
        <v>ren 2019_01_24_000043_create___organisation_table.php 2019_01_24_000043_create___organisation_table.php</v>
      </c>
    </row>
    <row r="44" spans="1:8" x14ac:dyDescent="0.25">
      <c r="A44" s="32">
        <f>IFERROR($A43+1,1)</f>
        <v>43</v>
      </c>
      <c r="B44" s="5" t="s">
        <v>534</v>
      </c>
      <c r="C44" s="8" t="str">
        <f>MID(MigrationRenamer[Filename],26,LEN(MigrationRenamer[Filename])-35)</f>
        <v>__organisation_contacts</v>
      </c>
      <c r="D44" s="8" t="str">
        <f t="shared" si="0"/>
        <v>2019_01_24_</v>
      </c>
      <c r="E44" s="8" t="str">
        <f>TEXT(MATCH(MigrationRenamer[[#This Row],[Table]],Tables[Table],0),"000000")</f>
        <v>000044</v>
      </c>
      <c r="F44" s="8" t="str">
        <f>RIGHT(MigrationRenamer[Filename],LEN(MigrationRenamer[Filename])-LEN(MigrationRenamer[Date Part])-LEN(MigrationRenamer[Sequence]))</f>
        <v>_create___organisation_contacts_table.php</v>
      </c>
      <c r="G44" s="8" t="str">
        <f>MigrationRenamer[Date Part]&amp;MigrationRenamer[Sequence]&amp;MigrationRenamer[Name Part]</f>
        <v>2019_01_24_000044_create___organisation_contacts_table.php</v>
      </c>
      <c r="H44" s="8" t="str">
        <f>IFERROR("ren "&amp;MigrationRenamer[Filename]&amp;" "&amp;MigrationRenamer[New Name],"del "&amp;MigrationRenamer[Filename])</f>
        <v>ren 2019_01_24_000044_create___organisation_contacts_table.php 2019_01_24_000044_create___organisation_contacts_table.php</v>
      </c>
    </row>
  </sheetData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28"/>
  <sheetViews>
    <sheetView tabSelected="1" topLeftCell="AP19" workbookViewId="0">
      <selection activeCell="BG1" sqref="BG1"/>
    </sheetView>
  </sheetViews>
  <sheetFormatPr defaultRowHeight="15" x14ac:dyDescent="0.25"/>
  <cols>
    <col min="1" max="1" width="12" hidden="1" customWidth="1"/>
    <col min="2" max="2" width="22.5703125" customWidth="1"/>
    <col min="3" max="3" width="18.140625" style="20" hidden="1" customWidth="1"/>
    <col min="4" max="4" width="9.140625" hidden="1" customWidth="1"/>
    <col min="5" max="5" width="11.42578125" style="20" hidden="1" customWidth="1"/>
    <col min="6" max="6" width="24.42578125" customWidth="1"/>
    <col min="7" max="7" width="49.7109375" customWidth="1"/>
    <col min="8" max="8" width="24.42578125" customWidth="1"/>
    <col min="9" max="9" width="24.42578125" style="20" customWidth="1"/>
    <col min="10" max="10" width="12.28515625" style="20" customWidth="1"/>
    <col min="11" max="11" width="7.5703125" style="20" customWidth="1"/>
    <col min="13" max="13" width="29.85546875" bestFit="1" customWidth="1"/>
    <col min="14" max="14" width="9.85546875" style="20" hidden="1" customWidth="1"/>
    <col min="15" max="15" width="19.140625" bestFit="1" customWidth="1"/>
    <col min="16" max="16" width="22.85546875" customWidth="1"/>
    <col min="17" max="17" width="18.28515625" hidden="1" customWidth="1"/>
    <col min="18" max="19" width="11" hidden="1" customWidth="1"/>
    <col min="20" max="20" width="15.7109375" style="20" hidden="1" customWidth="1"/>
    <col min="21" max="21" width="16" hidden="1" customWidth="1"/>
    <col min="22" max="22" width="21.5703125" hidden="1" customWidth="1"/>
    <col min="23" max="23" width="10.7109375" hidden="1" customWidth="1"/>
    <col min="24" max="24" width="17.85546875" style="20" hidden="1" customWidth="1"/>
    <col min="25" max="25" width="18.140625" hidden="1" customWidth="1"/>
    <col min="26" max="26" width="23.7109375" hidden="1" customWidth="1"/>
    <col min="27" max="27" width="10.5703125" hidden="1" customWidth="1"/>
    <col min="28" max="28" width="11" hidden="1" customWidth="1"/>
    <col min="29" max="29" width="9.140625" hidden="1" customWidth="1"/>
    <col min="30" max="30" width="11" hidden="1" customWidth="1"/>
    <col min="31" max="31" width="9.140625" customWidth="1"/>
    <col min="32" max="32" width="21.140625" hidden="1" customWidth="1"/>
    <col min="33" max="33" width="19.140625" customWidth="1"/>
    <col min="34" max="34" width="9.140625" hidden="1" customWidth="1"/>
    <col min="35" max="35" width="12.140625" hidden="1" customWidth="1"/>
    <col min="36" max="36" width="29" customWidth="1"/>
    <col min="37" max="37" width="13.42578125" hidden="1" customWidth="1"/>
    <col min="38" max="39" width="9.140625" hidden="1" customWidth="1"/>
    <col min="40" max="40" width="10.5703125" hidden="1" customWidth="1"/>
    <col min="41" max="44" width="15.140625" customWidth="1"/>
    <col min="46" max="46" width="18.7109375" hidden="1" customWidth="1"/>
    <col min="47" max="47" width="35.85546875" bestFit="1" customWidth="1"/>
    <col min="48" max="48" width="9.85546875" hidden="1" customWidth="1"/>
    <col min="49" max="49" width="17.85546875" hidden="1" customWidth="1"/>
    <col min="50" max="50" width="17.85546875" style="20" customWidth="1"/>
    <col min="51" max="51" width="16.85546875" customWidth="1"/>
    <col min="52" max="52" width="7.85546875" hidden="1" customWidth="1"/>
    <col min="53" max="54" width="11" hidden="1" customWidth="1"/>
    <col min="55" max="55" width="24.28515625" bestFit="1" customWidth="1"/>
    <col min="56" max="57" width="17" hidden="1" customWidth="1"/>
  </cols>
  <sheetData>
    <row r="1" spans="1:57" x14ac:dyDescent="0.25">
      <c r="A1" s="20" t="s">
        <v>344</v>
      </c>
      <c r="B1" s="20" t="s">
        <v>100</v>
      </c>
      <c r="C1" s="20" t="s">
        <v>405</v>
      </c>
      <c r="D1" s="20" t="s">
        <v>99</v>
      </c>
      <c r="E1" s="20" t="s">
        <v>86</v>
      </c>
      <c r="F1" s="20" t="s">
        <v>1</v>
      </c>
      <c r="G1" s="20" t="s">
        <v>102</v>
      </c>
      <c r="H1" s="20" t="s">
        <v>97</v>
      </c>
      <c r="I1" s="20" t="s">
        <v>536</v>
      </c>
      <c r="J1" s="20" t="s">
        <v>452</v>
      </c>
      <c r="K1" s="52" t="s">
        <v>307</v>
      </c>
      <c r="M1" s="1" t="s">
        <v>408</v>
      </c>
      <c r="N1" s="1" t="s">
        <v>414</v>
      </c>
      <c r="O1" s="1" t="s">
        <v>410</v>
      </c>
      <c r="P1" s="1" t="s">
        <v>409</v>
      </c>
      <c r="Q1" s="1" t="s">
        <v>411</v>
      </c>
      <c r="R1" s="1" t="s">
        <v>412</v>
      </c>
      <c r="S1" s="1" t="s">
        <v>413</v>
      </c>
      <c r="T1" s="1" t="s">
        <v>420</v>
      </c>
      <c r="U1" s="1" t="s">
        <v>415</v>
      </c>
      <c r="V1" s="1" t="s">
        <v>418</v>
      </c>
      <c r="W1" s="1" t="s">
        <v>416</v>
      </c>
      <c r="X1" s="1" t="s">
        <v>421</v>
      </c>
      <c r="Y1" s="1" t="s">
        <v>417</v>
      </c>
      <c r="Z1" s="1" t="s">
        <v>419</v>
      </c>
      <c r="AA1" s="1" t="s">
        <v>105</v>
      </c>
      <c r="AB1" s="1" t="s">
        <v>300</v>
      </c>
      <c r="AC1" s="1" t="s">
        <v>301</v>
      </c>
      <c r="AD1" s="1" t="s">
        <v>302</v>
      </c>
      <c r="AF1" s="1" t="s">
        <v>344</v>
      </c>
      <c r="AG1" s="1" t="s">
        <v>425</v>
      </c>
      <c r="AH1" s="1" t="s">
        <v>99</v>
      </c>
      <c r="AI1" s="1" t="s">
        <v>379</v>
      </c>
      <c r="AJ1" s="1" t="s">
        <v>13</v>
      </c>
      <c r="AK1" s="1" t="s">
        <v>426</v>
      </c>
      <c r="AL1" s="1" t="s">
        <v>300</v>
      </c>
      <c r="AM1" s="1" t="s">
        <v>301</v>
      </c>
      <c r="AN1" s="1" t="s">
        <v>302</v>
      </c>
      <c r="AO1" s="1" t="s">
        <v>105</v>
      </c>
      <c r="AP1" s="1" t="s">
        <v>427</v>
      </c>
      <c r="AQ1" s="1" t="s">
        <v>428</v>
      </c>
      <c r="AR1" s="1" t="s">
        <v>429</v>
      </c>
      <c r="AT1" s="1" t="s">
        <v>344</v>
      </c>
      <c r="AU1" s="1" t="s">
        <v>432</v>
      </c>
      <c r="AV1" s="1" t="s">
        <v>99</v>
      </c>
      <c r="AW1" s="1" t="s">
        <v>379</v>
      </c>
      <c r="AX1" s="1" t="s">
        <v>104</v>
      </c>
      <c r="AY1" s="1" t="s">
        <v>13</v>
      </c>
      <c r="AZ1" s="1" t="s">
        <v>426</v>
      </c>
      <c r="BA1" s="1" t="s">
        <v>300</v>
      </c>
      <c r="BB1" s="1" t="s">
        <v>301</v>
      </c>
      <c r="BC1" s="1" t="s">
        <v>105</v>
      </c>
      <c r="BD1" s="1" t="s">
        <v>427</v>
      </c>
      <c r="BE1" s="1" t="s">
        <v>428</v>
      </c>
    </row>
    <row r="2" spans="1:57" x14ac:dyDescent="0.25">
      <c r="A2" s="6" t="str">
        <f>'Table Seed Map'!$A$24&amp;"-"&amp;COUNTA($B$1:ResourceList[[#This Row],[Resource Name]])-1</f>
        <v>Resource Lists-0</v>
      </c>
      <c r="B2" s="1"/>
      <c r="C2" s="6" t="str">
        <f>ResourceList[[#This Row],[Resource Name]]&amp;"/"&amp;ResourceList[[#This Row],[Name]]</f>
        <v>/name</v>
      </c>
      <c r="D2" s="15" t="str">
        <f>IF(ResourceList[[#This Row],[Resource Name]]="","id",COUNTA($B$2:ResourceList[[#This Row],[Resource Name]])+IF(ISNUMBER(VLOOKUP('Table Seed Map'!$A$24,SeedMap[],9,0)),VLOOKUP('Table Seed Map'!$A$24,SeedMap[],9,0),0))</f>
        <v>id</v>
      </c>
      <c r="E2" s="15" t="str">
        <f>IFERROR(VLOOKUP(ResourceList[[#This Row],[Resource Name]],ResourceTable[[RName]:[No]],3,0),"resource")</f>
        <v>resource</v>
      </c>
      <c r="F2" s="13" t="s">
        <v>23</v>
      </c>
      <c r="G2" s="13" t="s">
        <v>24</v>
      </c>
      <c r="H2" s="13" t="s">
        <v>25</v>
      </c>
      <c r="I2" s="13" t="s">
        <v>535</v>
      </c>
      <c r="J2" s="13" t="s">
        <v>39</v>
      </c>
      <c r="K2" s="3" t="str">
        <f>ResourceList[No]</f>
        <v>id</v>
      </c>
      <c r="M2" s="2"/>
      <c r="N2" s="9"/>
      <c r="O2" s="2"/>
      <c r="P2" s="2"/>
      <c r="Q2" s="2"/>
      <c r="R2" s="2"/>
      <c r="S2" s="2"/>
      <c r="T2" s="9" t="str">
        <f>'Table Seed Map'!$A$25&amp;"-"&amp;COUNT($W$1:ListExtras[[#This Row],[Scope ID]])</f>
        <v>List Scopes-0</v>
      </c>
      <c r="U2" s="16" t="str">
        <f>IF(ListExtras[[#This Row],[LID]]=0,"id",IF(ListExtras[[#This Row],[Scope ID]]="","",COUNT($W$2:ListExtras[[#This Row],[Scope ID]])+IF(ISNUMBER(VLOOKUP('Table Seed Map'!$A$25,SeedMap[],9,0)),VLOOKUP('Table Seed Map'!$A$25,SeedMap[],9,0),0)))</f>
        <v>id</v>
      </c>
      <c r="V2" s="16" t="str">
        <f>IF(ListExtras[[#This Row],[LID]]=0,"resource_list",ListExtras[[#This Row],[LID]])</f>
        <v>resource_list</v>
      </c>
      <c r="W2" s="16" t="str">
        <f>IFERROR(VLOOKUP(ListExtras[[#This Row],[Scope Name]],ResourceScopes[[ScopesDisplayNames]:[No]],2,0),IF(ListExtras[[#This Row],[LID]]=0,"scope",""))</f>
        <v>scope</v>
      </c>
      <c r="X2" s="9" t="str">
        <f>'Table Seed Map'!$A$26&amp;"-"&amp;COUNT($AA$1:ListExtras[[#This Row],[Relation]])</f>
        <v>List Relation-0</v>
      </c>
      <c r="Y2" s="16" t="str">
        <f>IF(ListExtras[[#This Row],[LID]]=0,"id",IF(ListExtras[[#This Row],[Relation]]="","",COUNT($AA$2:ListExtras[[#This Row],[Relation]])+IF(ISNUMBER(VLOOKUP('Table Seed Map'!$A$26,SeedMap[],9,0)),VLOOKUP('Table Seed Map'!$A$26,SeedMap[],9,0),0)))</f>
        <v>id</v>
      </c>
      <c r="Z2" s="16" t="str">
        <f>IF(ListExtras[[#This Row],[LID]]=0,"resource_list",ListExtras[[#This Row],[LID]])</f>
        <v>resource_list</v>
      </c>
      <c r="AA2" s="16" t="str">
        <f>IFERROR(VLOOKUP(ListExtras[[#This Row],[Relation Name]],RelationTable[[Display]:[RELID]],2,0),IF(ListExtras[[#This Row],[LID]]=0,"relation",""))</f>
        <v>relation</v>
      </c>
      <c r="AB2" s="16" t="str">
        <f>IFERROR(VLOOKUP(ListExtras[[#This Row],[R1 Name]],RelationTable[[Display]:[RELID]],2,0),IF(ListExtras[[#This Row],[LID]]=0,"nest_relation1",""))</f>
        <v>nest_relation1</v>
      </c>
      <c r="AC2" s="16" t="str">
        <f>IFERROR(VLOOKUP(ListExtras[[#This Row],[R2 Name]],RelationTable[[Display]:[RELID]],2,0),IF(ListExtras[[#This Row],[LID]]=0,"nest_relation2",""))</f>
        <v>nest_relation2</v>
      </c>
      <c r="AD2" s="16" t="str">
        <f>IFERROR(VLOOKUP(ListExtras[[#This Row],[R3 Name]],RelationTable[[Display]:[RELID]],2,0),IF(ListExtras[[#This Row],[LID]]=0,"nest_relation3",""))</f>
        <v>nest_relation3</v>
      </c>
      <c r="AF2" s="16" t="str">
        <f>'Table Seed Map'!$A$28&amp;"-"&amp;COUNTA($AH$1:ListSearch[[#This Row],[No]])-2</f>
        <v>List Search-0</v>
      </c>
      <c r="AG2" s="2"/>
      <c r="AH2" s="16" t="str">
        <f>IF(ListSearch[[#This Row],[List Name for Search]]="","id",-1+COUNTA($AG$1:ListSearch[[#This Row],[List Name for Search]])+IF(ISNUMBER(VLOOKUP('Table Seed Map'!$A$28,SeedMap[],9,0)),VLOOKUP('Table Seed Map'!$A$28,SeedMap[],9,0),0))</f>
        <v>id</v>
      </c>
      <c r="AI2" s="16" t="str">
        <f>IFERROR(VLOOKUP(ListSearch[[#This Row],[List Name for Search]],ResourceList[[ListDisplayName]:[No]],2,0),"resource_list")</f>
        <v>resource_list</v>
      </c>
      <c r="AJ2" s="14" t="s">
        <v>201</v>
      </c>
      <c r="AK2" s="16" t="str">
        <f>IF(ListSearch[[#This Row],[List Name for Search]]="","relation",IFERROR(VLOOKUP(ListSearch[[#This Row],[Relation]],RelationTable[[Display]:[RELID]],2,0),""))</f>
        <v>relation</v>
      </c>
      <c r="AL2" s="16" t="str">
        <f>IF(ListSearch[[#This Row],[List Name for Search]]="","nest_relation1",IFERROR(VLOOKUP(ListSearch[[#This Row],[Relation 1]],RelationTable[[Display]:[RELID]],2,0),""))</f>
        <v>nest_relation1</v>
      </c>
      <c r="AM2" s="16" t="str">
        <f>IF(ListSearch[[#This Row],[List Name for Search]]="","nest_relation2",IFERROR(VLOOKUP(ListSearch[[#This Row],[Relation 2]],RelationTable[[Display]:[RELID]],2,0),""))</f>
        <v>nest_relation2</v>
      </c>
      <c r="AN2" s="16" t="str">
        <f>IF(ListSearch[[#This Row],[List Name for Search]]="","nest_relation3",IFERROR(VLOOKUP(ListSearch[[#This Row],[Relation 3]],RelationTable[[Display]:[RELID]],2,0),""))</f>
        <v>nest_relation3</v>
      </c>
      <c r="AO2" s="14"/>
      <c r="AP2" s="14"/>
      <c r="AQ2" s="14"/>
      <c r="AR2" s="14"/>
      <c r="AT2" s="16" t="str">
        <f>'Table Seed Map'!$A$27&amp;"-"&amp;COUNTA($AV$1:ListLayout[[#This Row],[No]])-2</f>
        <v>List Layout-0</v>
      </c>
      <c r="AU2" s="2"/>
      <c r="AV2" s="16" t="str">
        <f>IF(ListLayout[[#This Row],[List Name for Layout]]="","id",COUNTA($AU$2:ListLayout[[#This Row],[List Name for Layout]])+IF(ISNUMBER(VLOOKUP('Table Seed Map'!$A$27,SeedMap[],9,0)),VLOOKUP('Table Seed Map'!$A$27,SeedMap[],9,0),0))</f>
        <v>id</v>
      </c>
      <c r="AW2" s="16" t="str">
        <f>IFERROR(VLOOKUP(ListLayout[[#This Row],[List Name for Layout]],ResourceList[[ListDisplayName]:[No]],2,0),"resource_list")</f>
        <v>resource_list</v>
      </c>
      <c r="AX2" s="16" t="s">
        <v>95</v>
      </c>
      <c r="AY2" s="14" t="s">
        <v>201</v>
      </c>
      <c r="AZ2" s="16" t="str">
        <f>IF(ListLayout[[#This Row],[List Name for Layout]]="","relation",IFERROR(VLOOKUP(ListLayout[[#This Row],[Relation]],RelationTable[[Display]:[RELID]],2,0),""))</f>
        <v>relation</v>
      </c>
      <c r="BA2" s="16" t="str">
        <f>IF(ListLayout[[#This Row],[List Name for Layout]]="","nest_relation1",IFERROR(VLOOKUP(ListLayout[[#This Row],[Relation 1]],RelationTable[[Display]:[RELID]],2,0),""))</f>
        <v>nest_relation1</v>
      </c>
      <c r="BB2" s="16" t="str">
        <f>IF(ListLayout[[#This Row],[List Name for Layout]]="","nest_relation2",IFERROR(VLOOKUP(ListLayout[[#This Row],[Relation 2]],RelationTable[[Display]:[RELID]],2,0),""))</f>
        <v>nest_relation2</v>
      </c>
      <c r="BC2" s="14"/>
      <c r="BD2" s="14"/>
      <c r="BE2" s="14"/>
    </row>
    <row r="3" spans="1:57" x14ac:dyDescent="0.25">
      <c r="A3" s="62" t="str">
        <f>'Table Seed Map'!$A$24&amp;"-"&amp;COUNTA($B$1:ResourceList[[#This Row],[Resource Name]])-1</f>
        <v>Resource Lists-1</v>
      </c>
      <c r="B3" s="63" t="s">
        <v>96</v>
      </c>
      <c r="C3" s="62" t="str">
        <f>ResourceList[[#This Row],[Resource Name]]&amp;"/"&amp;ResourceList[[#This Row],[Name]]</f>
        <v>Group/GroupList</v>
      </c>
      <c r="D3" s="60">
        <f>IF(ResourceList[[#This Row],[Resource Name]]="","id",COUNTA($B$2:ResourceList[[#This Row],[Resource Name]])+IF(ISNUMBER(VLOOKUP('Table Seed Map'!$A$24,SeedMap[],9,0)),VLOOKUP('Table Seed Map'!$A$24,SeedMap[],9,0),0))</f>
        <v>802201</v>
      </c>
      <c r="E3" s="60">
        <f>IFERROR(VLOOKUP(ResourceList[[#This Row],[Resource Name]],ResourceTable[[RName]:[No]],3,0),"resource")</f>
        <v>800502</v>
      </c>
      <c r="F3" s="65" t="s">
        <v>911</v>
      </c>
      <c r="G3" s="65" t="s">
        <v>912</v>
      </c>
      <c r="H3" s="65" t="s">
        <v>76</v>
      </c>
      <c r="I3" s="65" t="s">
        <v>23</v>
      </c>
      <c r="J3" s="65">
        <v>30</v>
      </c>
      <c r="K3" s="64">
        <f>ResourceList[No]</f>
        <v>802201</v>
      </c>
      <c r="M3" s="2" t="s">
        <v>992</v>
      </c>
      <c r="N3" s="6">
        <f>VLOOKUP(ListExtras[[#This Row],[List Name]],ResourceList[[ListDisplayName]:[No]],2,0)</f>
        <v>802204</v>
      </c>
      <c r="O3" s="1" t="s">
        <v>993</v>
      </c>
      <c r="P3" s="1" t="s">
        <v>996</v>
      </c>
      <c r="Q3" s="1"/>
      <c r="R3" s="1"/>
      <c r="S3" s="1"/>
      <c r="T3" s="6" t="str">
        <f>'Table Seed Map'!$A$25&amp;"-"&amp;COUNT($W$1:ListExtras[[#This Row],[Scope ID]])</f>
        <v>List Scopes-1</v>
      </c>
      <c r="U3" s="15">
        <f>IF(ListExtras[[#This Row],[LID]]=0,"id",IF(ListExtras[[#This Row],[Scope ID]]="","",COUNT($W$2:ListExtras[[#This Row],[Scope ID]])+IF(ISNUMBER(VLOOKUP('Table Seed Map'!$A$25,SeedMap[],9,0)),VLOOKUP('Table Seed Map'!$A$25,SeedMap[],9,0),0)))</f>
        <v>802301</v>
      </c>
      <c r="V3" s="15">
        <f>IF(ListExtras[[#This Row],[LID]]=0,"resource_list",ListExtras[[#This Row],[LID]])</f>
        <v>802204</v>
      </c>
      <c r="W3" s="15">
        <f>IFERROR(VLOOKUP(ListExtras[[#This Row],[Scope Name]],ResourceScopes[[ScopesDisplayNames]:[No]],2,0),IF(ListExtras[[#This Row],[LID]]=0,"scope",""))</f>
        <v>800701</v>
      </c>
      <c r="X3" s="6" t="str">
        <f>'Table Seed Map'!$A$26&amp;"-"&amp;COUNT($AA$1:ListExtras[[#This Row],[Relation]])</f>
        <v>List Relation-1</v>
      </c>
      <c r="Y3" s="15">
        <f>IF(ListExtras[[#This Row],[LID]]=0,"id",IF(ListExtras[[#This Row],[Relation]]="","",COUNT($AA$2:ListExtras[[#This Row],[Relation]])+IF(ISNUMBER(VLOOKUP('Table Seed Map'!$A$26,SeedMap[],9,0)),VLOOKUP('Table Seed Map'!$A$26,SeedMap[],9,0),0)))</f>
        <v>802401</v>
      </c>
      <c r="Z3" s="15">
        <f>IF(ListExtras[[#This Row],[LID]]=0,"resource_list",ListExtras[[#This Row],[LID]])</f>
        <v>802204</v>
      </c>
      <c r="AA3" s="15">
        <f>IFERROR(VLOOKUP(ListExtras[[#This Row],[Relation Name]],RelationTable[[Display]:[RELID]],2,0),IF(ListExtras[[#This Row],[LID]]=0,"relation",""))</f>
        <v>800809</v>
      </c>
      <c r="AB3" s="15" t="str">
        <f>IFERROR(VLOOKUP(ListExtras[[#This Row],[R1 Name]],RelationTable[[Display]:[RELID]],2,0),IF(ListExtras[[#This Row],[LID]]=0,"nest_relation1",""))</f>
        <v/>
      </c>
      <c r="AC3" s="15" t="str">
        <f>IFERROR(VLOOKUP(ListExtras[[#This Row],[R2 Name]],RelationTable[[Display]:[RELID]],2,0),IF(ListExtras[[#This Row],[LID]]=0,"nest_relation2",""))</f>
        <v/>
      </c>
      <c r="AD3" s="15" t="str">
        <f>IFERROR(VLOOKUP(ListExtras[[#This Row],[R3 Name]],RelationTable[[Display]:[RELID]],2,0),IF(ListExtras[[#This Row],[LID]]=0,"nest_relation3",""))</f>
        <v/>
      </c>
      <c r="AF3" s="60" t="str">
        <f>'Table Seed Map'!$A$28&amp;"-"&amp;COUNTA($AH$1:ListSearch[[#This Row],[No]])-2</f>
        <v>List Search-1</v>
      </c>
      <c r="AG3" s="61" t="s">
        <v>913</v>
      </c>
      <c r="AH3" s="60">
        <f>IF(ListSearch[[#This Row],[List Name for Search]]="","id",-1+COUNTA($AG$1:ListSearch[[#This Row],[List Name for Search]])+IF(ISNUMBER(VLOOKUP('Table Seed Map'!$A$28,SeedMap[],9,0)),VLOOKUP('Table Seed Map'!$A$28,SeedMap[],9,0),0))</f>
        <v>802601</v>
      </c>
      <c r="AI3" s="60">
        <f>IFERROR(VLOOKUP(ListSearch[[#This Row],[List Name for Search]],ResourceList[[ListDisplayName]:[No]],2,0),"resource_list")</f>
        <v>802201</v>
      </c>
      <c r="AJ3" s="65" t="s">
        <v>23</v>
      </c>
      <c r="AK3" s="60" t="str">
        <f>IF(ListSearch[[#This Row],[List Name for Search]]="","relation",IFERROR(VLOOKUP(ListSearch[[#This Row],[Relation]],RelationTable[[Display]:[RELID]],2,0),""))</f>
        <v/>
      </c>
      <c r="AL3" s="60" t="str">
        <f>IF(ListSearch[[#This Row],[List Name for Search]]="","nest_relation1",IFERROR(VLOOKUP(ListSearch[[#This Row],[Relation 1]],RelationTable[[Display]:[RELID]],2,0),""))</f>
        <v/>
      </c>
      <c r="AM3" s="60" t="str">
        <f>IF(ListSearch[[#This Row],[List Name for Search]]="","nest_relation2",IFERROR(VLOOKUP(ListSearch[[#This Row],[Relation 2]],RelationTable[[Display]:[RELID]],2,0),""))</f>
        <v/>
      </c>
      <c r="AN3" s="60" t="str">
        <f>IF(ListSearch[[#This Row],[List Name for Search]]="","nest_relation3",IFERROR(VLOOKUP(ListSearch[[#This Row],[Relation 3]],RelationTable[[Display]:[RELID]],2,0),""))</f>
        <v/>
      </c>
      <c r="AO3" s="65"/>
      <c r="AP3" s="65"/>
      <c r="AQ3" s="65"/>
      <c r="AR3" s="65"/>
      <c r="AT3" s="60" t="str">
        <f>'Table Seed Map'!$A$27&amp;"-"&amp;COUNTA($AV$1:ListLayout[[#This Row],[No]])-2</f>
        <v>List Layout-1</v>
      </c>
      <c r="AU3" s="61" t="s">
        <v>913</v>
      </c>
      <c r="AV3" s="60">
        <f>IF(ListLayout[[#This Row],[List Name for Layout]]="","id",COUNTA($AU$2:ListLayout[[#This Row],[List Name for Layout]])+IF(ISNUMBER(VLOOKUP('Table Seed Map'!$A$27,SeedMap[],9,0)),VLOOKUP('Table Seed Map'!$A$27,SeedMap[],9,0),0))</f>
        <v>802501</v>
      </c>
      <c r="AW3" s="60">
        <f>IFERROR(VLOOKUP(ListLayout[[#This Row],[List Name for Layout]],ResourceList[[ListDisplayName]:[No]],2,0),"resource_list")</f>
        <v>802201</v>
      </c>
      <c r="AX3" s="60" t="s">
        <v>1</v>
      </c>
      <c r="AY3" s="65" t="s">
        <v>23</v>
      </c>
      <c r="AZ3" s="60" t="str">
        <f>IF(ListLayout[[#This Row],[List Name for Layout]]="","relation",IFERROR(VLOOKUP(ListLayout[[#This Row],[Relation]],RelationTable[[Display]:[RELID]],2,0),""))</f>
        <v/>
      </c>
      <c r="BA3" s="60" t="str">
        <f>IF(ListLayout[[#This Row],[List Name for Layout]]="","nest_relation1",IFERROR(VLOOKUP(ListLayout[[#This Row],[Relation 1]],RelationTable[[Display]:[RELID]],2,0),""))</f>
        <v/>
      </c>
      <c r="BB3" s="60" t="str">
        <f>IF(ListLayout[[#This Row],[List Name for Layout]]="","nest_relation2",IFERROR(VLOOKUP(ListLayout[[#This Row],[Relation 2]],RelationTable[[Display]:[RELID]],2,0),""))</f>
        <v/>
      </c>
      <c r="BC3" s="65"/>
      <c r="BD3" s="65"/>
      <c r="BE3" s="65"/>
    </row>
    <row r="4" spans="1:57" x14ac:dyDescent="0.25">
      <c r="A4" s="62" t="str">
        <f>'Table Seed Map'!$A$24&amp;"-"&amp;COUNTA($B$1:ResourceList[[#This Row],[Resource Name]])-1</f>
        <v>Resource Lists-2</v>
      </c>
      <c r="B4" s="63" t="s">
        <v>844</v>
      </c>
      <c r="C4" s="62" t="str">
        <f>ResourceList[[#This Row],[Resource Name]]&amp;"/"&amp;ResourceList[[#This Row],[Name]]</f>
        <v>Partner/PartnerList</v>
      </c>
      <c r="D4" s="60">
        <f>IF(ResourceList[[#This Row],[Resource Name]]="","id",COUNTA($B$2:ResourceList[[#This Row],[Resource Name]])+IF(ISNUMBER(VLOOKUP('Table Seed Map'!$A$24,SeedMap[],9,0)),VLOOKUP('Table Seed Map'!$A$24,SeedMap[],9,0),0))</f>
        <v>802202</v>
      </c>
      <c r="E4" s="60">
        <f>IFERROR(VLOOKUP(ResourceList[[#This Row],[Resource Name]],ResourceTable[[RName]:[No]],3,0),"resource")</f>
        <v>800501</v>
      </c>
      <c r="F4" s="65" t="s">
        <v>932</v>
      </c>
      <c r="G4" s="65" t="s">
        <v>933</v>
      </c>
      <c r="H4" s="65" t="s">
        <v>853</v>
      </c>
      <c r="I4" s="65" t="s">
        <v>23</v>
      </c>
      <c r="J4" s="65">
        <v>30</v>
      </c>
      <c r="K4" s="64">
        <f>ResourceList[No]</f>
        <v>802202</v>
      </c>
      <c r="M4" s="2" t="s">
        <v>1003</v>
      </c>
      <c r="N4" s="6">
        <f>VLOOKUP(ListExtras[[#This Row],[List Name]],ResourceList[[ListDisplayName]:[No]],2,0)</f>
        <v>802205</v>
      </c>
      <c r="O4" s="1" t="s">
        <v>1003</v>
      </c>
      <c r="P4" s="1" t="s">
        <v>996</v>
      </c>
      <c r="Q4" s="1"/>
      <c r="R4" s="1"/>
      <c r="S4" s="1"/>
      <c r="T4" s="6" t="str">
        <f>'Table Seed Map'!$A$25&amp;"-"&amp;COUNT($W$1:ListExtras[[#This Row],[Scope ID]])</f>
        <v>List Scopes-2</v>
      </c>
      <c r="U4" s="15">
        <f>IF(ListExtras[[#This Row],[LID]]=0,"id",IF(ListExtras[[#This Row],[Scope ID]]="","",COUNT($W$2:ListExtras[[#This Row],[Scope ID]])+IF(ISNUMBER(VLOOKUP('Table Seed Map'!$A$25,SeedMap[],9,0)),VLOOKUP('Table Seed Map'!$A$25,SeedMap[],9,0),0)))</f>
        <v>802302</v>
      </c>
      <c r="V4" s="15">
        <f>IF(ListExtras[[#This Row],[LID]]=0,"resource_list",ListExtras[[#This Row],[LID]])</f>
        <v>802205</v>
      </c>
      <c r="W4" s="15">
        <f>IFERROR(VLOOKUP(ListExtras[[#This Row],[Scope Name]],ResourceScopes[[ScopesDisplayNames]:[No]],2,0),IF(ListExtras[[#This Row],[LID]]=0,"scope",""))</f>
        <v>800703</v>
      </c>
      <c r="X4" s="6" t="str">
        <f>'Table Seed Map'!$A$26&amp;"-"&amp;COUNT($AA$1:ListExtras[[#This Row],[Relation]])</f>
        <v>List Relation-2</v>
      </c>
      <c r="Y4" s="15">
        <f>IF(ListExtras[[#This Row],[LID]]=0,"id",IF(ListExtras[[#This Row],[Relation]]="","",COUNT($AA$2:ListExtras[[#This Row],[Relation]])+IF(ISNUMBER(VLOOKUP('Table Seed Map'!$A$26,SeedMap[],9,0)),VLOOKUP('Table Seed Map'!$A$26,SeedMap[],9,0),0)))</f>
        <v>802402</v>
      </c>
      <c r="Z4" s="15">
        <f>IF(ListExtras[[#This Row],[LID]]=0,"resource_list",ListExtras[[#This Row],[LID]])</f>
        <v>802205</v>
      </c>
      <c r="AA4" s="15">
        <f>IFERROR(VLOOKUP(ListExtras[[#This Row],[Relation Name]],RelationTable[[Display]:[RELID]],2,0),IF(ListExtras[[#This Row],[LID]]=0,"relation",""))</f>
        <v>800809</v>
      </c>
      <c r="AB4" s="15" t="str">
        <f>IFERROR(VLOOKUP(ListExtras[[#This Row],[R1 Name]],RelationTable[[Display]:[RELID]],2,0),IF(ListExtras[[#This Row],[LID]]=0,"nest_relation1",""))</f>
        <v/>
      </c>
      <c r="AC4" s="15" t="str">
        <f>IFERROR(VLOOKUP(ListExtras[[#This Row],[R2 Name]],RelationTable[[Display]:[RELID]],2,0),IF(ListExtras[[#This Row],[LID]]=0,"nest_relation2",""))</f>
        <v/>
      </c>
      <c r="AD4" s="15" t="str">
        <f>IFERROR(VLOOKUP(ListExtras[[#This Row],[R3 Name]],RelationTable[[Display]:[RELID]],2,0),IF(ListExtras[[#This Row],[LID]]=0,"nest_relation3",""))</f>
        <v/>
      </c>
      <c r="AF4" s="60" t="str">
        <f>'Table Seed Map'!$A$28&amp;"-"&amp;COUNTA($AH$1:ListSearch[[#This Row],[No]])-2</f>
        <v>List Search-2</v>
      </c>
      <c r="AG4" s="61" t="s">
        <v>913</v>
      </c>
      <c r="AH4" s="60">
        <f>IF(ListSearch[[#This Row],[List Name for Search]]="","id",-1+COUNTA($AG$1:ListSearch[[#This Row],[List Name for Search]])+IF(ISNUMBER(VLOOKUP('Table Seed Map'!$A$28,SeedMap[],9,0)),VLOOKUP('Table Seed Map'!$A$28,SeedMap[],9,0),0))</f>
        <v>802602</v>
      </c>
      <c r="AI4" s="60">
        <f>IFERROR(VLOOKUP(ListSearch[[#This Row],[List Name for Search]],ResourceList[[ListDisplayName]:[No]],2,0),"resource_list")</f>
        <v>802201</v>
      </c>
      <c r="AJ4" s="65" t="s">
        <v>24</v>
      </c>
      <c r="AK4" s="60" t="str">
        <f>IF(ListSearch[[#This Row],[List Name for Search]]="","relation",IFERROR(VLOOKUP(ListSearch[[#This Row],[Relation]],RelationTable[[Display]:[RELID]],2,0),""))</f>
        <v/>
      </c>
      <c r="AL4" s="60" t="str">
        <f>IF(ListSearch[[#This Row],[List Name for Search]]="","nest_relation1",IFERROR(VLOOKUP(ListSearch[[#This Row],[Relation 1]],RelationTable[[Display]:[RELID]],2,0),""))</f>
        <v/>
      </c>
      <c r="AM4" s="60" t="str">
        <f>IF(ListSearch[[#This Row],[List Name for Search]]="","nest_relation2",IFERROR(VLOOKUP(ListSearch[[#This Row],[Relation 2]],RelationTable[[Display]:[RELID]],2,0),""))</f>
        <v/>
      </c>
      <c r="AN4" s="60" t="str">
        <f>IF(ListSearch[[#This Row],[List Name for Search]]="","nest_relation3",IFERROR(VLOOKUP(ListSearch[[#This Row],[Relation 3]],RelationTable[[Display]:[RELID]],2,0),""))</f>
        <v/>
      </c>
      <c r="AO4" s="65"/>
      <c r="AP4" s="65"/>
      <c r="AQ4" s="65"/>
      <c r="AR4" s="65"/>
      <c r="AT4" s="60" t="str">
        <f>'Table Seed Map'!$A$27&amp;"-"&amp;COUNTA($AV$1:ListLayout[[#This Row],[No]])-2</f>
        <v>List Layout-2</v>
      </c>
      <c r="AU4" s="61" t="s">
        <v>913</v>
      </c>
      <c r="AV4" s="60">
        <f>IF(ListLayout[[#This Row],[List Name for Layout]]="","id",COUNTA($AU$2:ListLayout[[#This Row],[List Name for Layout]])+IF(ISNUMBER(VLOOKUP('Table Seed Map'!$A$27,SeedMap[],9,0)),VLOOKUP('Table Seed Map'!$A$27,SeedMap[],9,0),0))</f>
        <v>802502</v>
      </c>
      <c r="AW4" s="60">
        <f>IFERROR(VLOOKUP(ListLayout[[#This Row],[List Name for Layout]],ResourceList[[ListDisplayName]:[No]],2,0),"resource_list")</f>
        <v>802201</v>
      </c>
      <c r="AX4" s="60" t="s">
        <v>902</v>
      </c>
      <c r="AY4" s="65" t="s">
        <v>809</v>
      </c>
      <c r="AZ4" s="60" t="str">
        <f>IF(ListLayout[[#This Row],[List Name for Layout]]="","relation",IFERROR(VLOOKUP(ListLayout[[#This Row],[Relation]],RelationTable[[Display]:[RELID]],2,0),""))</f>
        <v/>
      </c>
      <c r="BA4" s="60" t="str">
        <f>IF(ListLayout[[#This Row],[List Name for Layout]]="","nest_relation1",IFERROR(VLOOKUP(ListLayout[[#This Row],[Relation 1]],RelationTable[[Display]:[RELID]],2,0),""))</f>
        <v/>
      </c>
      <c r="BB4" s="60" t="str">
        <f>IF(ListLayout[[#This Row],[List Name for Layout]]="","nest_relation2",IFERROR(VLOOKUP(ListLayout[[#This Row],[Relation 2]],RelationTable[[Display]:[RELID]],2,0),""))</f>
        <v/>
      </c>
      <c r="BC4" s="65"/>
      <c r="BD4" s="65"/>
      <c r="BE4" s="65"/>
    </row>
    <row r="5" spans="1:57" x14ac:dyDescent="0.25">
      <c r="A5" s="62" t="str">
        <f>'Table Seed Map'!$A$24&amp;"-"&amp;COUNTA($B$1:ResourceList[[#This Row],[Resource Name]])-1</f>
        <v>Resource Lists-3</v>
      </c>
      <c r="B5" s="63" t="s">
        <v>846</v>
      </c>
      <c r="C5" s="62" t="str">
        <f>ResourceList[[#This Row],[Resource Name]]&amp;"/"&amp;ResourceList[[#This Row],[Name]]</f>
        <v>Task/Task List</v>
      </c>
      <c r="D5" s="60">
        <f>IF(ResourceList[[#This Row],[Resource Name]]="","id",COUNTA($B$2:ResourceList[[#This Row],[Resource Name]])+IF(ISNUMBER(VLOOKUP('Table Seed Map'!$A$24,SeedMap[],9,0)),VLOOKUP('Table Seed Map'!$A$24,SeedMap[],9,0),0))</f>
        <v>802203</v>
      </c>
      <c r="E5" s="60">
        <f>IFERROR(VLOOKUP(ResourceList[[#This Row],[Resource Name]],ResourceTable[[RName]:[No]],3,0),"resource")</f>
        <v>800504</v>
      </c>
      <c r="F5" s="65" t="s">
        <v>960</v>
      </c>
      <c r="G5" s="65" t="s">
        <v>961</v>
      </c>
      <c r="H5" s="65" t="s">
        <v>851</v>
      </c>
      <c r="I5" s="65" t="s">
        <v>21</v>
      </c>
      <c r="J5" s="65">
        <v>30</v>
      </c>
      <c r="K5" s="64">
        <f>ResourceList[No]</f>
        <v>802203</v>
      </c>
      <c r="M5" s="2" t="s">
        <v>1004</v>
      </c>
      <c r="N5" s="6">
        <f>VLOOKUP(ListExtras[[#This Row],[List Name]],ResourceList[[ListDisplayName]:[No]],2,0)</f>
        <v>802206</v>
      </c>
      <c r="O5" s="1" t="s">
        <v>1004</v>
      </c>
      <c r="P5" s="1" t="s">
        <v>996</v>
      </c>
      <c r="Q5" s="1"/>
      <c r="R5" s="1"/>
      <c r="S5" s="1"/>
      <c r="T5" s="6" t="str">
        <f>'Table Seed Map'!$A$25&amp;"-"&amp;COUNT($W$1:ListExtras[[#This Row],[Scope ID]])</f>
        <v>List Scopes-3</v>
      </c>
      <c r="U5" s="15">
        <f>IF(ListExtras[[#This Row],[LID]]=0,"id",IF(ListExtras[[#This Row],[Scope ID]]="","",COUNT($W$2:ListExtras[[#This Row],[Scope ID]])+IF(ISNUMBER(VLOOKUP('Table Seed Map'!$A$25,SeedMap[],9,0)),VLOOKUP('Table Seed Map'!$A$25,SeedMap[],9,0),0)))</f>
        <v>802303</v>
      </c>
      <c r="V5" s="15">
        <f>IF(ListExtras[[#This Row],[LID]]=0,"resource_list",ListExtras[[#This Row],[LID]])</f>
        <v>802206</v>
      </c>
      <c r="W5" s="15">
        <f>IFERROR(VLOOKUP(ListExtras[[#This Row],[Scope Name]],ResourceScopes[[ScopesDisplayNames]:[No]],2,0),IF(ListExtras[[#This Row],[LID]]=0,"scope",""))</f>
        <v>800704</v>
      </c>
      <c r="X5" s="6" t="str">
        <f>'Table Seed Map'!$A$26&amp;"-"&amp;COUNT($AA$1:ListExtras[[#This Row],[Relation]])</f>
        <v>List Relation-3</v>
      </c>
      <c r="Y5" s="15">
        <f>IF(ListExtras[[#This Row],[LID]]=0,"id",IF(ListExtras[[#This Row],[Relation]]="","",COUNT($AA$2:ListExtras[[#This Row],[Relation]])+IF(ISNUMBER(VLOOKUP('Table Seed Map'!$A$26,SeedMap[],9,0)),VLOOKUP('Table Seed Map'!$A$26,SeedMap[],9,0),0)))</f>
        <v>802403</v>
      </c>
      <c r="Z5" s="15">
        <f>IF(ListExtras[[#This Row],[LID]]=0,"resource_list",ListExtras[[#This Row],[LID]])</f>
        <v>802206</v>
      </c>
      <c r="AA5" s="15">
        <f>IFERROR(VLOOKUP(ListExtras[[#This Row],[Relation Name]],RelationTable[[Display]:[RELID]],2,0),IF(ListExtras[[#This Row],[LID]]=0,"relation",""))</f>
        <v>800809</v>
      </c>
      <c r="AB5" s="15" t="str">
        <f>IFERROR(VLOOKUP(ListExtras[[#This Row],[R1 Name]],RelationTable[[Display]:[RELID]],2,0),IF(ListExtras[[#This Row],[LID]]=0,"nest_relation1",""))</f>
        <v/>
      </c>
      <c r="AC5" s="15" t="str">
        <f>IFERROR(VLOOKUP(ListExtras[[#This Row],[R2 Name]],RelationTable[[Display]:[RELID]],2,0),IF(ListExtras[[#This Row],[LID]]=0,"nest_relation2",""))</f>
        <v/>
      </c>
      <c r="AD5" s="15" t="str">
        <f>IFERROR(VLOOKUP(ListExtras[[#This Row],[R3 Name]],RelationTable[[Display]:[RELID]],2,0),IF(ListExtras[[#This Row],[LID]]=0,"nest_relation3",""))</f>
        <v/>
      </c>
      <c r="AF5" s="60" t="str">
        <f>'Table Seed Map'!$A$28&amp;"-"&amp;COUNTA($AH$1:ListSearch[[#This Row],[No]])-2</f>
        <v>List Search-3</v>
      </c>
      <c r="AG5" s="61" t="s">
        <v>934</v>
      </c>
      <c r="AH5" s="60">
        <f>IF(ListSearch[[#This Row],[List Name for Search]]="","id",-1+COUNTA($AG$1:ListSearch[[#This Row],[List Name for Search]])+IF(ISNUMBER(VLOOKUP('Table Seed Map'!$A$28,SeedMap[],9,0)),VLOOKUP('Table Seed Map'!$A$28,SeedMap[],9,0),0))</f>
        <v>802603</v>
      </c>
      <c r="AI5" s="60">
        <f>IFERROR(VLOOKUP(ListSearch[[#This Row],[List Name for Search]],ResourceList[[ListDisplayName]:[No]],2,0),"resource_list")</f>
        <v>802202</v>
      </c>
      <c r="AJ5" s="65" t="s">
        <v>23</v>
      </c>
      <c r="AK5" s="60" t="str">
        <f>IF(ListSearch[[#This Row],[List Name for Search]]="","relation",IFERROR(VLOOKUP(ListSearch[[#This Row],[Relation]],RelationTable[[Display]:[RELID]],2,0),""))</f>
        <v/>
      </c>
      <c r="AL5" s="60" t="str">
        <f>IF(ListSearch[[#This Row],[List Name for Search]]="","nest_relation1",IFERROR(VLOOKUP(ListSearch[[#This Row],[Relation 1]],RelationTable[[Display]:[RELID]],2,0),""))</f>
        <v/>
      </c>
      <c r="AM5" s="60" t="str">
        <f>IF(ListSearch[[#This Row],[List Name for Search]]="","nest_relation2",IFERROR(VLOOKUP(ListSearch[[#This Row],[Relation 2]],RelationTable[[Display]:[RELID]],2,0),""))</f>
        <v/>
      </c>
      <c r="AN5" s="60" t="str">
        <f>IF(ListSearch[[#This Row],[List Name for Search]]="","nest_relation3",IFERROR(VLOOKUP(ListSearch[[#This Row],[Relation 3]],RelationTable[[Display]:[RELID]],2,0),""))</f>
        <v/>
      </c>
      <c r="AO5" s="65"/>
      <c r="AP5" s="65"/>
      <c r="AQ5" s="65"/>
      <c r="AR5" s="65"/>
      <c r="AT5" s="60" t="str">
        <f>'Table Seed Map'!$A$27&amp;"-"&amp;COUNTA($AV$1:ListLayout[[#This Row],[No]])-2</f>
        <v>List Layout-3</v>
      </c>
      <c r="AU5" s="61" t="s">
        <v>934</v>
      </c>
      <c r="AV5" s="60">
        <f>IF(ListLayout[[#This Row],[List Name for Layout]]="","id",COUNTA($AU$2:ListLayout[[#This Row],[List Name for Layout]])+IF(ISNUMBER(VLOOKUP('Table Seed Map'!$A$27,SeedMap[],9,0)),VLOOKUP('Table Seed Map'!$A$27,SeedMap[],9,0),0))</f>
        <v>802503</v>
      </c>
      <c r="AW5" s="60">
        <f>IFERROR(VLOOKUP(ListLayout[[#This Row],[List Name for Layout]],ResourceList[[ListDisplayName]:[No]],2,0),"resource_list")</f>
        <v>802202</v>
      </c>
      <c r="AX5" s="60" t="s">
        <v>1</v>
      </c>
      <c r="AY5" s="65" t="s">
        <v>23</v>
      </c>
      <c r="AZ5" s="60" t="str">
        <f>IF(ListLayout[[#This Row],[List Name for Layout]]="","relation",IFERROR(VLOOKUP(ListLayout[[#This Row],[Relation]],RelationTable[[Display]:[RELID]],2,0),""))</f>
        <v/>
      </c>
      <c r="BA5" s="60" t="str">
        <f>IF(ListLayout[[#This Row],[List Name for Layout]]="","nest_relation1",IFERROR(VLOOKUP(ListLayout[[#This Row],[Relation 1]],RelationTable[[Display]:[RELID]],2,0),""))</f>
        <v/>
      </c>
      <c r="BB5" s="60" t="str">
        <f>IF(ListLayout[[#This Row],[List Name for Layout]]="","nest_relation2",IFERROR(VLOOKUP(ListLayout[[#This Row],[Relation 2]],RelationTable[[Display]:[RELID]],2,0),""))</f>
        <v/>
      </c>
      <c r="BC5" s="65"/>
      <c r="BD5" s="65"/>
      <c r="BE5" s="65"/>
    </row>
    <row r="6" spans="1:57" x14ac:dyDescent="0.25">
      <c r="A6" s="62" t="str">
        <f>'Table Seed Map'!$A$24&amp;"-"&amp;COUNTA($B$1:ResourceList[[#This Row],[Resource Name]])-1</f>
        <v>Resource Lists-4</v>
      </c>
      <c r="B6" s="63" t="s">
        <v>847</v>
      </c>
      <c r="C6" s="62" t="str">
        <f>ResourceList[[#This Row],[Resource Name]]&amp;"/"&amp;ResourceList[[#This Row],[Name]]</f>
        <v>PartnerTask/NewTaskList</v>
      </c>
      <c r="D6" s="60">
        <f>IF(ResourceList[[#This Row],[Resource Name]]="","id",COUNTA($B$2:ResourceList[[#This Row],[Resource Name]])+IF(ISNUMBER(VLOOKUP('Table Seed Map'!$A$24,SeedMap[],9,0)),VLOOKUP('Table Seed Map'!$A$24,SeedMap[],9,0),0))</f>
        <v>802204</v>
      </c>
      <c r="E6" s="60">
        <f>IFERROR(VLOOKUP(ResourceList[[#This Row],[Resource Name]],ResourceTable[[RName]:[No]],3,0),"resource")</f>
        <v>800505</v>
      </c>
      <c r="F6" s="65" t="s">
        <v>989</v>
      </c>
      <c r="G6" s="65" t="s">
        <v>990</v>
      </c>
      <c r="H6" s="65" t="s">
        <v>991</v>
      </c>
      <c r="I6" s="65" t="s">
        <v>21</v>
      </c>
      <c r="J6" s="65">
        <v>30</v>
      </c>
      <c r="K6" s="64">
        <f>ResourceList[No]</f>
        <v>802204</v>
      </c>
      <c r="M6" s="2" t="s">
        <v>1005</v>
      </c>
      <c r="N6" s="6">
        <f>VLOOKUP(ListExtras[[#This Row],[List Name]],ResourceList[[ListDisplayName]:[No]],2,0)</f>
        <v>802207</v>
      </c>
      <c r="O6" s="1" t="s">
        <v>1005</v>
      </c>
      <c r="P6" s="1" t="s">
        <v>996</v>
      </c>
      <c r="Q6" s="1"/>
      <c r="R6" s="1"/>
      <c r="S6" s="1"/>
      <c r="T6" s="6" t="str">
        <f>'Table Seed Map'!$A$25&amp;"-"&amp;COUNT($W$1:ListExtras[[#This Row],[Scope ID]])</f>
        <v>List Scopes-4</v>
      </c>
      <c r="U6" s="15">
        <f>IF(ListExtras[[#This Row],[LID]]=0,"id",IF(ListExtras[[#This Row],[Scope ID]]="","",COUNT($W$2:ListExtras[[#This Row],[Scope ID]])+IF(ISNUMBER(VLOOKUP('Table Seed Map'!$A$25,SeedMap[],9,0)),VLOOKUP('Table Seed Map'!$A$25,SeedMap[],9,0),0)))</f>
        <v>802304</v>
      </c>
      <c r="V6" s="15">
        <f>IF(ListExtras[[#This Row],[LID]]=0,"resource_list",ListExtras[[#This Row],[LID]])</f>
        <v>802207</v>
      </c>
      <c r="W6" s="15">
        <f>IFERROR(VLOOKUP(ListExtras[[#This Row],[Scope Name]],ResourceScopes[[ScopesDisplayNames]:[No]],2,0),IF(ListExtras[[#This Row],[LID]]=0,"scope",""))</f>
        <v>800702</v>
      </c>
      <c r="X6" s="6" t="str">
        <f>'Table Seed Map'!$A$26&amp;"-"&amp;COUNT($AA$1:ListExtras[[#This Row],[Relation]])</f>
        <v>List Relation-4</v>
      </c>
      <c r="Y6" s="15">
        <f>IF(ListExtras[[#This Row],[LID]]=0,"id",IF(ListExtras[[#This Row],[Relation]]="","",COUNT($AA$2:ListExtras[[#This Row],[Relation]])+IF(ISNUMBER(VLOOKUP('Table Seed Map'!$A$26,SeedMap[],9,0)),VLOOKUP('Table Seed Map'!$A$26,SeedMap[],9,0),0)))</f>
        <v>802404</v>
      </c>
      <c r="Z6" s="15">
        <f>IF(ListExtras[[#This Row],[LID]]=0,"resource_list",ListExtras[[#This Row],[LID]])</f>
        <v>802207</v>
      </c>
      <c r="AA6" s="15">
        <f>IFERROR(VLOOKUP(ListExtras[[#This Row],[Relation Name]],RelationTable[[Display]:[RELID]],2,0),IF(ListExtras[[#This Row],[LID]]=0,"relation",""))</f>
        <v>800809</v>
      </c>
      <c r="AB6" s="15" t="str">
        <f>IFERROR(VLOOKUP(ListExtras[[#This Row],[R1 Name]],RelationTable[[Display]:[RELID]],2,0),IF(ListExtras[[#This Row],[LID]]=0,"nest_relation1",""))</f>
        <v/>
      </c>
      <c r="AC6" s="15" t="str">
        <f>IFERROR(VLOOKUP(ListExtras[[#This Row],[R2 Name]],RelationTable[[Display]:[RELID]],2,0),IF(ListExtras[[#This Row],[LID]]=0,"nest_relation2",""))</f>
        <v/>
      </c>
      <c r="AD6" s="15" t="str">
        <f>IFERROR(VLOOKUP(ListExtras[[#This Row],[R3 Name]],RelationTable[[Display]:[RELID]],2,0),IF(ListExtras[[#This Row],[LID]]=0,"nest_relation3",""))</f>
        <v/>
      </c>
      <c r="AF6" s="60" t="str">
        <f>'Table Seed Map'!$A$28&amp;"-"&amp;COUNTA($AH$1:ListSearch[[#This Row],[No]])-2</f>
        <v>List Search-4</v>
      </c>
      <c r="AG6" s="61" t="s">
        <v>934</v>
      </c>
      <c r="AH6" s="60">
        <f>IF(ListSearch[[#This Row],[List Name for Search]]="","id",-1+COUNTA($AG$1:ListSearch[[#This Row],[List Name for Search]])+IF(ISNUMBER(VLOOKUP('Table Seed Map'!$A$28,SeedMap[],9,0)),VLOOKUP('Table Seed Map'!$A$28,SeedMap[],9,0),0))</f>
        <v>802604</v>
      </c>
      <c r="AI6" s="60">
        <f>IFERROR(VLOOKUP(ListSearch[[#This Row],[List Name for Search]],ResourceList[[ListDisplayName]:[No]],2,0),"resource_list")</f>
        <v>802202</v>
      </c>
      <c r="AJ6" s="65" t="s">
        <v>855</v>
      </c>
      <c r="AK6" s="60" t="str">
        <f>IF(ListSearch[[#This Row],[List Name for Search]]="","relation",IFERROR(VLOOKUP(ListSearch[[#This Row],[Relation]],RelationTable[[Display]:[RELID]],2,0),""))</f>
        <v/>
      </c>
      <c r="AL6" s="60" t="str">
        <f>IF(ListSearch[[#This Row],[List Name for Search]]="","nest_relation1",IFERROR(VLOOKUP(ListSearch[[#This Row],[Relation 1]],RelationTable[[Display]:[RELID]],2,0),""))</f>
        <v/>
      </c>
      <c r="AM6" s="60" t="str">
        <f>IF(ListSearch[[#This Row],[List Name for Search]]="","nest_relation2",IFERROR(VLOOKUP(ListSearch[[#This Row],[Relation 2]],RelationTable[[Display]:[RELID]],2,0),""))</f>
        <v/>
      </c>
      <c r="AN6" s="60" t="str">
        <f>IF(ListSearch[[#This Row],[List Name for Search]]="","nest_relation3",IFERROR(VLOOKUP(ListSearch[[#This Row],[Relation 3]],RelationTable[[Display]:[RELID]],2,0),""))</f>
        <v/>
      </c>
      <c r="AO6" s="65"/>
      <c r="AP6" s="65"/>
      <c r="AQ6" s="65"/>
      <c r="AR6" s="65"/>
      <c r="AT6" s="60" t="str">
        <f>'Table Seed Map'!$A$27&amp;"-"&amp;COUNTA($AV$1:ListLayout[[#This Row],[No]])-2</f>
        <v>List Layout-4</v>
      </c>
      <c r="AU6" s="61" t="s">
        <v>934</v>
      </c>
      <c r="AV6" s="60">
        <f>IF(ListLayout[[#This Row],[List Name for Layout]]="","id",COUNTA($AU$2:ListLayout[[#This Row],[List Name for Layout]])+IF(ISNUMBER(VLOOKUP('Table Seed Map'!$A$27,SeedMap[],9,0)),VLOOKUP('Table Seed Map'!$A$27,SeedMap[],9,0),0))</f>
        <v>802504</v>
      </c>
      <c r="AW6" s="60">
        <f>IFERROR(VLOOKUP(ListLayout[[#This Row],[List Name for Layout]],ResourceList[[ListDisplayName]:[No]],2,0),"resource_list")</f>
        <v>802202</v>
      </c>
      <c r="AX6" s="60" t="s">
        <v>920</v>
      </c>
      <c r="AY6" s="65" t="s">
        <v>855</v>
      </c>
      <c r="AZ6" s="60" t="str">
        <f>IF(ListLayout[[#This Row],[List Name for Layout]]="","relation",IFERROR(VLOOKUP(ListLayout[[#This Row],[Relation]],RelationTable[[Display]:[RELID]],2,0),""))</f>
        <v/>
      </c>
      <c r="BA6" s="60" t="str">
        <f>IF(ListLayout[[#This Row],[List Name for Layout]]="","nest_relation1",IFERROR(VLOOKUP(ListLayout[[#This Row],[Relation 1]],RelationTable[[Display]:[RELID]],2,0),""))</f>
        <v/>
      </c>
      <c r="BB6" s="60" t="str">
        <f>IF(ListLayout[[#This Row],[List Name for Layout]]="","nest_relation2",IFERROR(VLOOKUP(ListLayout[[#This Row],[Relation 2]],RelationTable[[Display]:[RELID]],2,0),""))</f>
        <v/>
      </c>
      <c r="BC6" s="65"/>
      <c r="BD6" s="65"/>
      <c r="BE6" s="65"/>
    </row>
    <row r="7" spans="1:57" x14ac:dyDescent="0.25">
      <c r="A7" s="6" t="str">
        <f>'Table Seed Map'!$A$24&amp;"-"&amp;COUNTA($B$1:ResourceList[[#This Row],[Resource Name]])-1</f>
        <v>Resource Lists-5</v>
      </c>
      <c r="B7" s="1" t="s">
        <v>847</v>
      </c>
      <c r="C7" s="6" t="str">
        <f>ResourceList[[#This Row],[Resource Name]]&amp;"/"&amp;ResourceList[[#This Row],[Name]]</f>
        <v>PartnerTask/DismissedTasks</v>
      </c>
      <c r="D7" s="15">
        <f>IF(ResourceList[[#This Row],[Resource Name]]="","id",COUNTA($B$2:ResourceList[[#This Row],[Resource Name]])+IF(ISNUMBER(VLOOKUP('Table Seed Map'!$A$24,SeedMap[],9,0)),VLOOKUP('Table Seed Map'!$A$24,SeedMap[],9,0),0))</f>
        <v>802205</v>
      </c>
      <c r="E7" s="15">
        <f>IFERROR(VLOOKUP(ResourceList[[#This Row],[Resource Name]],ResourceTable[[RName]:[No]],3,0),"resource")</f>
        <v>800505</v>
      </c>
      <c r="F7" s="13" t="s">
        <v>891</v>
      </c>
      <c r="G7" s="13" t="s">
        <v>997</v>
      </c>
      <c r="H7" s="13" t="s">
        <v>998</v>
      </c>
      <c r="I7" s="65" t="s">
        <v>21</v>
      </c>
      <c r="J7" s="65">
        <v>30</v>
      </c>
      <c r="K7" s="3">
        <f>ResourceList[No]</f>
        <v>802205</v>
      </c>
      <c r="M7" s="61" t="s">
        <v>1077</v>
      </c>
      <c r="N7" s="62">
        <f>VLOOKUP(ListExtras[[#This Row],[List Name]],ResourceList[[ListDisplayName]:[No]],2,0)</f>
        <v>802208</v>
      </c>
      <c r="O7" s="1" t="s">
        <v>1005</v>
      </c>
      <c r="P7" s="1" t="s">
        <v>1072</v>
      </c>
      <c r="Q7" s="63"/>
      <c r="R7" s="63"/>
      <c r="S7" s="63"/>
      <c r="T7" s="62" t="str">
        <f>'Table Seed Map'!$A$25&amp;"-"&amp;COUNT($W$1:ListExtras[[#This Row],[Scope ID]])</f>
        <v>List Scopes-5</v>
      </c>
      <c r="U7" s="60">
        <f>IF(ListExtras[[#This Row],[LID]]=0,"id",IF(ListExtras[[#This Row],[Scope ID]]="","",COUNT($W$2:ListExtras[[#This Row],[Scope ID]])+IF(ISNUMBER(VLOOKUP('Table Seed Map'!$A$25,SeedMap[],9,0)),VLOOKUP('Table Seed Map'!$A$25,SeedMap[],9,0),0)))</f>
        <v>802305</v>
      </c>
      <c r="V7" s="60">
        <f>IF(ListExtras[[#This Row],[LID]]=0,"resource_list",ListExtras[[#This Row],[LID]])</f>
        <v>802208</v>
      </c>
      <c r="W7" s="60">
        <f>IFERROR(VLOOKUP(ListExtras[[#This Row],[Scope Name]],ResourceScopes[[ScopesDisplayNames]:[No]],2,0),IF(ListExtras[[#This Row],[LID]]=0,"scope",""))</f>
        <v>800702</v>
      </c>
      <c r="X7" s="62" t="str">
        <f>'Table Seed Map'!$A$26&amp;"-"&amp;COUNT($AA$1:ListExtras[[#This Row],[Relation]])</f>
        <v>List Relation-5</v>
      </c>
      <c r="Y7" s="60">
        <f>IF(ListExtras[[#This Row],[LID]]=0,"id",IF(ListExtras[[#This Row],[Relation]]="","",COUNT($AA$2:ListExtras[[#This Row],[Relation]])+IF(ISNUMBER(VLOOKUP('Table Seed Map'!$A$26,SeedMap[],9,0)),VLOOKUP('Table Seed Map'!$A$26,SeedMap[],9,0),0)))</f>
        <v>802405</v>
      </c>
      <c r="Z7" s="60">
        <f>IF(ListExtras[[#This Row],[LID]]=0,"resource_list",ListExtras[[#This Row],[LID]])</f>
        <v>802208</v>
      </c>
      <c r="AA7" s="60">
        <f>IFERROR(VLOOKUP(ListExtras[[#This Row],[Relation Name]],RelationTable[[Display]:[RELID]],2,0),IF(ListExtras[[#This Row],[LID]]=0,"relation",""))</f>
        <v>800810</v>
      </c>
      <c r="AB7" s="60" t="str">
        <f>IFERROR(VLOOKUP(ListExtras[[#This Row],[R1 Name]],RelationTable[[Display]:[RELID]],2,0),IF(ListExtras[[#This Row],[LID]]=0,"nest_relation1",""))</f>
        <v/>
      </c>
      <c r="AC7" s="60" t="str">
        <f>IFERROR(VLOOKUP(ListExtras[[#This Row],[R2 Name]],RelationTable[[Display]:[RELID]],2,0),IF(ListExtras[[#This Row],[LID]]=0,"nest_relation2",""))</f>
        <v/>
      </c>
      <c r="AD7" s="60" t="str">
        <f>IFERROR(VLOOKUP(ListExtras[[#This Row],[R3 Name]],RelationTable[[Display]:[RELID]],2,0),IF(ListExtras[[#This Row],[LID]]=0,"nest_relation3",""))</f>
        <v/>
      </c>
      <c r="AF7" s="60" t="str">
        <f>'Table Seed Map'!$A$28&amp;"-"&amp;COUNTA($AH$1:ListSearch[[#This Row],[No]])-2</f>
        <v>List Search-5</v>
      </c>
      <c r="AG7" s="61" t="s">
        <v>962</v>
      </c>
      <c r="AH7" s="60">
        <f>IF(ListSearch[[#This Row],[List Name for Search]]="","id",-1+COUNTA($AG$1:ListSearch[[#This Row],[List Name for Search]])+IF(ISNUMBER(VLOOKUP('Table Seed Map'!$A$28,SeedMap[],9,0)),VLOOKUP('Table Seed Map'!$A$28,SeedMap[],9,0),0))</f>
        <v>802605</v>
      </c>
      <c r="AI7" s="60">
        <f>IFERROR(VLOOKUP(ListSearch[[#This Row],[List Name for Search]],ResourceList[[ListDisplayName]:[No]],2,0),"resource_list")</f>
        <v>802203</v>
      </c>
      <c r="AJ7" s="65" t="s">
        <v>23</v>
      </c>
      <c r="AK7" s="60" t="str">
        <f>IF(ListSearch[[#This Row],[List Name for Search]]="","relation",IFERROR(VLOOKUP(ListSearch[[#This Row],[Relation]],RelationTable[[Display]:[RELID]],2,0),""))</f>
        <v/>
      </c>
      <c r="AL7" s="60" t="str">
        <f>IF(ListSearch[[#This Row],[List Name for Search]]="","nest_relation1",IFERROR(VLOOKUP(ListSearch[[#This Row],[Relation 1]],RelationTable[[Display]:[RELID]],2,0),""))</f>
        <v/>
      </c>
      <c r="AM7" s="60" t="str">
        <f>IF(ListSearch[[#This Row],[List Name for Search]]="","nest_relation2",IFERROR(VLOOKUP(ListSearch[[#This Row],[Relation 2]],RelationTable[[Display]:[RELID]],2,0),""))</f>
        <v/>
      </c>
      <c r="AN7" s="60" t="str">
        <f>IF(ListSearch[[#This Row],[List Name for Search]]="","nest_relation3",IFERROR(VLOOKUP(ListSearch[[#This Row],[Relation 3]],RelationTable[[Display]:[RELID]],2,0),""))</f>
        <v/>
      </c>
      <c r="AO7" s="65"/>
      <c r="AP7" s="65"/>
      <c r="AQ7" s="65"/>
      <c r="AR7" s="65"/>
      <c r="AT7" s="60" t="str">
        <f>'Table Seed Map'!$A$27&amp;"-"&amp;COUNTA($AV$1:ListLayout[[#This Row],[No]])-2</f>
        <v>List Layout-5</v>
      </c>
      <c r="AU7" s="61" t="s">
        <v>962</v>
      </c>
      <c r="AV7" s="60">
        <f>IF(ListLayout[[#This Row],[List Name for Layout]]="","id",COUNTA($AU$2:ListLayout[[#This Row],[List Name for Layout]])+IF(ISNUMBER(VLOOKUP('Table Seed Map'!$A$27,SeedMap[],9,0)),VLOOKUP('Table Seed Map'!$A$27,SeedMap[],9,0),0))</f>
        <v>802505</v>
      </c>
      <c r="AW7" s="60">
        <f>IFERROR(VLOOKUP(ListLayout[[#This Row],[List Name for Layout]],ResourceList[[ListDisplayName]:[No]],2,0),"resource_list")</f>
        <v>802203</v>
      </c>
      <c r="AX7" s="60" t="s">
        <v>1</v>
      </c>
      <c r="AY7" s="65" t="s">
        <v>23</v>
      </c>
      <c r="AZ7" s="60" t="str">
        <f>IF(ListLayout[[#This Row],[List Name for Layout]]="","relation",IFERROR(VLOOKUP(ListLayout[[#This Row],[Relation]],RelationTable[[Display]:[RELID]],2,0),""))</f>
        <v/>
      </c>
      <c r="BA7" s="60" t="str">
        <f>IF(ListLayout[[#This Row],[List Name for Layout]]="","nest_relation1",IFERROR(VLOOKUP(ListLayout[[#This Row],[Relation 1]],RelationTable[[Display]:[RELID]],2,0),""))</f>
        <v/>
      </c>
      <c r="BB7" s="60" t="str">
        <f>IF(ListLayout[[#This Row],[List Name for Layout]]="","nest_relation2",IFERROR(VLOOKUP(ListLayout[[#This Row],[Relation 2]],RelationTable[[Display]:[RELID]],2,0),""))</f>
        <v/>
      </c>
      <c r="BC7" s="65"/>
      <c r="BD7" s="65"/>
      <c r="BE7" s="65"/>
    </row>
    <row r="8" spans="1:57" x14ac:dyDescent="0.25">
      <c r="A8" s="6" t="str">
        <f>'Table Seed Map'!$A$24&amp;"-"&amp;COUNTA($B$1:ResourceList[[#This Row],[Resource Name]])-1</f>
        <v>Resource Lists-6</v>
      </c>
      <c r="B8" s="1" t="s">
        <v>847</v>
      </c>
      <c r="C8" s="6" t="str">
        <f>ResourceList[[#This Row],[Resource Name]]&amp;"/"&amp;ResourceList[[#This Row],[Name]]</f>
        <v>PartnerTask/ReturnedTasks</v>
      </c>
      <c r="D8" s="15">
        <f>IF(ResourceList[[#This Row],[Resource Name]]="","id",COUNTA($B$2:ResourceList[[#This Row],[Resource Name]])+IF(ISNUMBER(VLOOKUP('Table Seed Map'!$A$24,SeedMap[],9,0)),VLOOKUP('Table Seed Map'!$A$24,SeedMap[],9,0),0))</f>
        <v>802206</v>
      </c>
      <c r="E8" s="15">
        <f>IFERROR(VLOOKUP(ResourceList[[#This Row],[Resource Name]],ResourceTable[[RName]:[No]],3,0),"resource")</f>
        <v>800505</v>
      </c>
      <c r="F8" s="13" t="s">
        <v>892</v>
      </c>
      <c r="G8" s="13" t="s">
        <v>999</v>
      </c>
      <c r="H8" s="13" t="s">
        <v>1000</v>
      </c>
      <c r="I8" s="65" t="s">
        <v>21</v>
      </c>
      <c r="J8" s="65">
        <v>30</v>
      </c>
      <c r="K8" s="3">
        <f>ResourceList[No]</f>
        <v>802206</v>
      </c>
      <c r="M8" s="61" t="s">
        <v>1077</v>
      </c>
      <c r="N8" s="62">
        <f>VLOOKUP(ListExtras[[#This Row],[List Name]],ResourceList[[ListDisplayName]:[No]],2,0)</f>
        <v>802208</v>
      </c>
      <c r="O8" s="63" t="s">
        <v>1066</v>
      </c>
      <c r="P8" s="63"/>
      <c r="Q8" s="63"/>
      <c r="R8" s="63"/>
      <c r="S8" s="63"/>
      <c r="T8" s="62" t="str">
        <f>'Table Seed Map'!$A$25&amp;"-"&amp;COUNT($W$1:ListExtras[[#This Row],[Scope ID]])</f>
        <v>List Scopes-6</v>
      </c>
      <c r="U8" s="60">
        <f>IF(ListExtras[[#This Row],[LID]]=0,"id",IF(ListExtras[[#This Row],[Scope ID]]="","",COUNT($W$2:ListExtras[[#This Row],[Scope ID]])+IF(ISNUMBER(VLOOKUP('Table Seed Map'!$A$25,SeedMap[],9,0)),VLOOKUP('Table Seed Map'!$A$25,SeedMap[],9,0),0)))</f>
        <v>802306</v>
      </c>
      <c r="V8" s="60">
        <f>IF(ListExtras[[#This Row],[LID]]=0,"resource_list",ListExtras[[#This Row],[LID]])</f>
        <v>802208</v>
      </c>
      <c r="W8" s="60">
        <f>IFERROR(VLOOKUP(ListExtras[[#This Row],[Scope Name]],ResourceScopes[[ScopesDisplayNames]:[No]],2,0),IF(ListExtras[[#This Row],[LID]]=0,"scope",""))</f>
        <v>800705</v>
      </c>
      <c r="X8" s="62" t="str">
        <f>'Table Seed Map'!$A$26&amp;"-"&amp;COUNT($AA$1:ListExtras[[#This Row],[Relation]])</f>
        <v>List Relation-5</v>
      </c>
      <c r="Y8" s="60" t="str">
        <f>IF(ListExtras[[#This Row],[LID]]=0,"id",IF(ListExtras[[#This Row],[Relation]]="","",COUNT($AA$2:ListExtras[[#This Row],[Relation]])+IF(ISNUMBER(VLOOKUP('Table Seed Map'!$A$26,SeedMap[],9,0)),VLOOKUP('Table Seed Map'!$A$26,SeedMap[],9,0),0)))</f>
        <v/>
      </c>
      <c r="Z8" s="60">
        <f>IF(ListExtras[[#This Row],[LID]]=0,"resource_list",ListExtras[[#This Row],[LID]])</f>
        <v>802208</v>
      </c>
      <c r="AA8" s="60" t="str">
        <f>IFERROR(VLOOKUP(ListExtras[[#This Row],[Relation Name]],RelationTable[[Display]:[RELID]],2,0),IF(ListExtras[[#This Row],[LID]]=0,"relation",""))</f>
        <v/>
      </c>
      <c r="AB8" s="60" t="str">
        <f>IFERROR(VLOOKUP(ListExtras[[#This Row],[R1 Name]],RelationTable[[Display]:[RELID]],2,0),IF(ListExtras[[#This Row],[LID]]=0,"nest_relation1",""))</f>
        <v/>
      </c>
      <c r="AC8" s="60" t="str">
        <f>IFERROR(VLOOKUP(ListExtras[[#This Row],[R2 Name]],RelationTable[[Display]:[RELID]],2,0),IF(ListExtras[[#This Row],[LID]]=0,"nest_relation2",""))</f>
        <v/>
      </c>
      <c r="AD8" s="60" t="str">
        <f>IFERROR(VLOOKUP(ListExtras[[#This Row],[R3 Name]],RelationTable[[Display]:[RELID]],2,0),IF(ListExtras[[#This Row],[LID]]=0,"nest_relation3",""))</f>
        <v/>
      </c>
      <c r="AF8" s="60" t="str">
        <f>'Table Seed Map'!$A$28&amp;"-"&amp;COUNTA($AH$1:ListSearch[[#This Row],[No]])-2</f>
        <v>List Search-6</v>
      </c>
      <c r="AG8" s="61" t="s">
        <v>962</v>
      </c>
      <c r="AH8" s="60">
        <f>IF(ListSearch[[#This Row],[List Name for Search]]="","id",-1+COUNTA($AG$1:ListSearch[[#This Row],[List Name for Search]])+IF(ISNUMBER(VLOOKUP('Table Seed Map'!$A$28,SeedMap[],9,0)),VLOOKUP('Table Seed Map'!$A$28,SeedMap[],9,0),0))</f>
        <v>802606</v>
      </c>
      <c r="AI8" s="60">
        <f>IFERROR(VLOOKUP(ListSearch[[#This Row],[List Name for Search]],ResourceList[[ListDisplayName]:[No]],2,0),"resource_list")</f>
        <v>802203</v>
      </c>
      <c r="AJ8" s="65" t="s">
        <v>24</v>
      </c>
      <c r="AK8" s="60" t="str">
        <f>IF(ListSearch[[#This Row],[List Name for Search]]="","relation",IFERROR(VLOOKUP(ListSearch[[#This Row],[Relation]],RelationTable[[Display]:[RELID]],2,0),""))</f>
        <v/>
      </c>
      <c r="AL8" s="60" t="str">
        <f>IF(ListSearch[[#This Row],[List Name for Search]]="","nest_relation1",IFERROR(VLOOKUP(ListSearch[[#This Row],[Relation 1]],RelationTable[[Display]:[RELID]],2,0),""))</f>
        <v/>
      </c>
      <c r="AM8" s="60" t="str">
        <f>IF(ListSearch[[#This Row],[List Name for Search]]="","nest_relation2",IFERROR(VLOOKUP(ListSearch[[#This Row],[Relation 2]],RelationTable[[Display]:[RELID]],2,0),""))</f>
        <v/>
      </c>
      <c r="AN8" s="60" t="str">
        <f>IF(ListSearch[[#This Row],[List Name for Search]]="","nest_relation3",IFERROR(VLOOKUP(ListSearch[[#This Row],[Relation 3]],RelationTable[[Display]:[RELID]],2,0),""))</f>
        <v/>
      </c>
      <c r="AO8" s="65"/>
      <c r="AP8" s="65"/>
      <c r="AQ8" s="65"/>
      <c r="AR8" s="65"/>
      <c r="AT8" s="60" t="str">
        <f>'Table Seed Map'!$A$27&amp;"-"&amp;COUNTA($AV$1:ListLayout[[#This Row],[No]])-2</f>
        <v>List Layout-6</v>
      </c>
      <c r="AU8" s="61" t="s">
        <v>962</v>
      </c>
      <c r="AV8" s="60">
        <f>IF(ListLayout[[#This Row],[List Name for Layout]]="","id",COUNTA($AU$2:ListLayout[[#This Row],[List Name for Layout]])+IF(ISNUMBER(VLOOKUP('Table Seed Map'!$A$27,SeedMap[],9,0)),VLOOKUP('Table Seed Map'!$A$27,SeedMap[],9,0),0))</f>
        <v>802506</v>
      </c>
      <c r="AW8" s="60">
        <f>IFERROR(VLOOKUP(ListLayout[[#This Row],[List Name for Layout]],ResourceList[[ListDisplayName]:[No]],2,0),"resource_list")</f>
        <v>802203</v>
      </c>
      <c r="AX8" s="60" t="s">
        <v>902</v>
      </c>
      <c r="AY8" s="65" t="s">
        <v>809</v>
      </c>
      <c r="AZ8" s="60" t="str">
        <f>IF(ListLayout[[#This Row],[List Name for Layout]]="","relation",IFERROR(VLOOKUP(ListLayout[[#This Row],[Relation]],RelationTable[[Display]:[RELID]],2,0),""))</f>
        <v/>
      </c>
      <c r="BA8" s="60" t="str">
        <f>IF(ListLayout[[#This Row],[List Name for Layout]]="","nest_relation1",IFERROR(VLOOKUP(ListLayout[[#This Row],[Relation 1]],RelationTable[[Display]:[RELID]],2,0),""))</f>
        <v/>
      </c>
      <c r="BB8" s="60" t="str">
        <f>IF(ListLayout[[#This Row],[List Name for Layout]]="","nest_relation2",IFERROR(VLOOKUP(ListLayout[[#This Row],[Relation 2]],RelationTable[[Display]:[RELID]],2,0),""))</f>
        <v/>
      </c>
      <c r="BC8" s="65"/>
      <c r="BD8" s="65"/>
      <c r="BE8" s="65"/>
    </row>
    <row r="9" spans="1:57" x14ac:dyDescent="0.25">
      <c r="A9" s="6" t="str">
        <f>'Table Seed Map'!$A$24&amp;"-"&amp;COUNTA($B$1:ResourceList[[#This Row],[Resource Name]])-1</f>
        <v>Resource Lists-7</v>
      </c>
      <c r="B9" s="1" t="s">
        <v>847</v>
      </c>
      <c r="C9" s="6" t="str">
        <f>ResourceList[[#This Row],[Resource Name]]&amp;"/"&amp;ResourceList[[#This Row],[Name]]</f>
        <v>PartnerTask/CompletedTasks</v>
      </c>
      <c r="D9" s="15">
        <f>IF(ResourceList[[#This Row],[Resource Name]]="","id",COUNTA($B$2:ResourceList[[#This Row],[Resource Name]])+IF(ISNUMBER(VLOOKUP('Table Seed Map'!$A$24,SeedMap[],9,0)),VLOOKUP('Table Seed Map'!$A$24,SeedMap[],9,0),0))</f>
        <v>802207</v>
      </c>
      <c r="E9" s="15">
        <f>IFERROR(VLOOKUP(ResourceList[[#This Row],[Resource Name]],ResourceTable[[RName]:[No]],3,0),"resource")</f>
        <v>800505</v>
      </c>
      <c r="F9" s="13" t="s">
        <v>890</v>
      </c>
      <c r="G9" s="13" t="s">
        <v>1001</v>
      </c>
      <c r="H9" s="13" t="s">
        <v>1002</v>
      </c>
      <c r="I9" s="65" t="s">
        <v>21</v>
      </c>
      <c r="J9" s="65">
        <v>30</v>
      </c>
      <c r="K9" s="3">
        <f>ResourceList[No]</f>
        <v>802207</v>
      </c>
      <c r="M9" s="61" t="s">
        <v>1104</v>
      </c>
      <c r="N9" s="62">
        <f>VLOOKUP(ListExtras[[#This Row],[List Name]],ResourceList[[ListDisplayName]:[No]],2,0)</f>
        <v>802209</v>
      </c>
      <c r="O9" s="63"/>
      <c r="P9" s="63" t="s">
        <v>1072</v>
      </c>
      <c r="Q9" s="63"/>
      <c r="R9" s="63"/>
      <c r="S9" s="63"/>
      <c r="T9" s="62" t="str">
        <f>'Table Seed Map'!$A$25&amp;"-"&amp;COUNT($W$1:ListExtras[[#This Row],[Scope ID]])</f>
        <v>List Scopes-6</v>
      </c>
      <c r="U9" s="60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9" s="60">
        <f>IF(ListExtras[[#This Row],[LID]]=0,"resource_list",ListExtras[[#This Row],[LID]])</f>
        <v>802209</v>
      </c>
      <c r="W9" s="60" t="str">
        <f>IFERROR(VLOOKUP(ListExtras[[#This Row],[Scope Name]],ResourceScopes[[ScopesDisplayNames]:[No]],2,0),IF(ListExtras[[#This Row],[LID]]=0,"scope",""))</f>
        <v/>
      </c>
      <c r="X9" s="62" t="str">
        <f>'Table Seed Map'!$A$26&amp;"-"&amp;COUNT($AA$1:ListExtras[[#This Row],[Relation]])</f>
        <v>List Relation-6</v>
      </c>
      <c r="Y9" s="60">
        <f>IF(ListExtras[[#This Row],[LID]]=0,"id",IF(ListExtras[[#This Row],[Relation]]="","",COUNT($AA$2:ListExtras[[#This Row],[Relation]])+IF(ISNUMBER(VLOOKUP('Table Seed Map'!$A$26,SeedMap[],9,0)),VLOOKUP('Table Seed Map'!$A$26,SeedMap[],9,0),0)))</f>
        <v>802406</v>
      </c>
      <c r="Z9" s="60">
        <f>IF(ListExtras[[#This Row],[LID]]=0,"resource_list",ListExtras[[#This Row],[LID]])</f>
        <v>802209</v>
      </c>
      <c r="AA9" s="60">
        <f>IFERROR(VLOOKUP(ListExtras[[#This Row],[Relation Name]],RelationTable[[Display]:[RELID]],2,0),IF(ListExtras[[#This Row],[LID]]=0,"relation",""))</f>
        <v>800810</v>
      </c>
      <c r="AB9" s="60" t="str">
        <f>IFERROR(VLOOKUP(ListExtras[[#This Row],[R1 Name]],RelationTable[[Display]:[RELID]],2,0),IF(ListExtras[[#This Row],[LID]]=0,"nest_relation1",""))</f>
        <v/>
      </c>
      <c r="AC9" s="60" t="str">
        <f>IFERROR(VLOOKUP(ListExtras[[#This Row],[R2 Name]],RelationTable[[Display]:[RELID]],2,0),IF(ListExtras[[#This Row],[LID]]=0,"nest_relation2",""))</f>
        <v/>
      </c>
      <c r="AD9" s="60" t="str">
        <f>IFERROR(VLOOKUP(ListExtras[[#This Row],[R3 Name]],RelationTable[[Display]:[RELID]],2,0),IF(ListExtras[[#This Row],[LID]]=0,"nest_relation3",""))</f>
        <v/>
      </c>
      <c r="AF9" s="15" t="str">
        <f>'Table Seed Map'!$A$28&amp;"-"&amp;COUNTA($AH$1:ListSearch[[#This Row],[No]])-2</f>
        <v>List Search-7</v>
      </c>
      <c r="AG9" s="2" t="s">
        <v>992</v>
      </c>
      <c r="AH9" s="15">
        <f>IF(ListSearch[[#This Row],[List Name for Search]]="","id",-1+COUNTA($AG$1:ListSearch[[#This Row],[List Name for Search]])+IF(ISNUMBER(VLOOKUP('Table Seed Map'!$A$28,SeedMap[],9,0)),VLOOKUP('Table Seed Map'!$A$28,SeedMap[],9,0),0))</f>
        <v>802607</v>
      </c>
      <c r="AI9" s="15">
        <f>IFERROR(VLOOKUP(ListSearch[[#This Row],[List Name for Search]],ResourceList[[ListDisplayName]:[No]],2,0),"resource_list")</f>
        <v>802204</v>
      </c>
      <c r="AJ9" s="13" t="s">
        <v>23</v>
      </c>
      <c r="AK9" s="15">
        <f>IF(ListSearch[[#This Row],[List Name for Search]]="","relation",IFERROR(VLOOKUP(ListSearch[[#This Row],[Relation]],RelationTable[[Display]:[RELID]],2,0),""))</f>
        <v>800809</v>
      </c>
      <c r="AL9" s="15" t="str">
        <f>IF(ListSearch[[#This Row],[List Name for Search]]="","nest_relation1",IFERROR(VLOOKUP(ListSearch[[#This Row],[Relation 1]],RelationTable[[Display]:[RELID]],2,0),""))</f>
        <v/>
      </c>
      <c r="AM9" s="15" t="str">
        <f>IF(ListSearch[[#This Row],[List Name for Search]]="","nest_relation2",IFERROR(VLOOKUP(ListSearch[[#This Row],[Relation 2]],RelationTable[[Display]:[RELID]],2,0),""))</f>
        <v/>
      </c>
      <c r="AN9" s="15" t="str">
        <f>IF(ListSearch[[#This Row],[List Name for Search]]="","nest_relation3",IFERROR(VLOOKUP(ListSearch[[#This Row],[Relation 3]],RelationTable[[Display]:[RELID]],2,0),""))</f>
        <v/>
      </c>
      <c r="AO9" s="13" t="s">
        <v>996</v>
      </c>
      <c r="AP9" s="13"/>
      <c r="AQ9" s="13"/>
      <c r="AR9" s="13"/>
      <c r="AT9" s="15" t="str">
        <f>'Table Seed Map'!$A$27&amp;"-"&amp;COUNTA($AV$1:ListLayout[[#This Row],[No]])-2</f>
        <v>List Layout-7</v>
      </c>
      <c r="AU9" s="2" t="s">
        <v>992</v>
      </c>
      <c r="AV9" s="15">
        <f>IF(ListLayout[[#This Row],[List Name for Layout]]="","id",COUNTA($AU$2:ListLayout[[#This Row],[List Name for Layout]])+IF(ISNUMBER(VLOOKUP('Table Seed Map'!$A$27,SeedMap[],9,0)),VLOOKUP('Table Seed Map'!$A$27,SeedMap[],9,0),0))</f>
        <v>802507</v>
      </c>
      <c r="AW9" s="15">
        <f>IFERROR(VLOOKUP(ListLayout[[#This Row],[List Name for Layout]],ResourceList[[ListDisplayName]:[No]],2,0),"resource_list")</f>
        <v>802204</v>
      </c>
      <c r="AX9" s="15" t="s">
        <v>1</v>
      </c>
      <c r="AY9" s="13" t="s">
        <v>23</v>
      </c>
      <c r="AZ9" s="15">
        <f>IF(ListLayout[[#This Row],[List Name for Layout]]="","relation",IFERROR(VLOOKUP(ListLayout[[#This Row],[Relation]],RelationTable[[Display]:[RELID]],2,0),""))</f>
        <v>800809</v>
      </c>
      <c r="BA9" s="15" t="str">
        <f>IF(ListLayout[[#This Row],[List Name for Layout]]="","nest_relation1",IFERROR(VLOOKUP(ListLayout[[#This Row],[Relation 1]],RelationTable[[Display]:[RELID]],2,0),""))</f>
        <v/>
      </c>
      <c r="BB9" s="15" t="str">
        <f>IF(ListLayout[[#This Row],[List Name for Layout]]="","nest_relation2",IFERROR(VLOOKUP(ListLayout[[#This Row],[Relation 2]],RelationTable[[Display]:[RELID]],2,0),""))</f>
        <v/>
      </c>
      <c r="BC9" s="13" t="s">
        <v>996</v>
      </c>
      <c r="BD9" s="13"/>
      <c r="BE9" s="13"/>
    </row>
    <row r="10" spans="1:57" x14ac:dyDescent="0.25">
      <c r="A10" s="62" t="str">
        <f>'Table Seed Map'!$A$24&amp;"-"&amp;COUNTA($B$1:ResourceList[[#This Row],[Resource Name]])-1</f>
        <v>Resource Lists-8</v>
      </c>
      <c r="B10" s="1" t="s">
        <v>847</v>
      </c>
      <c r="C10" s="62" t="str">
        <f>ResourceList[[#This Row],[Resource Name]]&amp;"/"&amp;ResourceList[[#This Row],[Name]]</f>
        <v>PartnerTask/RecentlyCompletedTasks</v>
      </c>
      <c r="D10" s="60">
        <f>IF(ResourceList[[#This Row],[Resource Name]]="","id",COUNTA($B$2:ResourceList[[#This Row],[Resource Name]])+IF(ISNUMBER(VLOOKUP('Table Seed Map'!$A$24,SeedMap[],9,0)),VLOOKUP('Table Seed Map'!$A$24,SeedMap[],9,0),0))</f>
        <v>802208</v>
      </c>
      <c r="E10" s="60">
        <f>IFERROR(VLOOKUP(ResourceList[[#This Row],[Resource Name]],ResourceTable[[RName]:[No]],3,0),"resource")</f>
        <v>800505</v>
      </c>
      <c r="F10" s="65" t="s">
        <v>1073</v>
      </c>
      <c r="G10" s="65" t="s">
        <v>1074</v>
      </c>
      <c r="H10" s="65" t="s">
        <v>1080</v>
      </c>
      <c r="I10" s="65" t="s">
        <v>1027</v>
      </c>
      <c r="J10" s="65">
        <v>15</v>
      </c>
      <c r="K10" s="64">
        <f>ResourceList[No]</f>
        <v>802208</v>
      </c>
      <c r="M10" s="61" t="s">
        <v>1111</v>
      </c>
      <c r="N10" s="62">
        <f>VLOOKUP(ListExtras[[#This Row],[List Name]],ResourceList[[ListDisplayName]:[No]],2,0)</f>
        <v>802210</v>
      </c>
      <c r="O10" s="63"/>
      <c r="P10" s="63" t="s">
        <v>996</v>
      </c>
      <c r="Q10" s="63"/>
      <c r="R10" s="63"/>
      <c r="S10" s="63"/>
      <c r="T10" s="62" t="str">
        <f>'Table Seed Map'!$A$25&amp;"-"&amp;COUNT($W$1:ListExtras[[#This Row],[Scope ID]])</f>
        <v>List Scopes-6</v>
      </c>
      <c r="U10" s="60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10" s="60">
        <f>IF(ListExtras[[#This Row],[LID]]=0,"resource_list",ListExtras[[#This Row],[LID]])</f>
        <v>802210</v>
      </c>
      <c r="W10" s="60" t="str">
        <f>IFERROR(VLOOKUP(ListExtras[[#This Row],[Scope Name]],ResourceScopes[[ScopesDisplayNames]:[No]],2,0),IF(ListExtras[[#This Row],[LID]]=0,"scope",""))</f>
        <v/>
      </c>
      <c r="X10" s="62" t="str">
        <f>'Table Seed Map'!$A$26&amp;"-"&amp;COUNT($AA$1:ListExtras[[#This Row],[Relation]])</f>
        <v>List Relation-7</v>
      </c>
      <c r="Y10" s="60">
        <f>IF(ListExtras[[#This Row],[LID]]=0,"id",IF(ListExtras[[#This Row],[Relation]]="","",COUNT($AA$2:ListExtras[[#This Row],[Relation]])+IF(ISNUMBER(VLOOKUP('Table Seed Map'!$A$26,SeedMap[],9,0)),VLOOKUP('Table Seed Map'!$A$26,SeedMap[],9,0),0)))</f>
        <v>802407</v>
      </c>
      <c r="Z10" s="60">
        <f>IF(ListExtras[[#This Row],[LID]]=0,"resource_list",ListExtras[[#This Row],[LID]])</f>
        <v>802210</v>
      </c>
      <c r="AA10" s="60">
        <f>IFERROR(VLOOKUP(ListExtras[[#This Row],[Relation Name]],RelationTable[[Display]:[RELID]],2,0),IF(ListExtras[[#This Row],[LID]]=0,"relation",""))</f>
        <v>800809</v>
      </c>
      <c r="AB10" s="60" t="str">
        <f>IFERROR(VLOOKUP(ListExtras[[#This Row],[R1 Name]],RelationTable[[Display]:[RELID]],2,0),IF(ListExtras[[#This Row],[LID]]=0,"nest_relation1",""))</f>
        <v/>
      </c>
      <c r="AC10" s="60" t="str">
        <f>IFERROR(VLOOKUP(ListExtras[[#This Row],[R2 Name]],RelationTable[[Display]:[RELID]],2,0),IF(ListExtras[[#This Row],[LID]]=0,"nest_relation2",""))</f>
        <v/>
      </c>
      <c r="AD10" s="60" t="str">
        <f>IFERROR(VLOOKUP(ListExtras[[#This Row],[R3 Name]],RelationTable[[Display]:[RELID]],2,0),IF(ListExtras[[#This Row],[LID]]=0,"nest_relation3",""))</f>
        <v/>
      </c>
      <c r="AF10" s="15" t="str">
        <f>'Table Seed Map'!$A$28&amp;"-"&amp;COUNTA($AH$1:ListSearch[[#This Row],[No]])-2</f>
        <v>List Search-8</v>
      </c>
      <c r="AG10" s="2" t="s">
        <v>992</v>
      </c>
      <c r="AH10" s="15">
        <f>IF(ListSearch[[#This Row],[List Name for Search]]="","id",-1+COUNTA($AG$1:ListSearch[[#This Row],[List Name for Search]])+IF(ISNUMBER(VLOOKUP('Table Seed Map'!$A$28,SeedMap[],9,0)),VLOOKUP('Table Seed Map'!$A$28,SeedMap[],9,0),0))</f>
        <v>802608</v>
      </c>
      <c r="AI10" s="15">
        <f>IFERROR(VLOOKUP(ListSearch[[#This Row],[List Name for Search]],ResourceList[[ListDisplayName]:[No]],2,0),"resource_list")</f>
        <v>802204</v>
      </c>
      <c r="AJ10" s="13" t="s">
        <v>24</v>
      </c>
      <c r="AK10" s="15">
        <f>IF(ListSearch[[#This Row],[List Name for Search]]="","relation",IFERROR(VLOOKUP(ListSearch[[#This Row],[Relation]],RelationTable[[Display]:[RELID]],2,0),""))</f>
        <v>800809</v>
      </c>
      <c r="AL10" s="15" t="str">
        <f>IF(ListSearch[[#This Row],[List Name for Search]]="","nest_relation1",IFERROR(VLOOKUP(ListSearch[[#This Row],[Relation 1]],RelationTable[[Display]:[RELID]],2,0),""))</f>
        <v/>
      </c>
      <c r="AM10" s="15" t="str">
        <f>IF(ListSearch[[#This Row],[List Name for Search]]="","nest_relation2",IFERROR(VLOOKUP(ListSearch[[#This Row],[Relation 2]],RelationTable[[Display]:[RELID]],2,0),""))</f>
        <v/>
      </c>
      <c r="AN10" s="15" t="str">
        <f>IF(ListSearch[[#This Row],[List Name for Search]]="","nest_relation3",IFERROR(VLOOKUP(ListSearch[[#This Row],[Relation 3]],RelationTable[[Display]:[RELID]],2,0),""))</f>
        <v/>
      </c>
      <c r="AO10" s="13" t="s">
        <v>996</v>
      </c>
      <c r="AP10" s="13"/>
      <c r="AQ10" s="13"/>
      <c r="AR10" s="13"/>
      <c r="AT10" s="15" t="str">
        <f>'Table Seed Map'!$A$27&amp;"-"&amp;COUNTA($AV$1:ListLayout[[#This Row],[No]])-2</f>
        <v>List Layout-8</v>
      </c>
      <c r="AU10" s="2" t="s">
        <v>1003</v>
      </c>
      <c r="AV10" s="15">
        <f>IF(ListLayout[[#This Row],[List Name for Layout]]="","id",COUNTA($AU$2:ListLayout[[#This Row],[List Name for Layout]])+IF(ISNUMBER(VLOOKUP('Table Seed Map'!$A$27,SeedMap[],9,0)),VLOOKUP('Table Seed Map'!$A$27,SeedMap[],9,0),0))</f>
        <v>802508</v>
      </c>
      <c r="AW10" s="15">
        <f>IFERROR(VLOOKUP(ListLayout[[#This Row],[List Name for Layout]],ResourceList[[ListDisplayName]:[No]],2,0),"resource_list")</f>
        <v>802205</v>
      </c>
      <c r="AX10" s="15" t="s">
        <v>1</v>
      </c>
      <c r="AY10" s="13" t="s">
        <v>23</v>
      </c>
      <c r="AZ10" s="15">
        <f>IF(ListLayout[[#This Row],[List Name for Layout]]="","relation",IFERROR(VLOOKUP(ListLayout[[#This Row],[Relation]],RelationTable[[Display]:[RELID]],2,0),""))</f>
        <v>800809</v>
      </c>
      <c r="BA10" s="15" t="str">
        <f>IF(ListLayout[[#This Row],[List Name for Layout]]="","nest_relation1",IFERROR(VLOOKUP(ListLayout[[#This Row],[Relation 1]],RelationTable[[Display]:[RELID]],2,0),""))</f>
        <v/>
      </c>
      <c r="BB10" s="15" t="str">
        <f>IF(ListLayout[[#This Row],[List Name for Layout]]="","nest_relation2",IFERROR(VLOOKUP(ListLayout[[#This Row],[Relation 2]],RelationTable[[Display]:[RELID]],2,0),""))</f>
        <v/>
      </c>
      <c r="BC10" s="13" t="s">
        <v>996</v>
      </c>
      <c r="BD10" s="13"/>
      <c r="BE10" s="13"/>
    </row>
    <row r="11" spans="1:57" x14ac:dyDescent="0.25">
      <c r="A11" s="62" t="str">
        <f>'Table Seed Map'!$A$24&amp;"-"&amp;COUNTA($B$1:ResourceList[[#This Row],[Resource Name]])-1</f>
        <v>Resource Lists-9</v>
      </c>
      <c r="B11" s="63" t="s">
        <v>847</v>
      </c>
      <c r="C11" s="62" t="str">
        <f>ResourceList[[#This Row],[Resource Name]]&amp;"/"&amp;ResourceList[[#This Row],[Name]]</f>
        <v>PartnerTask/TaskPartnerProgress</v>
      </c>
      <c r="D11" s="60">
        <f>IF(ResourceList[[#This Row],[Resource Name]]="","id",COUNTA($B$2:ResourceList[[#This Row],[Resource Name]])+IF(ISNUMBER(VLOOKUP('Table Seed Map'!$A$24,SeedMap[],9,0)),VLOOKUP('Table Seed Map'!$A$24,SeedMap[],9,0),0))</f>
        <v>802209</v>
      </c>
      <c r="E11" s="60">
        <f>IFERROR(VLOOKUP(ResourceList[[#This Row],[Resource Name]],ResourceTable[[RName]:[No]],3,0),"resource")</f>
        <v>800505</v>
      </c>
      <c r="F11" s="65" t="s">
        <v>1099</v>
      </c>
      <c r="G11" s="65" t="s">
        <v>1102</v>
      </c>
      <c r="H11" s="65" t="s">
        <v>1103</v>
      </c>
      <c r="I11" s="65" t="s">
        <v>1088</v>
      </c>
      <c r="J11" s="65">
        <v>30</v>
      </c>
      <c r="K11" s="64">
        <f>ResourceList[No]</f>
        <v>802209</v>
      </c>
      <c r="AF11" s="60" t="str">
        <f>'Table Seed Map'!$A$28&amp;"-"&amp;COUNTA($AH$1:ListSearch[[#This Row],[No]])-2</f>
        <v>List Search-9</v>
      </c>
      <c r="AG11" s="2" t="s">
        <v>992</v>
      </c>
      <c r="AH11" s="60">
        <f>IF(ListSearch[[#This Row],[List Name for Search]]="","id",-1+COUNTA($AG$1:ListSearch[[#This Row],[List Name for Search]])+IF(ISNUMBER(VLOOKUP('Table Seed Map'!$A$28,SeedMap[],9,0)),VLOOKUP('Table Seed Map'!$A$28,SeedMap[],9,0),0))</f>
        <v>802609</v>
      </c>
      <c r="AI11" s="60">
        <f>IFERROR(VLOOKUP(ListSearch[[#This Row],[List Name for Search]],ResourceList[[ListDisplayName]:[No]],2,0),"resource_list")</f>
        <v>802204</v>
      </c>
      <c r="AJ11" s="13" t="s">
        <v>1123</v>
      </c>
      <c r="AK11" s="60" t="str">
        <f>IF(ListSearch[[#This Row],[List Name for Search]]="","relation",IFERROR(VLOOKUP(ListSearch[[#This Row],[Relation]],RelationTable[[Display]:[RELID]],2,0),""))</f>
        <v/>
      </c>
      <c r="AL11" s="60" t="str">
        <f>IF(ListSearch[[#This Row],[List Name for Search]]="","nest_relation1",IFERROR(VLOOKUP(ListSearch[[#This Row],[Relation 1]],RelationTable[[Display]:[RELID]],2,0),""))</f>
        <v/>
      </c>
      <c r="AM11" s="60" t="str">
        <f>IF(ListSearch[[#This Row],[List Name for Search]]="","nest_relation2",IFERROR(VLOOKUP(ListSearch[[#This Row],[Relation 2]],RelationTable[[Display]:[RELID]],2,0),""))</f>
        <v/>
      </c>
      <c r="AN11" s="60" t="str">
        <f>IF(ListSearch[[#This Row],[List Name for Search]]="","nest_relation3",IFERROR(VLOOKUP(ListSearch[[#This Row],[Relation 3]],RelationTable[[Display]:[RELID]],2,0),""))</f>
        <v/>
      </c>
      <c r="AO11" s="65"/>
      <c r="AP11" s="65"/>
      <c r="AQ11" s="65"/>
      <c r="AR11" s="65"/>
      <c r="AT11" s="15" t="str">
        <f>'Table Seed Map'!$A$27&amp;"-"&amp;COUNTA($AV$1:ListLayout[[#This Row],[No]])-2</f>
        <v>List Layout-9</v>
      </c>
      <c r="AU11" s="2" t="s">
        <v>1003</v>
      </c>
      <c r="AV11" s="15">
        <f>IF(ListLayout[[#This Row],[List Name for Layout]]="","id",COUNTA($AU$2:ListLayout[[#This Row],[List Name for Layout]])+IF(ISNUMBER(VLOOKUP('Table Seed Map'!$A$27,SeedMap[],9,0)),VLOOKUP('Table Seed Map'!$A$27,SeedMap[],9,0),0))</f>
        <v>802509</v>
      </c>
      <c r="AW11" s="15">
        <f>IFERROR(VLOOKUP(ListLayout[[#This Row],[List Name for Layout]],ResourceList[[ListDisplayName]:[No]],2,0),"resource_list")</f>
        <v>802205</v>
      </c>
      <c r="AX11" s="15" t="s">
        <v>1124</v>
      </c>
      <c r="AY11" s="13" t="s">
        <v>1123</v>
      </c>
      <c r="AZ11" s="15" t="str">
        <f>IF(ListLayout[[#This Row],[List Name for Layout]]="","relation",IFERROR(VLOOKUP(ListLayout[[#This Row],[Relation]],RelationTable[[Display]:[RELID]],2,0),""))</f>
        <v/>
      </c>
      <c r="BA11" s="15" t="str">
        <f>IF(ListLayout[[#This Row],[List Name for Layout]]="","nest_relation1",IFERROR(VLOOKUP(ListLayout[[#This Row],[Relation 1]],RelationTable[[Display]:[RELID]],2,0),""))</f>
        <v/>
      </c>
      <c r="BB11" s="15" t="str">
        <f>IF(ListLayout[[#This Row],[List Name for Layout]]="","nest_relation2",IFERROR(VLOOKUP(ListLayout[[#This Row],[Relation 2]],RelationTable[[Display]:[RELID]],2,0),""))</f>
        <v/>
      </c>
      <c r="BC11" s="13"/>
      <c r="BD11" s="13"/>
      <c r="BE11" s="13"/>
    </row>
    <row r="12" spans="1:57" x14ac:dyDescent="0.25">
      <c r="A12" s="62" t="str">
        <f>'Table Seed Map'!$A$24&amp;"-"&amp;COUNTA($B$1:ResourceList[[#This Row],[Resource Name]])-1</f>
        <v>Resource Lists-10</v>
      </c>
      <c r="B12" s="63" t="s">
        <v>847</v>
      </c>
      <c r="C12" s="62" t="str">
        <f>ResourceList[[#This Row],[Resource Name]]&amp;"/"&amp;ResourceList[[#This Row],[Name]]</f>
        <v>PartnerTask/PartnerTaskProgress</v>
      </c>
      <c r="D12" s="60">
        <f>IF(ResourceList[[#This Row],[Resource Name]]="","id",COUNTA($B$2:ResourceList[[#This Row],[Resource Name]])+IF(ISNUMBER(VLOOKUP('Table Seed Map'!$A$24,SeedMap[],9,0)),VLOOKUP('Table Seed Map'!$A$24,SeedMap[],9,0),0))</f>
        <v>802210</v>
      </c>
      <c r="E12" s="60">
        <f>IFERROR(VLOOKUP(ResourceList[[#This Row],[Resource Name]],ResourceTable[[RName]:[No]],3,0),"resource")</f>
        <v>800505</v>
      </c>
      <c r="F12" s="65" t="s">
        <v>1108</v>
      </c>
      <c r="G12" s="65" t="s">
        <v>1109</v>
      </c>
      <c r="H12" s="65" t="s">
        <v>1110</v>
      </c>
      <c r="I12" s="65" t="s">
        <v>1027</v>
      </c>
      <c r="J12" s="65">
        <v>30</v>
      </c>
      <c r="K12" s="64">
        <f>ResourceList[No]</f>
        <v>802210</v>
      </c>
      <c r="AF12" s="15" t="str">
        <f>'Table Seed Map'!$A$28&amp;"-"&amp;COUNTA($AH$1:ListSearch[[#This Row],[No]])-2</f>
        <v>List Search-10</v>
      </c>
      <c r="AG12" s="2" t="s">
        <v>1003</v>
      </c>
      <c r="AH12" s="15">
        <f>IF(ListSearch[[#This Row],[List Name for Search]]="","id",-1+COUNTA($AG$1:ListSearch[[#This Row],[List Name for Search]])+IF(ISNUMBER(VLOOKUP('Table Seed Map'!$A$28,SeedMap[],9,0)),VLOOKUP('Table Seed Map'!$A$28,SeedMap[],9,0),0))</f>
        <v>802610</v>
      </c>
      <c r="AI12" s="15">
        <f>IFERROR(VLOOKUP(ListSearch[[#This Row],[List Name for Search]],ResourceList[[ListDisplayName]:[No]],2,0),"resource_list")</f>
        <v>802205</v>
      </c>
      <c r="AJ12" s="13" t="s">
        <v>23</v>
      </c>
      <c r="AK12" s="15">
        <f>IF(ListSearch[[#This Row],[List Name for Search]]="","relation",IFERROR(VLOOKUP(ListSearch[[#This Row],[Relation]],RelationTable[[Display]:[RELID]],2,0),""))</f>
        <v>800809</v>
      </c>
      <c r="AL12" s="15" t="str">
        <f>IF(ListSearch[[#This Row],[List Name for Search]]="","nest_relation1",IFERROR(VLOOKUP(ListSearch[[#This Row],[Relation 1]],RelationTable[[Display]:[RELID]],2,0),""))</f>
        <v/>
      </c>
      <c r="AM12" s="15" t="str">
        <f>IF(ListSearch[[#This Row],[List Name for Search]]="","nest_relation2",IFERROR(VLOOKUP(ListSearch[[#This Row],[Relation 2]],RelationTable[[Display]:[RELID]],2,0),""))</f>
        <v/>
      </c>
      <c r="AN12" s="15" t="str">
        <f>IF(ListSearch[[#This Row],[List Name for Search]]="","nest_relation3",IFERROR(VLOOKUP(ListSearch[[#This Row],[Relation 3]],RelationTable[[Display]:[RELID]],2,0),""))</f>
        <v/>
      </c>
      <c r="AO12" s="13" t="s">
        <v>996</v>
      </c>
      <c r="AP12" s="13"/>
      <c r="AQ12" s="13"/>
      <c r="AR12" s="13"/>
      <c r="AT12" s="15" t="str">
        <f>'Table Seed Map'!$A$27&amp;"-"&amp;COUNTA($AV$1:ListLayout[[#This Row],[No]])-2</f>
        <v>List Layout-10</v>
      </c>
      <c r="AU12" s="2" t="s">
        <v>1004</v>
      </c>
      <c r="AV12" s="15">
        <f>IF(ListLayout[[#This Row],[List Name for Layout]]="","id",COUNTA($AU$2:ListLayout[[#This Row],[List Name for Layout]])+IF(ISNUMBER(VLOOKUP('Table Seed Map'!$A$27,SeedMap[],9,0)),VLOOKUP('Table Seed Map'!$A$27,SeedMap[],9,0),0))</f>
        <v>802510</v>
      </c>
      <c r="AW12" s="15">
        <f>IFERROR(VLOOKUP(ListLayout[[#This Row],[List Name for Layout]],ResourceList[[ListDisplayName]:[No]],2,0),"resource_list")</f>
        <v>802206</v>
      </c>
      <c r="AX12" s="15" t="s">
        <v>1</v>
      </c>
      <c r="AY12" s="13" t="s">
        <v>23</v>
      </c>
      <c r="AZ12" s="15">
        <f>IF(ListLayout[[#This Row],[List Name for Layout]]="","relation",IFERROR(VLOOKUP(ListLayout[[#This Row],[Relation]],RelationTable[[Display]:[RELID]],2,0),""))</f>
        <v>800809</v>
      </c>
      <c r="BA12" s="15" t="str">
        <f>IF(ListLayout[[#This Row],[List Name for Layout]]="","nest_relation1",IFERROR(VLOOKUP(ListLayout[[#This Row],[Relation 1]],RelationTable[[Display]:[RELID]],2,0),""))</f>
        <v/>
      </c>
      <c r="BB12" s="15" t="str">
        <f>IF(ListLayout[[#This Row],[List Name for Layout]]="","nest_relation2",IFERROR(VLOOKUP(ListLayout[[#This Row],[Relation 2]],RelationTable[[Display]:[RELID]],2,0),""))</f>
        <v/>
      </c>
      <c r="BC12" s="13" t="s">
        <v>996</v>
      </c>
      <c r="BD12" s="13"/>
      <c r="BE12" s="13"/>
    </row>
    <row r="13" spans="1:57" x14ac:dyDescent="0.25">
      <c r="AF13" s="15" t="str">
        <f>'Table Seed Map'!$A$28&amp;"-"&amp;COUNTA($AH$1:ListSearch[[#This Row],[No]])-2</f>
        <v>List Search-11</v>
      </c>
      <c r="AG13" s="2" t="s">
        <v>1003</v>
      </c>
      <c r="AH13" s="15">
        <f>IF(ListSearch[[#This Row],[List Name for Search]]="","id",-1+COUNTA($AG$1:ListSearch[[#This Row],[List Name for Search]])+IF(ISNUMBER(VLOOKUP('Table Seed Map'!$A$28,SeedMap[],9,0)),VLOOKUP('Table Seed Map'!$A$28,SeedMap[],9,0),0))</f>
        <v>802611</v>
      </c>
      <c r="AI13" s="15">
        <f>IFERROR(VLOOKUP(ListSearch[[#This Row],[List Name for Search]],ResourceList[[ListDisplayName]:[No]],2,0),"resource_list")</f>
        <v>802205</v>
      </c>
      <c r="AJ13" s="13" t="s">
        <v>24</v>
      </c>
      <c r="AK13" s="15">
        <f>IF(ListSearch[[#This Row],[List Name for Search]]="","relation",IFERROR(VLOOKUP(ListSearch[[#This Row],[Relation]],RelationTable[[Display]:[RELID]],2,0),""))</f>
        <v>800809</v>
      </c>
      <c r="AL13" s="15" t="str">
        <f>IF(ListSearch[[#This Row],[List Name for Search]]="","nest_relation1",IFERROR(VLOOKUP(ListSearch[[#This Row],[Relation 1]],RelationTable[[Display]:[RELID]],2,0),""))</f>
        <v/>
      </c>
      <c r="AM13" s="15" t="str">
        <f>IF(ListSearch[[#This Row],[List Name for Search]]="","nest_relation2",IFERROR(VLOOKUP(ListSearch[[#This Row],[Relation 2]],RelationTable[[Display]:[RELID]],2,0),""))</f>
        <v/>
      </c>
      <c r="AN13" s="15" t="str">
        <f>IF(ListSearch[[#This Row],[List Name for Search]]="","nest_relation3",IFERROR(VLOOKUP(ListSearch[[#This Row],[Relation 3]],RelationTable[[Display]:[RELID]],2,0),""))</f>
        <v/>
      </c>
      <c r="AO13" s="13" t="s">
        <v>996</v>
      </c>
      <c r="AP13" s="13"/>
      <c r="AQ13" s="13"/>
      <c r="AR13" s="13"/>
      <c r="AT13" s="15" t="str">
        <f>'Table Seed Map'!$A$27&amp;"-"&amp;COUNTA($AV$1:ListLayout[[#This Row],[No]])-2</f>
        <v>List Layout-11</v>
      </c>
      <c r="AU13" s="2" t="s">
        <v>1004</v>
      </c>
      <c r="AV13" s="15">
        <f>IF(ListLayout[[#This Row],[List Name for Layout]]="","id",COUNTA($AU$2:ListLayout[[#This Row],[List Name for Layout]])+IF(ISNUMBER(VLOOKUP('Table Seed Map'!$A$27,SeedMap[],9,0)),VLOOKUP('Table Seed Map'!$A$27,SeedMap[],9,0),0))</f>
        <v>802511</v>
      </c>
      <c r="AW13" s="15">
        <f>IFERROR(VLOOKUP(ListLayout[[#This Row],[List Name for Layout]],ResourceList[[ListDisplayName]:[No]],2,0),"resource_list")</f>
        <v>802206</v>
      </c>
      <c r="AX13" s="15" t="s">
        <v>1124</v>
      </c>
      <c r="AY13" s="13" t="s">
        <v>1123</v>
      </c>
      <c r="AZ13" s="15" t="str">
        <f>IF(ListLayout[[#This Row],[List Name for Layout]]="","relation",IFERROR(VLOOKUP(ListLayout[[#This Row],[Relation]],RelationTable[[Display]:[RELID]],2,0),""))</f>
        <v/>
      </c>
      <c r="BA13" s="15" t="str">
        <f>IF(ListLayout[[#This Row],[List Name for Layout]]="","nest_relation1",IFERROR(VLOOKUP(ListLayout[[#This Row],[Relation 1]],RelationTable[[Display]:[RELID]],2,0),""))</f>
        <v/>
      </c>
      <c r="BB13" s="15" t="str">
        <f>IF(ListLayout[[#This Row],[List Name for Layout]]="","nest_relation2",IFERROR(VLOOKUP(ListLayout[[#This Row],[Relation 2]],RelationTable[[Display]:[RELID]],2,0),""))</f>
        <v/>
      </c>
      <c r="BC13" s="13"/>
      <c r="BD13" s="13"/>
      <c r="BE13" s="13"/>
    </row>
    <row r="14" spans="1:57" x14ac:dyDescent="0.25">
      <c r="AF14" s="60" t="str">
        <f>'Table Seed Map'!$A$28&amp;"-"&amp;COUNTA($AH$1:ListSearch[[#This Row],[No]])-2</f>
        <v>List Search-12</v>
      </c>
      <c r="AG14" s="2" t="s">
        <v>1003</v>
      </c>
      <c r="AH14" s="60">
        <f>IF(ListSearch[[#This Row],[List Name for Search]]="","id",-1+COUNTA($AG$1:ListSearch[[#This Row],[List Name for Search]])+IF(ISNUMBER(VLOOKUP('Table Seed Map'!$A$28,SeedMap[],9,0)),VLOOKUP('Table Seed Map'!$A$28,SeedMap[],9,0),0))</f>
        <v>802612</v>
      </c>
      <c r="AI14" s="60">
        <f>IFERROR(VLOOKUP(ListSearch[[#This Row],[List Name for Search]],ResourceList[[ListDisplayName]:[No]],2,0),"resource_list")</f>
        <v>802205</v>
      </c>
      <c r="AJ14" s="13" t="s">
        <v>1123</v>
      </c>
      <c r="AK14" s="60" t="str">
        <f>IF(ListSearch[[#This Row],[List Name for Search]]="","relation",IFERROR(VLOOKUP(ListSearch[[#This Row],[Relation]],RelationTable[[Display]:[RELID]],2,0),""))</f>
        <v/>
      </c>
      <c r="AL14" s="60" t="str">
        <f>IF(ListSearch[[#This Row],[List Name for Search]]="","nest_relation1",IFERROR(VLOOKUP(ListSearch[[#This Row],[Relation 1]],RelationTable[[Display]:[RELID]],2,0),""))</f>
        <v/>
      </c>
      <c r="AM14" s="60" t="str">
        <f>IF(ListSearch[[#This Row],[List Name for Search]]="","nest_relation2",IFERROR(VLOOKUP(ListSearch[[#This Row],[Relation 2]],RelationTable[[Display]:[RELID]],2,0),""))</f>
        <v/>
      </c>
      <c r="AN14" s="60" t="str">
        <f>IF(ListSearch[[#This Row],[List Name for Search]]="","nest_relation3",IFERROR(VLOOKUP(ListSearch[[#This Row],[Relation 3]],RelationTable[[Display]:[RELID]],2,0),""))</f>
        <v/>
      </c>
      <c r="AO14" s="65"/>
      <c r="AP14" s="65"/>
      <c r="AQ14" s="65"/>
      <c r="AR14" s="65"/>
      <c r="AT14" s="15" t="str">
        <f>'Table Seed Map'!$A$27&amp;"-"&amp;COUNTA($AV$1:ListLayout[[#This Row],[No]])-2</f>
        <v>List Layout-12</v>
      </c>
      <c r="AU14" s="2" t="s">
        <v>1005</v>
      </c>
      <c r="AV14" s="15">
        <f>IF(ListLayout[[#This Row],[List Name for Layout]]="","id",COUNTA($AU$2:ListLayout[[#This Row],[List Name for Layout]])+IF(ISNUMBER(VLOOKUP('Table Seed Map'!$A$27,SeedMap[],9,0)),VLOOKUP('Table Seed Map'!$A$27,SeedMap[],9,0),0))</f>
        <v>802512</v>
      </c>
      <c r="AW14" s="15">
        <f>IFERROR(VLOOKUP(ListLayout[[#This Row],[List Name for Layout]],ResourceList[[ListDisplayName]:[No]],2,0),"resource_list")</f>
        <v>802207</v>
      </c>
      <c r="AX14" s="15" t="s">
        <v>1</v>
      </c>
      <c r="AY14" s="13" t="s">
        <v>23</v>
      </c>
      <c r="AZ14" s="15">
        <f>IF(ListLayout[[#This Row],[List Name for Layout]]="","relation",IFERROR(VLOOKUP(ListLayout[[#This Row],[Relation]],RelationTable[[Display]:[RELID]],2,0),""))</f>
        <v>800809</v>
      </c>
      <c r="BA14" s="15" t="str">
        <f>IF(ListLayout[[#This Row],[List Name for Layout]]="","nest_relation1",IFERROR(VLOOKUP(ListLayout[[#This Row],[Relation 1]],RelationTable[[Display]:[RELID]],2,0),""))</f>
        <v/>
      </c>
      <c r="BB14" s="15" t="str">
        <f>IF(ListLayout[[#This Row],[List Name for Layout]]="","nest_relation2",IFERROR(VLOOKUP(ListLayout[[#This Row],[Relation 2]],RelationTable[[Display]:[RELID]],2,0),""))</f>
        <v/>
      </c>
      <c r="BC14" s="13" t="s">
        <v>996</v>
      </c>
      <c r="BD14" s="13"/>
      <c r="BE14" s="13"/>
    </row>
    <row r="15" spans="1:57" x14ac:dyDescent="0.25">
      <c r="AF15" s="15" t="str">
        <f>'Table Seed Map'!$A$28&amp;"-"&amp;COUNTA($AH$1:ListSearch[[#This Row],[No]])-2</f>
        <v>List Search-13</v>
      </c>
      <c r="AG15" s="2" t="s">
        <v>1004</v>
      </c>
      <c r="AH15" s="15">
        <f>IF(ListSearch[[#This Row],[List Name for Search]]="","id",-1+COUNTA($AG$1:ListSearch[[#This Row],[List Name for Search]])+IF(ISNUMBER(VLOOKUP('Table Seed Map'!$A$28,SeedMap[],9,0)),VLOOKUP('Table Seed Map'!$A$28,SeedMap[],9,0),0))</f>
        <v>802613</v>
      </c>
      <c r="AI15" s="15">
        <f>IFERROR(VLOOKUP(ListSearch[[#This Row],[List Name for Search]],ResourceList[[ListDisplayName]:[No]],2,0),"resource_list")</f>
        <v>802206</v>
      </c>
      <c r="AJ15" s="13" t="s">
        <v>23</v>
      </c>
      <c r="AK15" s="15">
        <f>IF(ListSearch[[#This Row],[List Name for Search]]="","relation",IFERROR(VLOOKUP(ListSearch[[#This Row],[Relation]],RelationTable[[Display]:[RELID]],2,0),""))</f>
        <v>800809</v>
      </c>
      <c r="AL15" s="15" t="str">
        <f>IF(ListSearch[[#This Row],[List Name for Search]]="","nest_relation1",IFERROR(VLOOKUP(ListSearch[[#This Row],[Relation 1]],RelationTable[[Display]:[RELID]],2,0),""))</f>
        <v/>
      </c>
      <c r="AM15" s="15" t="str">
        <f>IF(ListSearch[[#This Row],[List Name for Search]]="","nest_relation2",IFERROR(VLOOKUP(ListSearch[[#This Row],[Relation 2]],RelationTable[[Display]:[RELID]],2,0),""))</f>
        <v/>
      </c>
      <c r="AN15" s="15" t="str">
        <f>IF(ListSearch[[#This Row],[List Name for Search]]="","nest_relation3",IFERROR(VLOOKUP(ListSearch[[#This Row],[Relation 3]],RelationTable[[Display]:[RELID]],2,0),""))</f>
        <v/>
      </c>
      <c r="AO15" s="13" t="s">
        <v>996</v>
      </c>
      <c r="AP15" s="13"/>
      <c r="AQ15" s="13"/>
      <c r="AR15" s="13"/>
      <c r="AT15" s="15" t="str">
        <f>'Table Seed Map'!$A$27&amp;"-"&amp;COUNTA($AV$1:ListLayout[[#This Row],[No]])-2</f>
        <v>List Layout-13</v>
      </c>
      <c r="AU15" s="2" t="s">
        <v>1005</v>
      </c>
      <c r="AV15" s="15">
        <f>IF(ListLayout[[#This Row],[List Name for Layout]]="","id",COUNTA($AU$2:ListLayout[[#This Row],[List Name for Layout]])+IF(ISNUMBER(VLOOKUP('Table Seed Map'!$A$27,SeedMap[],9,0)),VLOOKUP('Table Seed Map'!$A$27,SeedMap[],9,0),0))</f>
        <v>802513</v>
      </c>
      <c r="AW15" s="15">
        <f>IFERROR(VLOOKUP(ListLayout[[#This Row],[List Name for Layout]],ResourceList[[ListDisplayName]:[No]],2,0),"resource_list")</f>
        <v>802207</v>
      </c>
      <c r="AX15" s="15" t="s">
        <v>1124</v>
      </c>
      <c r="AY15" s="13" t="s">
        <v>1123</v>
      </c>
      <c r="AZ15" s="15" t="str">
        <f>IF(ListLayout[[#This Row],[List Name for Layout]]="","relation",IFERROR(VLOOKUP(ListLayout[[#This Row],[Relation]],RelationTable[[Display]:[RELID]],2,0),""))</f>
        <v/>
      </c>
      <c r="BA15" s="15" t="str">
        <f>IF(ListLayout[[#This Row],[List Name for Layout]]="","nest_relation1",IFERROR(VLOOKUP(ListLayout[[#This Row],[Relation 1]],RelationTable[[Display]:[RELID]],2,0),""))</f>
        <v/>
      </c>
      <c r="BB15" s="15" t="str">
        <f>IF(ListLayout[[#This Row],[List Name for Layout]]="","nest_relation2",IFERROR(VLOOKUP(ListLayout[[#This Row],[Relation 2]],RelationTable[[Display]:[RELID]],2,0),""))</f>
        <v/>
      </c>
      <c r="BC15" s="13"/>
      <c r="BD15" s="13"/>
      <c r="BE15" s="13"/>
    </row>
    <row r="16" spans="1:57" x14ac:dyDescent="0.25">
      <c r="AF16" s="15" t="str">
        <f>'Table Seed Map'!$A$28&amp;"-"&amp;COUNTA($AH$1:ListSearch[[#This Row],[No]])-2</f>
        <v>List Search-14</v>
      </c>
      <c r="AG16" s="2" t="s">
        <v>1004</v>
      </c>
      <c r="AH16" s="15">
        <f>IF(ListSearch[[#This Row],[List Name for Search]]="","id",-1+COUNTA($AG$1:ListSearch[[#This Row],[List Name for Search]])+IF(ISNUMBER(VLOOKUP('Table Seed Map'!$A$28,SeedMap[],9,0)),VLOOKUP('Table Seed Map'!$A$28,SeedMap[],9,0),0))</f>
        <v>802614</v>
      </c>
      <c r="AI16" s="15">
        <f>IFERROR(VLOOKUP(ListSearch[[#This Row],[List Name for Search]],ResourceList[[ListDisplayName]:[No]],2,0),"resource_list")</f>
        <v>802206</v>
      </c>
      <c r="AJ16" s="13" t="s">
        <v>24</v>
      </c>
      <c r="AK16" s="15">
        <f>IF(ListSearch[[#This Row],[List Name for Search]]="","relation",IFERROR(VLOOKUP(ListSearch[[#This Row],[Relation]],RelationTable[[Display]:[RELID]],2,0),""))</f>
        <v>800809</v>
      </c>
      <c r="AL16" s="15" t="str">
        <f>IF(ListSearch[[#This Row],[List Name for Search]]="","nest_relation1",IFERROR(VLOOKUP(ListSearch[[#This Row],[Relation 1]],RelationTable[[Display]:[RELID]],2,0),""))</f>
        <v/>
      </c>
      <c r="AM16" s="15" t="str">
        <f>IF(ListSearch[[#This Row],[List Name for Search]]="","nest_relation2",IFERROR(VLOOKUP(ListSearch[[#This Row],[Relation 2]],RelationTable[[Display]:[RELID]],2,0),""))</f>
        <v/>
      </c>
      <c r="AN16" s="15" t="str">
        <f>IF(ListSearch[[#This Row],[List Name for Search]]="","nest_relation3",IFERROR(VLOOKUP(ListSearch[[#This Row],[Relation 3]],RelationTable[[Display]:[RELID]],2,0),""))</f>
        <v/>
      </c>
      <c r="AO16" s="13" t="s">
        <v>996</v>
      </c>
      <c r="AP16" s="13"/>
      <c r="AQ16" s="13"/>
      <c r="AR16" s="13"/>
      <c r="AT16" s="60" t="str">
        <f>'Table Seed Map'!$A$27&amp;"-"&amp;COUNTA($AV$1:ListLayout[[#This Row],[No]])-2</f>
        <v>List Layout-14</v>
      </c>
      <c r="AU16" s="2" t="s">
        <v>1077</v>
      </c>
      <c r="AV16" s="60">
        <f>IF(ListLayout[[#This Row],[List Name for Layout]]="","id",COUNTA($AU$2:ListLayout[[#This Row],[List Name for Layout]])+IF(ISNUMBER(VLOOKUP('Table Seed Map'!$A$27,SeedMap[],9,0)),VLOOKUP('Table Seed Map'!$A$27,SeedMap[],9,0),0))</f>
        <v>802514</v>
      </c>
      <c r="AW16" s="60">
        <f>IFERROR(VLOOKUP(ListLayout[[#This Row],[List Name for Layout]],ResourceList[[ListDisplayName]:[No]],2,0),"resource_list")</f>
        <v>802208</v>
      </c>
      <c r="AX16" s="60" t="s">
        <v>844</v>
      </c>
      <c r="AY16" s="65" t="s">
        <v>23</v>
      </c>
      <c r="AZ16" s="60">
        <f>IF(ListLayout[[#This Row],[List Name for Layout]]="","relation",IFERROR(VLOOKUP(ListLayout[[#This Row],[Relation]],RelationTable[[Display]:[RELID]],2,0),""))</f>
        <v>800810</v>
      </c>
      <c r="BA16" s="60" t="str">
        <f>IF(ListLayout[[#This Row],[List Name for Layout]]="","nest_relation1",IFERROR(VLOOKUP(ListLayout[[#This Row],[Relation 1]],RelationTable[[Display]:[RELID]],2,0),""))</f>
        <v/>
      </c>
      <c r="BB16" s="60" t="str">
        <f>IF(ListLayout[[#This Row],[List Name for Layout]]="","nest_relation2",IFERROR(VLOOKUP(ListLayout[[#This Row],[Relation 2]],RelationTable[[Display]:[RELID]],2,0),""))</f>
        <v/>
      </c>
      <c r="BC16" s="65" t="s">
        <v>1072</v>
      </c>
      <c r="BD16" s="65"/>
      <c r="BE16" s="65"/>
    </row>
    <row r="17" spans="32:57" x14ac:dyDescent="0.25">
      <c r="AF17" s="60" t="str">
        <f>'Table Seed Map'!$A$28&amp;"-"&amp;COUNTA($AH$1:ListSearch[[#This Row],[No]])-2</f>
        <v>List Search-15</v>
      </c>
      <c r="AG17" s="2" t="s">
        <v>1004</v>
      </c>
      <c r="AH17" s="60">
        <f>IF(ListSearch[[#This Row],[List Name for Search]]="","id",-1+COUNTA($AG$1:ListSearch[[#This Row],[List Name for Search]])+IF(ISNUMBER(VLOOKUP('Table Seed Map'!$A$28,SeedMap[],9,0)),VLOOKUP('Table Seed Map'!$A$28,SeedMap[],9,0),0))</f>
        <v>802615</v>
      </c>
      <c r="AI17" s="60">
        <f>IFERROR(VLOOKUP(ListSearch[[#This Row],[List Name for Search]],ResourceList[[ListDisplayName]:[No]],2,0),"resource_list")</f>
        <v>802206</v>
      </c>
      <c r="AJ17" s="65" t="s">
        <v>1123</v>
      </c>
      <c r="AK17" s="60" t="str">
        <f>IF(ListSearch[[#This Row],[List Name for Search]]="","relation",IFERROR(VLOOKUP(ListSearch[[#This Row],[Relation]],RelationTable[[Display]:[RELID]],2,0),""))</f>
        <v/>
      </c>
      <c r="AL17" s="60" t="str">
        <f>IF(ListSearch[[#This Row],[List Name for Search]]="","nest_relation1",IFERROR(VLOOKUP(ListSearch[[#This Row],[Relation 1]],RelationTable[[Display]:[RELID]],2,0),""))</f>
        <v/>
      </c>
      <c r="AM17" s="60" t="str">
        <f>IF(ListSearch[[#This Row],[List Name for Search]]="","nest_relation2",IFERROR(VLOOKUP(ListSearch[[#This Row],[Relation 2]],RelationTable[[Display]:[RELID]],2,0),""))</f>
        <v/>
      </c>
      <c r="AN17" s="60" t="str">
        <f>IF(ListSearch[[#This Row],[List Name for Search]]="","nest_relation3",IFERROR(VLOOKUP(ListSearch[[#This Row],[Relation 3]],RelationTable[[Display]:[RELID]],2,0),""))</f>
        <v/>
      </c>
      <c r="AO17" s="65"/>
      <c r="AP17" s="65"/>
      <c r="AQ17" s="65"/>
      <c r="AR17" s="65"/>
      <c r="AT17" s="60" t="str">
        <f>'Table Seed Map'!$A$27&amp;"-"&amp;COUNTA($AV$1:ListLayout[[#This Row],[No]])-2</f>
        <v>List Layout-15</v>
      </c>
      <c r="AU17" s="2" t="s">
        <v>1077</v>
      </c>
      <c r="AV17" s="60">
        <f>IF(ListLayout[[#This Row],[List Name for Layout]]="","id",COUNTA($AU$2:ListLayout[[#This Row],[List Name for Layout]])+IF(ISNUMBER(VLOOKUP('Table Seed Map'!$A$27,SeedMap[],9,0)),VLOOKUP('Table Seed Map'!$A$27,SeedMap[],9,0),0))</f>
        <v>802515</v>
      </c>
      <c r="AW17" s="60">
        <f>IFERROR(VLOOKUP(ListLayout[[#This Row],[List Name for Layout]],ResourceList[[ListDisplayName]:[No]],2,0),"resource_list")</f>
        <v>802208</v>
      </c>
      <c r="AX17" s="60" t="s">
        <v>1075</v>
      </c>
      <c r="AY17" s="65" t="s">
        <v>1076</v>
      </c>
      <c r="AZ17" s="60" t="str">
        <f>IF(ListLayout[[#This Row],[List Name for Layout]]="","relation",IFERROR(VLOOKUP(ListLayout[[#This Row],[Relation]],RelationTable[[Display]:[RELID]],2,0),""))</f>
        <v/>
      </c>
      <c r="BA17" s="60" t="str">
        <f>IF(ListLayout[[#This Row],[List Name for Layout]]="","nest_relation1",IFERROR(VLOOKUP(ListLayout[[#This Row],[Relation 1]],RelationTable[[Display]:[RELID]],2,0),""))</f>
        <v/>
      </c>
      <c r="BB17" s="60" t="str">
        <f>IF(ListLayout[[#This Row],[List Name for Layout]]="","nest_relation2",IFERROR(VLOOKUP(ListLayout[[#This Row],[Relation 2]],RelationTable[[Display]:[RELID]],2,0),""))</f>
        <v/>
      </c>
      <c r="BC17" s="65"/>
      <c r="BD17" s="65"/>
      <c r="BE17" s="65"/>
    </row>
    <row r="18" spans="32:57" x14ac:dyDescent="0.25">
      <c r="AF18" s="15" t="str">
        <f>'Table Seed Map'!$A$28&amp;"-"&amp;COUNTA($AH$1:ListSearch[[#This Row],[No]])-2</f>
        <v>List Search-16</v>
      </c>
      <c r="AG18" s="2" t="s">
        <v>1005</v>
      </c>
      <c r="AH18" s="15">
        <f>IF(ListSearch[[#This Row],[List Name for Search]]="","id",-1+COUNTA($AG$1:ListSearch[[#This Row],[List Name for Search]])+IF(ISNUMBER(VLOOKUP('Table Seed Map'!$A$28,SeedMap[],9,0)),VLOOKUP('Table Seed Map'!$A$28,SeedMap[],9,0),0))</f>
        <v>802616</v>
      </c>
      <c r="AI18" s="15">
        <f>IFERROR(VLOOKUP(ListSearch[[#This Row],[List Name for Search]],ResourceList[[ListDisplayName]:[No]],2,0),"resource_list")</f>
        <v>802207</v>
      </c>
      <c r="AJ18" s="13" t="s">
        <v>23</v>
      </c>
      <c r="AK18" s="15">
        <f>IF(ListSearch[[#This Row],[List Name for Search]]="","relation",IFERROR(VLOOKUP(ListSearch[[#This Row],[Relation]],RelationTable[[Display]:[RELID]],2,0),""))</f>
        <v>800809</v>
      </c>
      <c r="AL18" s="15" t="str">
        <f>IF(ListSearch[[#This Row],[List Name for Search]]="","nest_relation1",IFERROR(VLOOKUP(ListSearch[[#This Row],[Relation 1]],RelationTable[[Display]:[RELID]],2,0),""))</f>
        <v/>
      </c>
      <c r="AM18" s="15" t="str">
        <f>IF(ListSearch[[#This Row],[List Name for Search]]="","nest_relation2",IFERROR(VLOOKUP(ListSearch[[#This Row],[Relation 2]],RelationTable[[Display]:[RELID]],2,0),""))</f>
        <v/>
      </c>
      <c r="AN18" s="15" t="str">
        <f>IF(ListSearch[[#This Row],[List Name for Search]]="","nest_relation3",IFERROR(VLOOKUP(ListSearch[[#This Row],[Relation 3]],RelationTable[[Display]:[RELID]],2,0),""))</f>
        <v/>
      </c>
      <c r="AO18" s="13" t="s">
        <v>996</v>
      </c>
      <c r="AP18" s="13"/>
      <c r="AQ18" s="13"/>
      <c r="AR18" s="13"/>
      <c r="AT18" s="60" t="str">
        <f>'Table Seed Map'!$A$27&amp;"-"&amp;COUNTA($AV$1:ListLayout[[#This Row],[No]])-2</f>
        <v>List Layout-16</v>
      </c>
      <c r="AU18" s="61" t="s">
        <v>1104</v>
      </c>
      <c r="AV18" s="60">
        <f>IF(ListLayout[[#This Row],[List Name for Layout]]="","id",COUNTA($AU$2:ListLayout[[#This Row],[List Name for Layout]])+IF(ISNUMBER(VLOOKUP('Table Seed Map'!$A$27,SeedMap[],9,0)),VLOOKUP('Table Seed Map'!$A$27,SeedMap[],9,0),0))</f>
        <v>802516</v>
      </c>
      <c r="AW18" s="60">
        <f>IFERROR(VLOOKUP(ListLayout[[#This Row],[List Name for Layout]],ResourceList[[ListDisplayName]:[No]],2,0),"resource_list")</f>
        <v>802209</v>
      </c>
      <c r="AX18" s="60" t="s">
        <v>844</v>
      </c>
      <c r="AY18" s="65" t="s">
        <v>23</v>
      </c>
      <c r="AZ18" s="60">
        <f>IF(ListLayout[[#This Row],[List Name for Layout]]="","relation",IFERROR(VLOOKUP(ListLayout[[#This Row],[Relation]],RelationTable[[Display]:[RELID]],2,0),""))</f>
        <v>800810</v>
      </c>
      <c r="BA18" s="60" t="str">
        <f>IF(ListLayout[[#This Row],[List Name for Layout]]="","nest_relation1",IFERROR(VLOOKUP(ListLayout[[#This Row],[Relation 1]],RelationTable[[Display]:[RELID]],2,0),""))</f>
        <v/>
      </c>
      <c r="BB18" s="60" t="str">
        <f>IF(ListLayout[[#This Row],[List Name for Layout]]="","nest_relation2",IFERROR(VLOOKUP(ListLayout[[#This Row],[Relation 2]],RelationTable[[Display]:[RELID]],2,0),""))</f>
        <v/>
      </c>
      <c r="BC18" s="65" t="s">
        <v>1072</v>
      </c>
      <c r="BD18" s="65"/>
      <c r="BE18" s="65"/>
    </row>
    <row r="19" spans="32:57" x14ac:dyDescent="0.25">
      <c r="AF19" s="15" t="str">
        <f>'Table Seed Map'!$A$28&amp;"-"&amp;COUNTA($AH$1:ListSearch[[#This Row],[No]])-2</f>
        <v>List Search-17</v>
      </c>
      <c r="AG19" s="2" t="s">
        <v>1005</v>
      </c>
      <c r="AH19" s="15">
        <f>IF(ListSearch[[#This Row],[List Name for Search]]="","id",-1+COUNTA($AG$1:ListSearch[[#This Row],[List Name for Search]])+IF(ISNUMBER(VLOOKUP('Table Seed Map'!$A$28,SeedMap[],9,0)),VLOOKUP('Table Seed Map'!$A$28,SeedMap[],9,0),0))</f>
        <v>802617</v>
      </c>
      <c r="AI19" s="15">
        <f>IFERROR(VLOOKUP(ListSearch[[#This Row],[List Name for Search]],ResourceList[[ListDisplayName]:[No]],2,0),"resource_list")</f>
        <v>802207</v>
      </c>
      <c r="AJ19" s="13" t="s">
        <v>24</v>
      </c>
      <c r="AK19" s="15">
        <f>IF(ListSearch[[#This Row],[List Name for Search]]="","relation",IFERROR(VLOOKUP(ListSearch[[#This Row],[Relation]],RelationTable[[Display]:[RELID]],2,0),""))</f>
        <v>800809</v>
      </c>
      <c r="AL19" s="15" t="str">
        <f>IF(ListSearch[[#This Row],[List Name for Search]]="","nest_relation1",IFERROR(VLOOKUP(ListSearch[[#This Row],[Relation 1]],RelationTable[[Display]:[RELID]],2,0),""))</f>
        <v/>
      </c>
      <c r="AM19" s="15" t="str">
        <f>IF(ListSearch[[#This Row],[List Name for Search]]="","nest_relation2",IFERROR(VLOOKUP(ListSearch[[#This Row],[Relation 2]],RelationTable[[Display]:[RELID]],2,0),""))</f>
        <v/>
      </c>
      <c r="AN19" s="15" t="str">
        <f>IF(ListSearch[[#This Row],[List Name for Search]]="","nest_relation3",IFERROR(VLOOKUP(ListSearch[[#This Row],[Relation 3]],RelationTable[[Display]:[RELID]],2,0),""))</f>
        <v/>
      </c>
      <c r="AO19" s="13" t="s">
        <v>996</v>
      </c>
      <c r="AP19" s="13"/>
      <c r="AQ19" s="13"/>
      <c r="AR19" s="13"/>
      <c r="AT19" s="60" t="str">
        <f>'Table Seed Map'!$A$27&amp;"-"&amp;COUNTA($AV$1:ListLayout[[#This Row],[No]])-2</f>
        <v>List Layout-17</v>
      </c>
      <c r="AU19" s="61" t="s">
        <v>1104</v>
      </c>
      <c r="AV19" s="60">
        <f>IF(ListLayout[[#This Row],[List Name for Layout]]="","id",COUNTA($AU$2:ListLayout[[#This Row],[List Name for Layout]])+IF(ISNUMBER(VLOOKUP('Table Seed Map'!$A$27,SeedMap[],9,0)),VLOOKUP('Table Seed Map'!$A$27,SeedMap[],9,0),0))</f>
        <v>802517</v>
      </c>
      <c r="AW19" s="60">
        <f>IFERROR(VLOOKUP(ListLayout[[#This Row],[List Name for Layout]],ResourceList[[ListDisplayName]:[No]],2,0),"resource_list")</f>
        <v>802209</v>
      </c>
      <c r="AX19" s="60" t="s">
        <v>902</v>
      </c>
      <c r="AY19" s="65" t="s">
        <v>823</v>
      </c>
      <c r="AZ19" s="60" t="str">
        <f>IF(ListLayout[[#This Row],[List Name for Layout]]="","relation",IFERROR(VLOOKUP(ListLayout[[#This Row],[Relation]],RelationTable[[Display]:[RELID]],2,0),""))</f>
        <v/>
      </c>
      <c r="BA19" s="60" t="str">
        <f>IF(ListLayout[[#This Row],[List Name for Layout]]="","nest_relation1",IFERROR(VLOOKUP(ListLayout[[#This Row],[Relation 1]],RelationTable[[Display]:[RELID]],2,0),""))</f>
        <v/>
      </c>
      <c r="BB19" s="60" t="str">
        <f>IF(ListLayout[[#This Row],[List Name for Layout]]="","nest_relation2",IFERROR(VLOOKUP(ListLayout[[#This Row],[Relation 2]],RelationTable[[Display]:[RELID]],2,0),""))</f>
        <v/>
      </c>
      <c r="BC19" s="65"/>
      <c r="BD19" s="65"/>
      <c r="BE19" s="65"/>
    </row>
    <row r="20" spans="32:57" x14ac:dyDescent="0.25">
      <c r="AF20" s="60" t="str">
        <f>'Table Seed Map'!$A$28&amp;"-"&amp;COUNTA($AH$1:ListSearch[[#This Row],[No]])-2</f>
        <v>List Search-18</v>
      </c>
      <c r="AG20" s="2" t="s">
        <v>1005</v>
      </c>
      <c r="AH20" s="60">
        <f>IF(ListSearch[[#This Row],[List Name for Search]]="","id",-1+COUNTA($AG$1:ListSearch[[#This Row],[List Name for Search]])+IF(ISNUMBER(VLOOKUP('Table Seed Map'!$A$28,SeedMap[],9,0)),VLOOKUP('Table Seed Map'!$A$28,SeedMap[],9,0),0))</f>
        <v>802618</v>
      </c>
      <c r="AI20" s="60">
        <f>IFERROR(VLOOKUP(ListSearch[[#This Row],[List Name for Search]],ResourceList[[ListDisplayName]:[No]],2,0),"resource_list")</f>
        <v>802207</v>
      </c>
      <c r="AJ20" s="65" t="s">
        <v>1123</v>
      </c>
      <c r="AK20" s="60" t="str">
        <f>IF(ListSearch[[#This Row],[List Name for Search]]="","relation",IFERROR(VLOOKUP(ListSearch[[#This Row],[Relation]],RelationTable[[Display]:[RELID]],2,0),""))</f>
        <v/>
      </c>
      <c r="AL20" s="60" t="str">
        <f>IF(ListSearch[[#This Row],[List Name for Search]]="","nest_relation1",IFERROR(VLOOKUP(ListSearch[[#This Row],[Relation 1]],RelationTable[[Display]:[RELID]],2,0),""))</f>
        <v/>
      </c>
      <c r="AM20" s="60" t="str">
        <f>IF(ListSearch[[#This Row],[List Name for Search]]="","nest_relation2",IFERROR(VLOOKUP(ListSearch[[#This Row],[Relation 2]],RelationTable[[Display]:[RELID]],2,0),""))</f>
        <v/>
      </c>
      <c r="AN20" s="60" t="str">
        <f>IF(ListSearch[[#This Row],[List Name for Search]]="","nest_relation3",IFERROR(VLOOKUP(ListSearch[[#This Row],[Relation 3]],RelationTable[[Display]:[RELID]],2,0),""))</f>
        <v/>
      </c>
      <c r="AO20" s="65"/>
      <c r="AP20" s="65"/>
      <c r="AQ20" s="65"/>
      <c r="AR20" s="65"/>
      <c r="AT20" s="60" t="str">
        <f>'Table Seed Map'!$A$27&amp;"-"&amp;COUNTA($AV$1:ListLayout[[#This Row],[No]])-2</f>
        <v>List Layout-18</v>
      </c>
      <c r="AU20" s="61" t="s">
        <v>1104</v>
      </c>
      <c r="AV20" s="60">
        <f>IF(ListLayout[[#This Row],[List Name for Layout]]="","id",COUNTA($AU$2:ListLayout[[#This Row],[List Name for Layout]])+IF(ISNUMBER(VLOOKUP('Table Seed Map'!$A$27,SeedMap[],9,0)),VLOOKUP('Table Seed Map'!$A$27,SeedMap[],9,0),0))</f>
        <v>802518</v>
      </c>
      <c r="AW20" s="60">
        <f>IFERROR(VLOOKUP(ListLayout[[#This Row],[List Name for Layout]],ResourceList[[ListDisplayName]:[No]],2,0),"resource_list")</f>
        <v>802209</v>
      </c>
      <c r="AX20" s="60" t="s">
        <v>1075</v>
      </c>
      <c r="AY20" s="65" t="s">
        <v>1076</v>
      </c>
      <c r="AZ20" s="60" t="str">
        <f>IF(ListLayout[[#This Row],[List Name for Layout]]="","relation",IFERROR(VLOOKUP(ListLayout[[#This Row],[Relation]],RelationTable[[Display]:[RELID]],2,0),""))</f>
        <v/>
      </c>
      <c r="BA20" s="60" t="str">
        <f>IF(ListLayout[[#This Row],[List Name for Layout]]="","nest_relation1",IFERROR(VLOOKUP(ListLayout[[#This Row],[Relation 1]],RelationTable[[Display]:[RELID]],2,0),""))</f>
        <v/>
      </c>
      <c r="BB20" s="60" t="str">
        <f>IF(ListLayout[[#This Row],[List Name for Layout]]="","nest_relation2",IFERROR(VLOOKUP(ListLayout[[#This Row],[Relation 2]],RelationTable[[Display]:[RELID]],2,0),""))</f>
        <v/>
      </c>
      <c r="BC20" s="65"/>
      <c r="BD20" s="65"/>
      <c r="BE20" s="65"/>
    </row>
    <row r="21" spans="32:57" x14ac:dyDescent="0.25">
      <c r="AF21" s="60" t="str">
        <f>'Table Seed Map'!$A$28&amp;"-"&amp;COUNTA($AH$1:ListSearch[[#This Row],[No]])-2</f>
        <v>List Search-19</v>
      </c>
      <c r="AG21" s="61" t="s">
        <v>1077</v>
      </c>
      <c r="AH21" s="60">
        <f>IF(ListSearch[[#This Row],[List Name for Search]]="","id",-1+COUNTA($AG$1:ListSearch[[#This Row],[List Name for Search]])+IF(ISNUMBER(VLOOKUP('Table Seed Map'!$A$28,SeedMap[],9,0)),VLOOKUP('Table Seed Map'!$A$28,SeedMap[],9,0),0))</f>
        <v>802619</v>
      </c>
      <c r="AI21" s="60">
        <f>IFERROR(VLOOKUP(ListSearch[[#This Row],[List Name for Search]],ResourceList[[ListDisplayName]:[No]],2,0),"resource_list")</f>
        <v>802208</v>
      </c>
      <c r="AJ21" s="65" t="s">
        <v>23</v>
      </c>
      <c r="AK21" s="60">
        <f>IF(ListSearch[[#This Row],[List Name for Search]]="","relation",IFERROR(VLOOKUP(ListSearch[[#This Row],[Relation]],RelationTable[[Display]:[RELID]],2,0),""))</f>
        <v>800809</v>
      </c>
      <c r="AL21" s="60" t="str">
        <f>IF(ListSearch[[#This Row],[List Name for Search]]="","nest_relation1",IFERROR(VLOOKUP(ListSearch[[#This Row],[Relation 1]],RelationTable[[Display]:[RELID]],2,0),""))</f>
        <v/>
      </c>
      <c r="AM21" s="60" t="str">
        <f>IF(ListSearch[[#This Row],[List Name for Search]]="","nest_relation2",IFERROR(VLOOKUP(ListSearch[[#This Row],[Relation 2]],RelationTable[[Display]:[RELID]],2,0),""))</f>
        <v/>
      </c>
      <c r="AN21" s="60" t="str">
        <f>IF(ListSearch[[#This Row],[List Name for Search]]="","nest_relation3",IFERROR(VLOOKUP(ListSearch[[#This Row],[Relation 3]],RelationTable[[Display]:[RELID]],2,0),""))</f>
        <v/>
      </c>
      <c r="AO21" s="13" t="s">
        <v>996</v>
      </c>
      <c r="AP21" s="65"/>
      <c r="AQ21" s="65"/>
      <c r="AR21" s="65"/>
      <c r="AT21" s="60" t="str">
        <f>'Table Seed Map'!$A$27&amp;"-"&amp;COUNTA($AV$1:ListLayout[[#This Row],[No]])-2</f>
        <v>List Layout-19</v>
      </c>
      <c r="AU21" s="61" t="s">
        <v>1104</v>
      </c>
      <c r="AV21" s="60">
        <f>IF(ListLayout[[#This Row],[List Name for Layout]]="","id",COUNTA($AU$2:ListLayout[[#This Row],[List Name for Layout]])+IF(ISNUMBER(VLOOKUP('Table Seed Map'!$A$27,SeedMap[],9,0)),VLOOKUP('Table Seed Map'!$A$27,SeedMap[],9,0),0))</f>
        <v>802519</v>
      </c>
      <c r="AW21" s="60">
        <f>IFERROR(VLOOKUP(ListLayout[[#This Row],[List Name for Layout]],ResourceList[[ListDisplayName]:[No]],2,0),"resource_list")</f>
        <v>802209</v>
      </c>
      <c r="AX21" s="60" t="s">
        <v>1124</v>
      </c>
      <c r="AY21" s="65" t="s">
        <v>1123</v>
      </c>
      <c r="AZ21" s="60" t="str">
        <f>IF(ListLayout[[#This Row],[List Name for Layout]]="","relation",IFERROR(VLOOKUP(ListLayout[[#This Row],[Relation]],RelationTable[[Display]:[RELID]],2,0),""))</f>
        <v/>
      </c>
      <c r="BA21" s="60" t="str">
        <f>IF(ListLayout[[#This Row],[List Name for Layout]]="","nest_relation1",IFERROR(VLOOKUP(ListLayout[[#This Row],[Relation 1]],RelationTable[[Display]:[RELID]],2,0),""))</f>
        <v/>
      </c>
      <c r="BB21" s="60" t="str">
        <f>IF(ListLayout[[#This Row],[List Name for Layout]]="","nest_relation2",IFERROR(VLOOKUP(ListLayout[[#This Row],[Relation 2]],RelationTable[[Display]:[RELID]],2,0),""))</f>
        <v/>
      </c>
      <c r="BC21" s="65"/>
      <c r="BD21" s="65"/>
      <c r="BE21" s="65"/>
    </row>
    <row r="22" spans="32:57" x14ac:dyDescent="0.25">
      <c r="AF22" s="60" t="str">
        <f>'Table Seed Map'!$A$28&amp;"-"&amp;COUNTA($AH$1:ListSearch[[#This Row],[No]])-2</f>
        <v>List Search-20</v>
      </c>
      <c r="AG22" s="61" t="s">
        <v>1077</v>
      </c>
      <c r="AH22" s="60">
        <f>IF(ListSearch[[#This Row],[List Name for Search]]="","id",-1+COUNTA($AG$1:ListSearch[[#This Row],[List Name for Search]])+IF(ISNUMBER(VLOOKUP('Table Seed Map'!$A$28,SeedMap[],9,0)),VLOOKUP('Table Seed Map'!$A$28,SeedMap[],9,0),0))</f>
        <v>802620</v>
      </c>
      <c r="AI22" s="60">
        <f>IFERROR(VLOOKUP(ListSearch[[#This Row],[List Name for Search]],ResourceList[[ListDisplayName]:[No]],2,0),"resource_list")</f>
        <v>802208</v>
      </c>
      <c r="AJ22" s="65" t="s">
        <v>24</v>
      </c>
      <c r="AK22" s="60">
        <f>IF(ListSearch[[#This Row],[List Name for Search]]="","relation",IFERROR(VLOOKUP(ListSearch[[#This Row],[Relation]],RelationTable[[Display]:[RELID]],2,0),""))</f>
        <v>800809</v>
      </c>
      <c r="AL22" s="60" t="str">
        <f>IF(ListSearch[[#This Row],[List Name for Search]]="","nest_relation1",IFERROR(VLOOKUP(ListSearch[[#This Row],[Relation 1]],RelationTable[[Display]:[RELID]],2,0),""))</f>
        <v/>
      </c>
      <c r="AM22" s="60" t="str">
        <f>IF(ListSearch[[#This Row],[List Name for Search]]="","nest_relation2",IFERROR(VLOOKUP(ListSearch[[#This Row],[Relation 2]],RelationTable[[Display]:[RELID]],2,0),""))</f>
        <v/>
      </c>
      <c r="AN22" s="60" t="str">
        <f>IF(ListSearch[[#This Row],[List Name for Search]]="","nest_relation3",IFERROR(VLOOKUP(ListSearch[[#This Row],[Relation 3]],RelationTable[[Display]:[RELID]],2,0),""))</f>
        <v/>
      </c>
      <c r="AO22" s="13" t="s">
        <v>996</v>
      </c>
      <c r="AP22" s="65"/>
      <c r="AQ22" s="65"/>
      <c r="AR22" s="65"/>
      <c r="AT22" s="60" t="str">
        <f>'Table Seed Map'!$A$27&amp;"-"&amp;COUNTA($AV$1:ListLayout[[#This Row],[No]])-2</f>
        <v>List Layout-20</v>
      </c>
      <c r="AU22" s="61" t="s">
        <v>1111</v>
      </c>
      <c r="AV22" s="60">
        <f>IF(ListLayout[[#This Row],[List Name for Layout]]="","id",COUNTA($AU$2:ListLayout[[#This Row],[List Name for Layout]])+IF(ISNUMBER(VLOOKUP('Table Seed Map'!$A$27,SeedMap[],9,0)),VLOOKUP('Table Seed Map'!$A$27,SeedMap[],9,0),0))</f>
        <v>802520</v>
      </c>
      <c r="AW22" s="60">
        <f>IFERROR(VLOOKUP(ListLayout[[#This Row],[List Name for Layout]],ResourceList[[ListDisplayName]:[No]],2,0),"resource_list")</f>
        <v>802210</v>
      </c>
      <c r="AX22" s="60" t="s">
        <v>846</v>
      </c>
      <c r="AY22" s="65" t="s">
        <v>23</v>
      </c>
      <c r="AZ22" s="60">
        <f>IF(ListLayout[[#This Row],[List Name for Layout]]="","relation",IFERROR(VLOOKUP(ListLayout[[#This Row],[Relation]],RelationTable[[Display]:[RELID]],2,0),""))</f>
        <v>800809</v>
      </c>
      <c r="BA22" s="60" t="str">
        <f>IF(ListLayout[[#This Row],[List Name for Layout]]="","nest_relation1",IFERROR(VLOOKUP(ListLayout[[#This Row],[Relation 1]],RelationTable[[Display]:[RELID]],2,0),""))</f>
        <v/>
      </c>
      <c r="BB22" s="60" t="str">
        <f>IF(ListLayout[[#This Row],[List Name for Layout]]="","nest_relation2",IFERROR(VLOOKUP(ListLayout[[#This Row],[Relation 2]],RelationTable[[Display]:[RELID]],2,0),""))</f>
        <v/>
      </c>
      <c r="BC22" s="65" t="s">
        <v>996</v>
      </c>
      <c r="BD22" s="65"/>
      <c r="BE22" s="65"/>
    </row>
    <row r="23" spans="32:57" x14ac:dyDescent="0.25">
      <c r="AF23" s="60" t="str">
        <f>'Table Seed Map'!$A$28&amp;"-"&amp;COUNTA($AH$1:ListSearch[[#This Row],[No]])-2</f>
        <v>List Search-21</v>
      </c>
      <c r="AG23" s="61" t="s">
        <v>1077</v>
      </c>
      <c r="AH23" s="60">
        <f>IF(ListSearch[[#This Row],[List Name for Search]]="","id",-1+COUNTA($AG$1:ListSearch[[#This Row],[List Name for Search]])+IF(ISNUMBER(VLOOKUP('Table Seed Map'!$A$28,SeedMap[],9,0)),VLOOKUP('Table Seed Map'!$A$28,SeedMap[],9,0),0))</f>
        <v>802621</v>
      </c>
      <c r="AI23" s="60">
        <f>IFERROR(VLOOKUP(ListSearch[[#This Row],[List Name for Search]],ResourceList[[ListDisplayName]:[No]],2,0),"resource_list")</f>
        <v>802208</v>
      </c>
      <c r="AJ23" s="65" t="s">
        <v>23</v>
      </c>
      <c r="AK23" s="60">
        <f>IF(ListSearch[[#This Row],[List Name for Search]]="","relation",IFERROR(VLOOKUP(ListSearch[[#This Row],[Relation]],RelationTable[[Display]:[RELID]],2,0),""))</f>
        <v>800810</v>
      </c>
      <c r="AL23" s="60" t="str">
        <f>IF(ListSearch[[#This Row],[List Name for Search]]="","nest_relation1",IFERROR(VLOOKUP(ListSearch[[#This Row],[Relation 1]],RelationTable[[Display]:[RELID]],2,0),""))</f>
        <v/>
      </c>
      <c r="AM23" s="60" t="str">
        <f>IF(ListSearch[[#This Row],[List Name for Search]]="","nest_relation2",IFERROR(VLOOKUP(ListSearch[[#This Row],[Relation 2]],RelationTable[[Display]:[RELID]],2,0),""))</f>
        <v/>
      </c>
      <c r="AN23" s="60" t="str">
        <f>IF(ListSearch[[#This Row],[List Name for Search]]="","nest_relation3",IFERROR(VLOOKUP(ListSearch[[#This Row],[Relation 3]],RelationTable[[Display]:[RELID]],2,0),""))</f>
        <v/>
      </c>
      <c r="AO23" s="13" t="s">
        <v>1072</v>
      </c>
      <c r="AP23" s="65"/>
      <c r="AQ23" s="65"/>
      <c r="AR23" s="65"/>
      <c r="AT23" s="60" t="str">
        <f>'Table Seed Map'!$A$27&amp;"-"&amp;COUNTA($AV$1:ListLayout[[#This Row],[No]])-2</f>
        <v>List Layout-21</v>
      </c>
      <c r="AU23" s="61" t="s">
        <v>1111</v>
      </c>
      <c r="AV23" s="60">
        <f>IF(ListLayout[[#This Row],[List Name for Layout]]="","id",COUNTA($AU$2:ListLayout[[#This Row],[List Name for Layout]])+IF(ISNUMBER(VLOOKUP('Table Seed Map'!$A$27,SeedMap[],9,0)),VLOOKUP('Table Seed Map'!$A$27,SeedMap[],9,0),0))</f>
        <v>802521</v>
      </c>
      <c r="AW23" s="60">
        <f>IFERROR(VLOOKUP(ListLayout[[#This Row],[List Name for Layout]],ResourceList[[ListDisplayName]:[No]],2,0),"resource_list")</f>
        <v>802210</v>
      </c>
      <c r="AX23" s="60" t="s">
        <v>902</v>
      </c>
      <c r="AY23" s="65" t="s">
        <v>823</v>
      </c>
      <c r="AZ23" s="60" t="str">
        <f>IF(ListLayout[[#This Row],[List Name for Layout]]="","relation",IFERROR(VLOOKUP(ListLayout[[#This Row],[Relation]],RelationTable[[Display]:[RELID]],2,0),""))</f>
        <v/>
      </c>
      <c r="BA23" s="60" t="str">
        <f>IF(ListLayout[[#This Row],[List Name for Layout]]="","nest_relation1",IFERROR(VLOOKUP(ListLayout[[#This Row],[Relation 1]],RelationTable[[Display]:[RELID]],2,0),""))</f>
        <v/>
      </c>
      <c r="BB23" s="60" t="str">
        <f>IF(ListLayout[[#This Row],[List Name for Layout]]="","nest_relation2",IFERROR(VLOOKUP(ListLayout[[#This Row],[Relation 2]],RelationTable[[Display]:[RELID]],2,0),""))</f>
        <v/>
      </c>
      <c r="BC23" s="65"/>
      <c r="BD23" s="65"/>
      <c r="BE23" s="65"/>
    </row>
    <row r="24" spans="32:57" x14ac:dyDescent="0.25">
      <c r="AF24" s="60" t="str">
        <f>'Table Seed Map'!$A$28&amp;"-"&amp;COUNTA($AH$1:ListSearch[[#This Row],[No]])-2</f>
        <v>List Search-22</v>
      </c>
      <c r="AG24" s="61" t="s">
        <v>1077</v>
      </c>
      <c r="AH24" s="60">
        <f>IF(ListSearch[[#This Row],[List Name for Search]]="","id",-1+COUNTA($AG$1:ListSearch[[#This Row],[List Name for Search]])+IF(ISNUMBER(VLOOKUP('Table Seed Map'!$A$28,SeedMap[],9,0)),VLOOKUP('Table Seed Map'!$A$28,SeedMap[],9,0),0))</f>
        <v>802622</v>
      </c>
      <c r="AI24" s="60">
        <f>IFERROR(VLOOKUP(ListSearch[[#This Row],[List Name for Search]],ResourceList[[ListDisplayName]:[No]],2,0),"resource_list")</f>
        <v>802208</v>
      </c>
      <c r="AJ24" s="65" t="s">
        <v>1123</v>
      </c>
      <c r="AK24" s="60" t="str">
        <f>IF(ListSearch[[#This Row],[List Name for Search]]="","relation",IFERROR(VLOOKUP(ListSearch[[#This Row],[Relation]],RelationTable[[Display]:[RELID]],2,0),""))</f>
        <v/>
      </c>
      <c r="AL24" s="60" t="str">
        <f>IF(ListSearch[[#This Row],[List Name for Search]]="","nest_relation1",IFERROR(VLOOKUP(ListSearch[[#This Row],[Relation 1]],RelationTable[[Display]:[RELID]],2,0),""))</f>
        <v/>
      </c>
      <c r="AM24" s="60" t="str">
        <f>IF(ListSearch[[#This Row],[List Name for Search]]="","nest_relation2",IFERROR(VLOOKUP(ListSearch[[#This Row],[Relation 2]],RelationTable[[Display]:[RELID]],2,0),""))</f>
        <v/>
      </c>
      <c r="AN24" s="60" t="str">
        <f>IF(ListSearch[[#This Row],[List Name for Search]]="","nest_relation3",IFERROR(VLOOKUP(ListSearch[[#This Row],[Relation 3]],RelationTable[[Display]:[RELID]],2,0),""))</f>
        <v/>
      </c>
      <c r="AO24" s="65"/>
      <c r="AP24" s="65"/>
      <c r="AQ24" s="65"/>
      <c r="AR24" s="65"/>
      <c r="AT24" s="60" t="str">
        <f>'Table Seed Map'!$A$27&amp;"-"&amp;COUNTA($AV$1:ListLayout[[#This Row],[No]])-2</f>
        <v>List Layout-22</v>
      </c>
      <c r="AU24" s="61" t="s">
        <v>1111</v>
      </c>
      <c r="AV24" s="60">
        <f>IF(ListLayout[[#This Row],[List Name for Layout]]="","id",COUNTA($AU$2:ListLayout[[#This Row],[List Name for Layout]])+IF(ISNUMBER(VLOOKUP('Table Seed Map'!$A$27,SeedMap[],9,0)),VLOOKUP('Table Seed Map'!$A$27,SeedMap[],9,0),0))</f>
        <v>802522</v>
      </c>
      <c r="AW24" s="60">
        <f>IFERROR(VLOOKUP(ListLayout[[#This Row],[List Name for Layout]],ResourceList[[ListDisplayName]:[No]],2,0),"resource_list")</f>
        <v>802210</v>
      </c>
      <c r="AX24" s="60" t="s">
        <v>1075</v>
      </c>
      <c r="AY24" s="65" t="s">
        <v>1076</v>
      </c>
      <c r="AZ24" s="60" t="str">
        <f>IF(ListLayout[[#This Row],[List Name for Layout]]="","relation",IFERROR(VLOOKUP(ListLayout[[#This Row],[Relation]],RelationTable[[Display]:[RELID]],2,0),""))</f>
        <v/>
      </c>
      <c r="BA24" s="60" t="str">
        <f>IF(ListLayout[[#This Row],[List Name for Layout]]="","nest_relation1",IFERROR(VLOOKUP(ListLayout[[#This Row],[Relation 1]],RelationTable[[Display]:[RELID]],2,0),""))</f>
        <v/>
      </c>
      <c r="BB24" s="60" t="str">
        <f>IF(ListLayout[[#This Row],[List Name for Layout]]="","nest_relation2",IFERROR(VLOOKUP(ListLayout[[#This Row],[Relation 2]],RelationTable[[Display]:[RELID]],2,0),""))</f>
        <v/>
      </c>
      <c r="BC24" s="65"/>
      <c r="BD24" s="65"/>
      <c r="BE24" s="65"/>
    </row>
    <row r="25" spans="32:57" x14ac:dyDescent="0.25">
      <c r="AF25" s="60" t="str">
        <f>'Table Seed Map'!$A$28&amp;"-"&amp;COUNTA($AH$1:ListSearch[[#This Row],[No]])-2</f>
        <v>List Search-23</v>
      </c>
      <c r="AG25" s="61" t="s">
        <v>1104</v>
      </c>
      <c r="AH25" s="60">
        <f>IF(ListSearch[[#This Row],[List Name for Search]]="","id",-1+COUNTA($AG$1:ListSearch[[#This Row],[List Name for Search]])+IF(ISNUMBER(VLOOKUP('Table Seed Map'!$A$28,SeedMap[],9,0)),VLOOKUP('Table Seed Map'!$A$28,SeedMap[],9,0),0))</f>
        <v>802623</v>
      </c>
      <c r="AI25" s="60">
        <f>IFERROR(VLOOKUP(ListSearch[[#This Row],[List Name for Search]],ResourceList[[ListDisplayName]:[No]],2,0),"resource_list")</f>
        <v>802209</v>
      </c>
      <c r="AJ25" s="65" t="s">
        <v>23</v>
      </c>
      <c r="AK25" s="60">
        <f>IF(ListSearch[[#This Row],[List Name for Search]]="","relation",IFERROR(VLOOKUP(ListSearch[[#This Row],[Relation]],RelationTable[[Display]:[RELID]],2,0),""))</f>
        <v>800810</v>
      </c>
      <c r="AL25" s="60" t="str">
        <f>IF(ListSearch[[#This Row],[List Name for Search]]="","nest_relation1",IFERROR(VLOOKUP(ListSearch[[#This Row],[Relation 1]],RelationTable[[Display]:[RELID]],2,0),""))</f>
        <v/>
      </c>
      <c r="AM25" s="60" t="str">
        <f>IF(ListSearch[[#This Row],[List Name for Search]]="","nest_relation2",IFERROR(VLOOKUP(ListSearch[[#This Row],[Relation 2]],RelationTable[[Display]:[RELID]],2,0),""))</f>
        <v/>
      </c>
      <c r="AN25" s="60" t="str">
        <f>IF(ListSearch[[#This Row],[List Name for Search]]="","nest_relation3",IFERROR(VLOOKUP(ListSearch[[#This Row],[Relation 3]],RelationTable[[Display]:[RELID]],2,0),""))</f>
        <v/>
      </c>
      <c r="AO25" s="13" t="s">
        <v>1072</v>
      </c>
      <c r="AP25" s="65"/>
      <c r="AQ25" s="65"/>
      <c r="AR25" s="65"/>
      <c r="AT25" s="60" t="str">
        <f>'Table Seed Map'!$A$27&amp;"-"&amp;COUNTA($AV$1:ListLayout[[#This Row],[No]])-2</f>
        <v>List Layout-23</v>
      </c>
      <c r="AU25" s="61" t="s">
        <v>1111</v>
      </c>
      <c r="AV25" s="60">
        <f>IF(ListLayout[[#This Row],[List Name for Layout]]="","id",COUNTA($AU$2:ListLayout[[#This Row],[List Name for Layout]])+IF(ISNUMBER(VLOOKUP('Table Seed Map'!$A$27,SeedMap[],9,0)),VLOOKUP('Table Seed Map'!$A$27,SeedMap[],9,0),0))</f>
        <v>802523</v>
      </c>
      <c r="AW25" s="60">
        <f>IFERROR(VLOOKUP(ListLayout[[#This Row],[List Name for Layout]],ResourceList[[ListDisplayName]:[No]],2,0),"resource_list")</f>
        <v>802210</v>
      </c>
      <c r="AX25" s="60" t="s">
        <v>1124</v>
      </c>
      <c r="AY25" s="65" t="s">
        <v>1123</v>
      </c>
      <c r="AZ25" s="60" t="str">
        <f>IF(ListLayout[[#This Row],[List Name for Layout]]="","relation",IFERROR(VLOOKUP(ListLayout[[#This Row],[Relation]],RelationTable[[Display]:[RELID]],2,0),""))</f>
        <v/>
      </c>
      <c r="BA25" s="60" t="str">
        <f>IF(ListLayout[[#This Row],[List Name for Layout]]="","nest_relation1",IFERROR(VLOOKUP(ListLayout[[#This Row],[Relation 1]],RelationTable[[Display]:[RELID]],2,0),""))</f>
        <v/>
      </c>
      <c r="BB25" s="60" t="str">
        <f>IF(ListLayout[[#This Row],[List Name for Layout]]="","nest_relation2",IFERROR(VLOOKUP(ListLayout[[#This Row],[Relation 2]],RelationTable[[Display]:[RELID]],2,0),""))</f>
        <v/>
      </c>
      <c r="BC25" s="65"/>
      <c r="BD25" s="65"/>
      <c r="BE25" s="65"/>
    </row>
    <row r="26" spans="32:57" x14ac:dyDescent="0.25">
      <c r="AF26" s="60" t="str">
        <f>'Table Seed Map'!$A$28&amp;"-"&amp;COUNTA($AH$1:ListSearch[[#This Row],[No]])-2</f>
        <v>List Search-24</v>
      </c>
      <c r="AG26" s="61" t="s">
        <v>1104</v>
      </c>
      <c r="AH26" s="60">
        <f>IF(ListSearch[[#This Row],[List Name for Search]]="","id",-1+COUNTA($AG$1:ListSearch[[#This Row],[List Name for Search]])+IF(ISNUMBER(VLOOKUP('Table Seed Map'!$A$28,SeedMap[],9,0)),VLOOKUP('Table Seed Map'!$A$28,SeedMap[],9,0),0))</f>
        <v>802624</v>
      </c>
      <c r="AI26" s="60">
        <f>IFERROR(VLOOKUP(ListSearch[[#This Row],[List Name for Search]],ResourceList[[ListDisplayName]:[No]],2,0),"resource_list")</f>
        <v>802209</v>
      </c>
      <c r="AJ26" s="65" t="s">
        <v>23</v>
      </c>
      <c r="AK26" s="60">
        <f>IF(ListSearch[[#This Row],[List Name for Search]]="","relation",IFERROR(VLOOKUP(ListSearch[[#This Row],[Relation]],RelationTable[[Display]:[RELID]],2,0),""))</f>
        <v>800809</v>
      </c>
      <c r="AL26" s="60" t="str">
        <f>IF(ListSearch[[#This Row],[List Name for Search]]="","nest_relation1",IFERROR(VLOOKUP(ListSearch[[#This Row],[Relation 1]],RelationTable[[Display]:[RELID]],2,0),""))</f>
        <v/>
      </c>
      <c r="AM26" s="60" t="str">
        <f>IF(ListSearch[[#This Row],[List Name for Search]]="","nest_relation2",IFERROR(VLOOKUP(ListSearch[[#This Row],[Relation 2]],RelationTable[[Display]:[RELID]],2,0),""))</f>
        <v/>
      </c>
      <c r="AN26" s="60" t="str">
        <f>IF(ListSearch[[#This Row],[List Name for Search]]="","nest_relation3",IFERROR(VLOOKUP(ListSearch[[#This Row],[Relation 3]],RelationTable[[Display]:[RELID]],2,0),""))</f>
        <v/>
      </c>
      <c r="AO26" s="13" t="s">
        <v>996</v>
      </c>
      <c r="AP26" s="65"/>
      <c r="AQ26" s="65"/>
      <c r="AR26" s="65"/>
    </row>
    <row r="27" spans="32:57" x14ac:dyDescent="0.25">
      <c r="AF27" s="60" t="str">
        <f>'Table Seed Map'!$A$28&amp;"-"&amp;COUNTA($AH$1:ListSearch[[#This Row],[No]])-2</f>
        <v>List Search-25</v>
      </c>
      <c r="AG27" s="61" t="s">
        <v>1104</v>
      </c>
      <c r="AH27" s="60">
        <f>IF(ListSearch[[#This Row],[List Name for Search]]="","id",-1+COUNTA($AG$1:ListSearch[[#This Row],[List Name for Search]])+IF(ISNUMBER(VLOOKUP('Table Seed Map'!$A$28,SeedMap[],9,0)),VLOOKUP('Table Seed Map'!$A$28,SeedMap[],9,0),0))</f>
        <v>802625</v>
      </c>
      <c r="AI27" s="60">
        <f>IFERROR(VLOOKUP(ListSearch[[#This Row],[List Name for Search]],ResourceList[[ListDisplayName]:[No]],2,0),"resource_list")</f>
        <v>802209</v>
      </c>
      <c r="AJ27" s="65" t="s">
        <v>24</v>
      </c>
      <c r="AK27" s="60">
        <f>IF(ListSearch[[#This Row],[List Name for Search]]="","relation",IFERROR(VLOOKUP(ListSearch[[#This Row],[Relation]],RelationTable[[Display]:[RELID]],2,0),""))</f>
        <v>800809</v>
      </c>
      <c r="AL27" s="60" t="str">
        <f>IF(ListSearch[[#This Row],[List Name for Search]]="","nest_relation1",IFERROR(VLOOKUP(ListSearch[[#This Row],[Relation 1]],RelationTable[[Display]:[RELID]],2,0),""))</f>
        <v/>
      </c>
      <c r="AM27" s="60" t="str">
        <f>IF(ListSearch[[#This Row],[List Name for Search]]="","nest_relation2",IFERROR(VLOOKUP(ListSearch[[#This Row],[Relation 2]],RelationTable[[Display]:[RELID]],2,0),""))</f>
        <v/>
      </c>
      <c r="AN27" s="60" t="str">
        <f>IF(ListSearch[[#This Row],[List Name for Search]]="","nest_relation3",IFERROR(VLOOKUP(ListSearch[[#This Row],[Relation 3]],RelationTable[[Display]:[RELID]],2,0),""))</f>
        <v/>
      </c>
      <c r="AO27" s="13" t="s">
        <v>996</v>
      </c>
      <c r="AP27" s="65"/>
      <c r="AQ27" s="65"/>
      <c r="AR27" s="65"/>
    </row>
    <row r="28" spans="32:57" x14ac:dyDescent="0.25">
      <c r="AF28" s="60" t="str">
        <f>'Table Seed Map'!$A$28&amp;"-"&amp;COUNTA($AH$1:ListSearch[[#This Row],[No]])-2</f>
        <v>List Search-26</v>
      </c>
      <c r="AG28" s="61" t="s">
        <v>1104</v>
      </c>
      <c r="AH28" s="60">
        <f>IF(ListSearch[[#This Row],[List Name for Search]]="","id",-1+COUNTA($AG$1:ListSearch[[#This Row],[List Name for Search]])+IF(ISNUMBER(VLOOKUP('Table Seed Map'!$A$28,SeedMap[],9,0)),VLOOKUP('Table Seed Map'!$A$28,SeedMap[],9,0),0))</f>
        <v>802626</v>
      </c>
      <c r="AI28" s="60">
        <f>IFERROR(VLOOKUP(ListSearch[[#This Row],[List Name for Search]],ResourceList[[ListDisplayName]:[No]],2,0),"resource_list")</f>
        <v>802209</v>
      </c>
      <c r="AJ28" s="65" t="s">
        <v>1123</v>
      </c>
      <c r="AK28" s="60" t="str">
        <f>IF(ListSearch[[#This Row],[List Name for Search]]="","relation",IFERROR(VLOOKUP(ListSearch[[#This Row],[Relation]],RelationTable[[Display]:[RELID]],2,0),""))</f>
        <v/>
      </c>
      <c r="AL28" s="60" t="str">
        <f>IF(ListSearch[[#This Row],[List Name for Search]]="","nest_relation1",IFERROR(VLOOKUP(ListSearch[[#This Row],[Relation 1]],RelationTable[[Display]:[RELID]],2,0),""))</f>
        <v/>
      </c>
      <c r="AM28" s="60" t="str">
        <f>IF(ListSearch[[#This Row],[List Name for Search]]="","nest_relation2",IFERROR(VLOOKUP(ListSearch[[#This Row],[Relation 2]],RelationTable[[Display]:[RELID]],2,0),""))</f>
        <v/>
      </c>
      <c r="AN28" s="60" t="str">
        <f>IF(ListSearch[[#This Row],[List Name for Search]]="","nest_relation3",IFERROR(VLOOKUP(ListSearch[[#This Row],[Relation 3]],RelationTable[[Display]:[RELID]],2,0),""))</f>
        <v/>
      </c>
      <c r="AO28" s="65"/>
      <c r="AP28" s="65"/>
      <c r="AQ28" s="65"/>
      <c r="AR28" s="65"/>
    </row>
  </sheetData>
  <dataValidations count="4">
    <dataValidation type="list" allowBlank="1" showInputMessage="1" showErrorMessage="1" sqref="BE16 P2:S10 BC16 BC2:BE15 BC17:BE17 AO2:AR28">
      <formula1>Relations</formula1>
    </dataValidation>
    <dataValidation type="list" allowBlank="1" showInputMessage="1" showErrorMessage="1" sqref="M2:M10 AG2:AG28 AU2:AU25">
      <formula1>ListNames</formula1>
    </dataValidation>
    <dataValidation type="list" allowBlank="1" showInputMessage="1" showErrorMessage="1" sqref="B2:B12">
      <formula1>Resources</formula1>
    </dataValidation>
    <dataValidation type="list" allowBlank="1" showInputMessage="1" showErrorMessage="1" sqref="O2:O10">
      <formula1>Scopes</formula1>
    </dataValidation>
  </dataValidations>
  <pageMargins left="0.7" right="0.7" top="0.75" bottom="0.75" header="0.3" footer="0.3"/>
  <pageSetup orientation="portrait" horizontalDpi="300" verticalDpi="300" r:id="rId1"/>
  <tableParts count="4">
    <tablePart r:id="rId2"/>
    <tablePart r:id="rId3"/>
    <tablePart r:id="rId4"/>
    <tablePart r:id="rId5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0"/>
  <sheetViews>
    <sheetView topLeftCell="B1" workbookViewId="0">
      <selection activeCell="AM3" sqref="AM3"/>
    </sheetView>
  </sheetViews>
  <sheetFormatPr defaultRowHeight="15" x14ac:dyDescent="0.25"/>
  <cols>
    <col min="1" max="1" width="12" style="20" hidden="1" customWidth="1"/>
    <col min="2" max="2" width="17.28515625" style="20" bestFit="1" customWidth="1"/>
    <col min="3" max="3" width="18.140625" style="20" hidden="1" customWidth="1"/>
    <col min="4" max="4" width="9.140625" style="20" hidden="1" customWidth="1"/>
    <col min="5" max="5" width="11.42578125" style="20" hidden="1" customWidth="1"/>
    <col min="6" max="6" width="24.42578125" style="20" customWidth="1"/>
    <col min="7" max="7" width="49.7109375" style="20" customWidth="1"/>
    <col min="8" max="8" width="24.42578125" style="20" customWidth="1"/>
    <col min="9" max="9" width="24.42578125" style="20" hidden="1" customWidth="1"/>
    <col min="10" max="10" width="8.85546875" style="20" customWidth="1"/>
    <col min="11" max="11" width="9.140625" style="20"/>
    <col min="12" max="12" width="22.42578125" style="20" customWidth="1"/>
    <col min="13" max="13" width="9.140625" style="20" hidden="1" customWidth="1"/>
    <col min="14" max="14" width="19.140625" style="20" bestFit="1" customWidth="1"/>
    <col min="15" max="15" width="16.28515625" style="20" customWidth="1"/>
    <col min="16" max="18" width="11" style="20" hidden="1" customWidth="1"/>
    <col min="19" max="19" width="15.7109375" style="20" hidden="1" customWidth="1"/>
    <col min="20" max="20" width="16" style="20" hidden="1" customWidth="1"/>
    <col min="21" max="21" width="21.5703125" style="20" hidden="1" customWidth="1"/>
    <col min="22" max="22" width="10.7109375" style="20" hidden="1" customWidth="1"/>
    <col min="23" max="23" width="17.85546875" style="20" hidden="1" customWidth="1"/>
    <col min="24" max="24" width="18.140625" style="20" hidden="1" customWidth="1"/>
    <col min="25" max="25" width="23.7109375" style="20" hidden="1" customWidth="1"/>
    <col min="26" max="26" width="10.5703125" style="20" hidden="1" customWidth="1"/>
    <col min="27" max="27" width="11" style="20" hidden="1" customWidth="1"/>
    <col min="28" max="28" width="9.140625" style="20" hidden="1" customWidth="1"/>
    <col min="29" max="29" width="11" style="20" hidden="1" customWidth="1"/>
    <col min="30" max="30" width="9.140625" style="20" customWidth="1"/>
    <col min="31" max="31" width="21.140625" style="20" hidden="1" customWidth="1"/>
    <col min="32" max="32" width="19.140625" style="20" customWidth="1"/>
    <col min="33" max="33" width="19.140625" style="20" hidden="1" customWidth="1"/>
    <col min="34" max="34" width="9.140625" style="20" hidden="1" customWidth="1"/>
    <col min="35" max="35" width="12.140625" style="20" hidden="1" customWidth="1"/>
    <col min="36" max="37" width="19" style="20" customWidth="1"/>
    <col min="38" max="38" width="12.140625" style="20" hidden="1" customWidth="1"/>
    <col min="39" max="39" width="10.28515625" style="20" customWidth="1"/>
    <col min="40" max="40" width="18.28515625" style="20" customWidth="1"/>
    <col min="41" max="41" width="9.140625" style="20"/>
    <col min="42" max="42" width="18.7109375" style="20" hidden="1" customWidth="1"/>
    <col min="43" max="43" width="27.28515625" style="20" customWidth="1"/>
    <col min="44" max="44" width="9.85546875" style="20" hidden="1" customWidth="1"/>
    <col min="45" max="45" width="5.42578125" style="20" hidden="1" customWidth="1"/>
    <col min="46" max="46" width="17.85546875" style="20" customWidth="1"/>
    <col min="47" max="47" width="16.85546875" style="20" customWidth="1"/>
    <col min="48" max="48" width="11.7109375" style="20" hidden="1" customWidth="1"/>
    <col min="49" max="49" width="17" style="20" customWidth="1"/>
    <col min="50" max="16384" width="9.140625" style="20"/>
  </cols>
  <sheetData>
    <row r="1" spans="1:49" x14ac:dyDescent="0.25">
      <c r="A1" s="20" t="s">
        <v>344</v>
      </c>
      <c r="B1" s="20" t="s">
        <v>100</v>
      </c>
      <c r="C1" s="20" t="s">
        <v>435</v>
      </c>
      <c r="D1" s="20" t="s">
        <v>99</v>
      </c>
      <c r="E1" s="20" t="s">
        <v>86</v>
      </c>
      <c r="F1" s="20" t="s">
        <v>1</v>
      </c>
      <c r="G1" s="20" t="s">
        <v>102</v>
      </c>
      <c r="H1" s="20" t="s">
        <v>436</v>
      </c>
      <c r="I1" s="20" t="s">
        <v>120</v>
      </c>
      <c r="J1" s="20" t="s">
        <v>307</v>
      </c>
      <c r="L1" s="1" t="s">
        <v>437</v>
      </c>
      <c r="M1" s="1" t="s">
        <v>438</v>
      </c>
      <c r="N1" s="1" t="s">
        <v>410</v>
      </c>
      <c r="O1" s="1" t="s">
        <v>409</v>
      </c>
      <c r="P1" s="1" t="s">
        <v>411</v>
      </c>
      <c r="Q1" s="1" t="s">
        <v>412</v>
      </c>
      <c r="R1" s="1" t="s">
        <v>413</v>
      </c>
      <c r="S1" s="1" t="s">
        <v>420</v>
      </c>
      <c r="T1" s="1" t="s">
        <v>415</v>
      </c>
      <c r="U1" s="1" t="s">
        <v>440</v>
      </c>
      <c r="V1" s="1" t="s">
        <v>416</v>
      </c>
      <c r="W1" s="1" t="s">
        <v>421</v>
      </c>
      <c r="X1" s="1" t="s">
        <v>417</v>
      </c>
      <c r="Y1" s="1" t="s">
        <v>439</v>
      </c>
      <c r="Z1" s="1" t="s">
        <v>105</v>
      </c>
      <c r="AA1" s="1" t="s">
        <v>300</v>
      </c>
      <c r="AB1" s="1" t="s">
        <v>301</v>
      </c>
      <c r="AC1" s="1" t="s">
        <v>302</v>
      </c>
      <c r="AE1" s="1" t="s">
        <v>344</v>
      </c>
      <c r="AF1" s="1" t="s">
        <v>442</v>
      </c>
      <c r="AG1" s="1" t="s">
        <v>443</v>
      </c>
      <c r="AH1" s="1" t="s">
        <v>99</v>
      </c>
      <c r="AI1" s="1" t="s">
        <v>382</v>
      </c>
      <c r="AJ1" s="1" t="s">
        <v>97</v>
      </c>
      <c r="AK1" s="1" t="s">
        <v>436</v>
      </c>
      <c r="AL1" s="1" t="s">
        <v>303</v>
      </c>
      <c r="AM1" s="1" t="s">
        <v>324</v>
      </c>
      <c r="AN1" s="1" t="s">
        <v>105</v>
      </c>
      <c r="AP1" s="1" t="s">
        <v>344</v>
      </c>
      <c r="AQ1" s="1" t="s">
        <v>444</v>
      </c>
      <c r="AR1" s="1" t="s">
        <v>99</v>
      </c>
      <c r="AS1" s="1" t="s">
        <v>445</v>
      </c>
      <c r="AT1" s="1" t="s">
        <v>104</v>
      </c>
      <c r="AU1" s="1" t="s">
        <v>106</v>
      </c>
      <c r="AV1" s="1" t="s">
        <v>426</v>
      </c>
      <c r="AW1" s="1" t="s">
        <v>105</v>
      </c>
    </row>
    <row r="2" spans="1:49" x14ac:dyDescent="0.25">
      <c r="A2" s="6" t="str">
        <f>'Table Seed Map'!$A$29&amp;"-"&amp;COUNTA($E$1:ResourceData[[#This Row],[Resource]])-2</f>
        <v>Resource Data-0</v>
      </c>
      <c r="B2" s="1"/>
      <c r="C2" s="6" t="str">
        <f>ResourceData[[#This Row],[Resource Name]]&amp;"/"&amp;ResourceData[[#This Row],[Name]]</f>
        <v>/name</v>
      </c>
      <c r="D2" s="15" t="str">
        <f>IF(COUNTA($E$1:ResourceData[[#This Row],[Resource]])=2,"id",-2+COUNTA($E$1:ResourceData[[#This Row],[Resource]])+IF(ISNUMBER(VLOOKUP('Table Seed Map'!$A$29,SeedMap[],9,0)),VLOOKUP('Table Seed Map'!$A$29,SeedMap[],9,0),0))</f>
        <v>id</v>
      </c>
      <c r="E2" s="15" t="str">
        <f>IFERROR(VLOOKUP(ResourceData[[#This Row],[Resource Name]],ResourceTable[[RName]:[No]],3,0),"resource")</f>
        <v>resource</v>
      </c>
      <c r="F2" s="13" t="s">
        <v>23</v>
      </c>
      <c r="G2" s="13" t="s">
        <v>24</v>
      </c>
      <c r="H2" s="13" t="s">
        <v>37</v>
      </c>
      <c r="I2" s="51" t="s">
        <v>30</v>
      </c>
      <c r="J2" s="53" t="str">
        <f>ResourceData[No]</f>
        <v>id</v>
      </c>
      <c r="L2" s="2"/>
      <c r="M2" s="9"/>
      <c r="N2" s="2"/>
      <c r="O2" s="2"/>
      <c r="P2" s="2"/>
      <c r="Q2" s="2"/>
      <c r="R2" s="2"/>
      <c r="S2" s="9" t="str">
        <f>'Table Seed Map'!$A$30&amp;"-"&amp;COUNT($V$1:DataExtra[[#This Row],[Scope ID]])</f>
        <v>Data Scopes-0</v>
      </c>
      <c r="T2" s="16" t="str">
        <f>IF(DataExtra[[#This Row],[DID]]=0,"id",IF(DataExtra[[#This Row],[Scope ID]]="","",COUNT($V$2:DataExtra[[#This Row],[Scope ID]])+IF(ISNUMBER(VLOOKUP('Table Seed Map'!$A$30,SeedMap[],9,0)),VLOOKUP('Table Seed Map'!$A$30,SeedMap[],9,0),0)))</f>
        <v>id</v>
      </c>
      <c r="U2" s="16" t="str">
        <f>IF(DataExtra[[#This Row],[DID]]=0,"resource_data",DataExtra[[#This Row],[DID]])</f>
        <v>resource_data</v>
      </c>
      <c r="V2" s="16" t="str">
        <f>IFERROR(VLOOKUP(DataExtra[[#This Row],[Scope Name]],ResourceScopes[[ScopesDisplayNames]:[No]],2,0),IF(DataExtra[[#This Row],[DID]]=0,"scope",""))</f>
        <v>scope</v>
      </c>
      <c r="W2" s="9" t="str">
        <f>'Table Seed Map'!$A$31&amp;"-"&amp;COUNT($Z$1:DataExtra[[#This Row],[Relation]])</f>
        <v>Data Relations-0</v>
      </c>
      <c r="X2" s="16" t="str">
        <f>IF(DataExtra[[#This Row],[DID]]=0,"id",IF(DataExtra[[#This Row],[Relation]]="","",COUNT($Z$2:DataExtra[[#This Row],[Relation]])+IF(ISNUMBER(VLOOKUP('Table Seed Map'!$A$31,SeedMap[],9,0)),VLOOKUP('Table Seed Map'!$A$31,SeedMap[],9,0),0)))</f>
        <v>id</v>
      </c>
      <c r="Y2" s="16" t="str">
        <f>IF(DataExtra[[#This Row],[DID]]=0,"resource_data",DataExtra[[#This Row],[DID]])</f>
        <v>resource_data</v>
      </c>
      <c r="Z2" s="16" t="str">
        <f>IFERROR(VLOOKUP(DataExtra[[#This Row],[Relation Name]],RelationTable[[Display]:[RELID]],2,0),IF(DataExtra[[#This Row],[DID]]=0,"relation",""))</f>
        <v>relation</v>
      </c>
      <c r="AA2" s="16" t="str">
        <f>IFERROR(VLOOKUP(DataExtra[[#This Row],[R1 Name]],RelationTable[[Display]:[RELID]],2,0),IF(DataExtra[[#This Row],[DID]]=0,"nest_relation1",""))</f>
        <v>nest_relation1</v>
      </c>
      <c r="AB2" s="16" t="str">
        <f>IFERROR(VLOOKUP(DataExtra[[#This Row],[R2 Name]],RelationTable[[Display]:[RELID]],2,0),IF(DataExtra[[#This Row],[DID]]=0,"nest_relation2",""))</f>
        <v>nest_relation2</v>
      </c>
      <c r="AC2" s="16" t="str">
        <f>IFERROR(VLOOKUP(DataExtra[[#This Row],[R3 Name]],RelationTable[[Display]:[RELID]],2,0),IF(DataExtra[[#This Row],[DID]]=0,"nest_relation3",""))</f>
        <v>nest_relation3</v>
      </c>
      <c r="AE2" s="16" t="str">
        <f>'Table Seed Map'!$A$32&amp;"-"&amp;COUNTA($AF$1:DataViewSection[[#This Row],[Data Name for Layout]])-1</f>
        <v>Data View Section-0</v>
      </c>
      <c r="AF2" s="2"/>
      <c r="AG2" s="9" t="str">
        <f>DataViewSection[[#This Row],[Data Name for Layout]]&amp;"/"&amp;COUNTIF($AI$1:DataViewSection[[#This Row],[Data ID]],DataViewSection[[#This Row],[Data ID]])</f>
        <v>/1</v>
      </c>
      <c r="AH2" s="16" t="str">
        <f>IF(DataViewSection[[#This Row],[Data Name for Layout]]="","id",-1+COUNTA($AF$1:DataViewSection[[#This Row],[Data Name for Layout]])+VLOOKUP('Table Seed Map'!$A$32,SeedMap[],9,0))</f>
        <v>id</v>
      </c>
      <c r="AI2" s="16" t="str">
        <f>IFERROR(VLOOKUP(DataViewSection[[#This Row],[Data Name for Layout]],ResourceData[[DataDisplayName]:[No]],2,0),"resource_data")</f>
        <v>resource_data</v>
      </c>
      <c r="AJ2" s="16" t="s">
        <v>25</v>
      </c>
      <c r="AK2" s="16" t="s">
        <v>37</v>
      </c>
      <c r="AL2" s="16" t="s">
        <v>38</v>
      </c>
      <c r="AM2" s="14" t="s">
        <v>212</v>
      </c>
      <c r="AN2" s="14"/>
      <c r="AP2" s="16" t="str">
        <f>'Table Seed Map'!$A$33&amp;"-"&amp;-1+COUNTA($AQ$1:DataViewSectionItem[[#This Row],[Data Section for Items]])</f>
        <v>Data View Section Items-0</v>
      </c>
      <c r="AQ2" s="2"/>
      <c r="AR2" s="16" t="str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id</v>
      </c>
      <c r="AS2" s="16" t="str">
        <f>IF(DataViewSectionItem[[#This Row],[Data Section for Items]]="","section",VLOOKUP(DataViewSectionItem[[#This Row],[Data Section for Items]],DataViewSection[[DataSectionDisplayName]:[No]],2,0))</f>
        <v>section</v>
      </c>
      <c r="AT2" s="16" t="s">
        <v>95</v>
      </c>
      <c r="AU2" s="14" t="s">
        <v>54</v>
      </c>
      <c r="AV2" s="16" t="str">
        <f>IF(DataViewSectionItem[[#This Row],[Data Section for Items]]="","relation",IFERROR(VLOOKUP(DataViewSectionItem[[#This Row],[Relation]],RelationTable[[Display]:[RELID]],2,0),""))</f>
        <v>relation</v>
      </c>
      <c r="AW2" s="14"/>
    </row>
    <row r="3" spans="1:49" x14ac:dyDescent="0.25">
      <c r="A3" s="6" t="str">
        <f>'Table Seed Map'!$A$29&amp;"-"&amp;COUNTA($E$1:ResourceData[[#This Row],[Resource]])-2</f>
        <v>Resource Data-1</v>
      </c>
      <c r="B3" s="1" t="s">
        <v>847</v>
      </c>
      <c r="C3" s="6" t="str">
        <f>ResourceData[[#This Row],[Resource Name]]&amp;"/"&amp;ResourceData[[#This Row],[Name]]</f>
        <v>PartnerTask/TaskProgress</v>
      </c>
      <c r="D3" s="15">
        <f>IF(COUNTA($E$1:ResourceData[[#This Row],[Resource]])=2,"id",-2+COUNTA($E$1:ResourceData[[#This Row],[Resource]])+IF(ISNUMBER(VLOOKUP('Table Seed Map'!$A$29,SeedMap[],9,0)),VLOOKUP('Table Seed Map'!$A$29,SeedMap[],9,0),0))</f>
        <v>802701</v>
      </c>
      <c r="E3" s="15">
        <f>IFERROR(VLOOKUP(ResourceData[[#This Row],[Resource Name]],ResourceTable[[RName]:[No]],3,0),"resource")</f>
        <v>800505</v>
      </c>
      <c r="F3" s="13" t="s">
        <v>877</v>
      </c>
      <c r="G3" s="13" t="s">
        <v>1021</v>
      </c>
      <c r="H3" s="13" t="s">
        <v>1027</v>
      </c>
      <c r="I3" s="51"/>
      <c r="J3" s="53">
        <f>ResourceData[No]</f>
        <v>802701</v>
      </c>
      <c r="L3" s="2" t="s">
        <v>1032</v>
      </c>
      <c r="M3" s="6">
        <f>VLOOKUP(DataExtra[[#This Row],[Data Name]],ResourceData[[DataDisplayName]:[No]],2,0)</f>
        <v>802701</v>
      </c>
      <c r="N3" s="1"/>
      <c r="O3" s="2" t="s">
        <v>996</v>
      </c>
      <c r="P3" s="1"/>
      <c r="Q3" s="1"/>
      <c r="R3" s="1"/>
      <c r="S3" s="6" t="str">
        <f>'Table Seed Map'!$A$30&amp;"-"&amp;COUNT($V$1:DataExtra[[#This Row],[Scope ID]])</f>
        <v>Data Scopes-0</v>
      </c>
      <c r="T3" s="15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3" s="15">
        <f>IF(DataExtra[[#This Row],[DID]]=0,"resource_data",DataExtra[[#This Row],[DID]])</f>
        <v>802701</v>
      </c>
      <c r="V3" s="15" t="str">
        <f>IFERROR(VLOOKUP(DataExtra[[#This Row],[Scope Name]],ResourceScopes[[ScopesDisplayNames]:[No]],2,0),IF(DataExtra[[#This Row],[DID]]=0,"scope",""))</f>
        <v/>
      </c>
      <c r="W3" s="6" t="str">
        <f>'Table Seed Map'!$A$31&amp;"-"&amp;COUNT($Z$1:DataExtra[[#This Row],[Relation]])</f>
        <v>Data Relations-1</v>
      </c>
      <c r="X3" s="15">
        <f>IF(DataExtra[[#This Row],[DID]]=0,"id",IF(DataExtra[[#This Row],[Relation]]="","",COUNT($Z$2:DataExtra[[#This Row],[Relation]])+IF(ISNUMBER(VLOOKUP('Table Seed Map'!$A$31,SeedMap[],9,0)),VLOOKUP('Table Seed Map'!$A$31,SeedMap[],9,0),0)))</f>
        <v>802901</v>
      </c>
      <c r="Y3" s="15">
        <f>IF(DataExtra[[#This Row],[DID]]=0,"resource_data",DataExtra[[#This Row],[DID]])</f>
        <v>802701</v>
      </c>
      <c r="Z3" s="15">
        <f>IFERROR(VLOOKUP(DataExtra[[#This Row],[Relation Name]],RelationTable[[Display]:[RELID]],2,0),IF(DataExtra[[#This Row],[DID]]=0,"relation",""))</f>
        <v>800809</v>
      </c>
      <c r="AA3" s="15" t="str">
        <f>IFERROR(VLOOKUP(DataExtra[[#This Row],[R1 Name]],RelationTable[[Display]:[RELID]],2,0),IF(DataExtra[[#This Row],[DID]]=0,"nest_relation1",""))</f>
        <v/>
      </c>
      <c r="AB3" s="15" t="str">
        <f>IFERROR(VLOOKUP(DataExtra[[#This Row],[R2 Name]],RelationTable[[Display]:[RELID]],2,0),IF(DataExtra[[#This Row],[DID]]=0,"nest_relation2",""))</f>
        <v/>
      </c>
      <c r="AC3" s="15" t="str">
        <f>IFERROR(VLOOKUP(DataExtra[[#This Row],[R3 Name]],RelationTable[[Display]:[RELID]],2,0),IF(DataExtra[[#This Row],[DID]]=0,"nest_relation3",""))</f>
        <v/>
      </c>
      <c r="AE3" s="60" t="str">
        <f>'Table Seed Map'!$A$32&amp;"-"&amp;COUNTA($AF$1:DataViewSection[[#This Row],[Data Name for Layout]])-1</f>
        <v>Data View Section-1</v>
      </c>
      <c r="AF3" s="61" t="s">
        <v>1032</v>
      </c>
      <c r="AG3" s="62" t="str">
        <f>DataViewSection[[#This Row],[Data Name for Layout]]&amp;"/"&amp;COUNTIF($AI$1:DataViewSection[[#This Row],[Data ID]],DataViewSection[[#This Row],[Data ID]])</f>
        <v>PartnerTask/TaskProgress/1</v>
      </c>
      <c r="AH3" s="60">
        <f>IF(DataViewSection[[#This Row],[Data Name for Layout]]="","id",-1+COUNTA($AF$1:DataViewSection[[#This Row],[Data Name for Layout]])+VLOOKUP('Table Seed Map'!$A$32,SeedMap[],9,0))</f>
        <v>803001</v>
      </c>
      <c r="AI3" s="60">
        <f>IFERROR(VLOOKUP(DataViewSection[[#This Row],[Data Name for Layout]],ResourceData[[DataDisplayName]:[No]],2,0),"resource_data")</f>
        <v>802701</v>
      </c>
      <c r="AJ3" s="60"/>
      <c r="AK3" s="60" t="s">
        <v>1088</v>
      </c>
      <c r="AL3" s="60" t="str">
        <f>IFERROR(VLOOKUP(DataViewSection[[#This Row],[Relation]],RelationTable[[Display]:[RELID]],2,0),"")</f>
        <v/>
      </c>
      <c r="AM3" s="65">
        <v>12</v>
      </c>
      <c r="AN3" s="65"/>
      <c r="AP3" s="60" t="str">
        <f>'Table Seed Map'!$A$33&amp;"-"&amp;-1+COUNTA($AQ$1:DataViewSectionItem[[#This Row],[Data Section for Items]])</f>
        <v>Data View Section Items-1</v>
      </c>
      <c r="AQ3" s="61" t="s">
        <v>1081</v>
      </c>
      <c r="AR3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803101</v>
      </c>
      <c r="AS3" s="60">
        <f>IF(DataViewSectionItem[[#This Row],[Data Section for Items]]="","section",VLOOKUP(DataViewSectionItem[[#This Row],[Data Section for Items]],DataViewSection[[DataSectionDisplayName]:[No]],2,0))</f>
        <v>803001</v>
      </c>
      <c r="AT3" s="60" t="s">
        <v>1</v>
      </c>
      <c r="AU3" s="65" t="s">
        <v>23</v>
      </c>
      <c r="AV3" s="60">
        <f>IF(DataViewSectionItem[[#This Row],[Data Section for Items]]="","relation",IFERROR(VLOOKUP(DataViewSectionItem[[#This Row],[Relation]],RelationTable[[Display]:[RELID]],2,0),""))</f>
        <v>800809</v>
      </c>
      <c r="AW3" s="65" t="s">
        <v>996</v>
      </c>
    </row>
    <row r="4" spans="1:49" x14ac:dyDescent="0.25">
      <c r="L4" s="61" t="s">
        <v>1032</v>
      </c>
      <c r="M4" s="62">
        <f>VLOOKUP(DataExtra[[#This Row],[Data Name]],ResourceData[[DataDisplayName]:[No]],2,0)</f>
        <v>802701</v>
      </c>
      <c r="N4" s="63"/>
      <c r="O4" s="2" t="s">
        <v>1072</v>
      </c>
      <c r="P4" s="63"/>
      <c r="Q4" s="63"/>
      <c r="R4" s="63"/>
      <c r="S4" s="62" t="str">
        <f>'Table Seed Map'!$A$30&amp;"-"&amp;COUNT($V$1:DataExtra[[#This Row],[Scope ID]])</f>
        <v>Data Scopes-0</v>
      </c>
      <c r="T4" s="60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4" s="60">
        <f>IF(DataExtra[[#This Row],[DID]]=0,"resource_data",DataExtra[[#This Row],[DID]])</f>
        <v>802701</v>
      </c>
      <c r="V4" s="60" t="str">
        <f>IFERROR(VLOOKUP(DataExtra[[#This Row],[Scope Name]],ResourceScopes[[ScopesDisplayNames]:[No]],2,0),IF(DataExtra[[#This Row],[DID]]=0,"scope",""))</f>
        <v/>
      </c>
      <c r="W4" s="62" t="str">
        <f>'Table Seed Map'!$A$31&amp;"-"&amp;COUNT($Z$1:DataExtra[[#This Row],[Relation]])</f>
        <v>Data Relations-2</v>
      </c>
      <c r="X4" s="60">
        <f>IF(DataExtra[[#This Row],[DID]]=0,"id",IF(DataExtra[[#This Row],[Relation]]="","",COUNT($Z$2:DataExtra[[#This Row],[Relation]])+IF(ISNUMBER(VLOOKUP('Table Seed Map'!$A$31,SeedMap[],9,0)),VLOOKUP('Table Seed Map'!$A$31,SeedMap[],9,0),0)))</f>
        <v>802902</v>
      </c>
      <c r="Y4" s="60">
        <f>IF(DataExtra[[#This Row],[DID]]=0,"resource_data",DataExtra[[#This Row],[DID]])</f>
        <v>802701</v>
      </c>
      <c r="Z4" s="60">
        <f>IFERROR(VLOOKUP(DataExtra[[#This Row],[Relation Name]],RelationTable[[Display]:[RELID]],2,0),IF(DataExtra[[#This Row],[DID]]=0,"relation",""))</f>
        <v>800810</v>
      </c>
      <c r="AA4" s="60" t="str">
        <f>IFERROR(VLOOKUP(DataExtra[[#This Row],[R1 Name]],RelationTable[[Display]:[RELID]],2,0),IF(DataExtra[[#This Row],[DID]]=0,"nest_relation1",""))</f>
        <v/>
      </c>
      <c r="AB4" s="60" t="str">
        <f>IFERROR(VLOOKUP(DataExtra[[#This Row],[R2 Name]],RelationTable[[Display]:[RELID]],2,0),IF(DataExtra[[#This Row],[DID]]=0,"nest_relation2",""))</f>
        <v/>
      </c>
      <c r="AC4" s="60" t="str">
        <f>IFERROR(VLOOKUP(DataExtra[[#This Row],[R3 Name]],RelationTable[[Display]:[RELID]],2,0),IF(DataExtra[[#This Row],[DID]]=0,"nest_relation3",""))</f>
        <v/>
      </c>
      <c r="AE4" s="60" t="str">
        <f>'Table Seed Map'!$A$32&amp;"-"&amp;COUNTA($AF$1:DataViewSection[[#This Row],[Data Name for Layout]])-1</f>
        <v>Data View Section-2</v>
      </c>
      <c r="AF4" s="61" t="s">
        <v>1032</v>
      </c>
      <c r="AG4" s="62" t="str">
        <f>DataViewSection[[#This Row],[Data Name for Layout]]&amp;"/"&amp;COUNTIF($AI$1:DataViewSection[[#This Row],[Data ID]],DataViewSection[[#This Row],[Data ID]])</f>
        <v>PartnerTask/TaskProgress/2</v>
      </c>
      <c r="AH4" s="60">
        <f>IF(DataViewSection[[#This Row],[Data Name for Layout]]="","id",-1+COUNTA($AF$1:DataViewSection[[#This Row],[Data Name for Layout]])+VLOOKUP('Table Seed Map'!$A$32,SeedMap[],9,0))</f>
        <v>803002</v>
      </c>
      <c r="AI4" s="60">
        <f>IFERROR(VLOOKUP(DataViewSection[[#This Row],[Data Name for Layout]],ResourceData[[DataDisplayName]:[No]],2,0),"resource_data")</f>
        <v>802701</v>
      </c>
      <c r="AJ4" s="60" t="s">
        <v>1122</v>
      </c>
      <c r="AK4" s="60"/>
      <c r="AL4" s="60" t="str">
        <f>IFERROR(VLOOKUP(DataViewSection[[#This Row],[Relation]],RelationTable[[Display]:[RELID]],2,0),"")</f>
        <v/>
      </c>
      <c r="AM4" s="65">
        <v>7</v>
      </c>
      <c r="AN4" s="65"/>
      <c r="AP4" s="60" t="str">
        <f>'Table Seed Map'!$A$33&amp;"-"&amp;-1+COUNTA($AQ$1:DataViewSectionItem[[#This Row],[Data Section for Items]])</f>
        <v>Data View Section Items-2</v>
      </c>
      <c r="AQ4" s="61" t="s">
        <v>1081</v>
      </c>
      <c r="AR4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803102</v>
      </c>
      <c r="AS4" s="60">
        <f>IF(DataViewSectionItem[[#This Row],[Data Section for Items]]="","section",VLOOKUP(DataViewSectionItem[[#This Row],[Data Section for Items]],DataViewSection[[DataSectionDisplayName]:[No]],2,0))</f>
        <v>803001</v>
      </c>
      <c r="AT4" s="60" t="s">
        <v>102</v>
      </c>
      <c r="AU4" s="65" t="s">
        <v>24</v>
      </c>
      <c r="AV4" s="60">
        <f>IF(DataViewSectionItem[[#This Row],[Data Section for Items]]="","relation",IFERROR(VLOOKUP(DataViewSectionItem[[#This Row],[Relation]],RelationTable[[Display]:[RELID]],2,0),""))</f>
        <v>800809</v>
      </c>
      <c r="AW4" s="65" t="s">
        <v>996</v>
      </c>
    </row>
    <row r="5" spans="1:49" x14ac:dyDescent="0.25">
      <c r="AE5" s="60" t="str">
        <f>'Table Seed Map'!$A$32&amp;"-"&amp;COUNTA($AF$1:DataViewSection[[#This Row],[Data Name for Layout]])-1</f>
        <v>Data View Section-3</v>
      </c>
      <c r="AF5" s="61" t="s">
        <v>1032</v>
      </c>
      <c r="AG5" s="62" t="str">
        <f>DataViewSection[[#This Row],[Data Name for Layout]]&amp;"/"&amp;COUNTIF($AI$1:DataViewSection[[#This Row],[Data ID]],DataViewSection[[#This Row],[Data ID]])</f>
        <v>PartnerTask/TaskProgress/3</v>
      </c>
      <c r="AH5" s="60">
        <f>IF(DataViewSection[[#This Row],[Data Name for Layout]]="","id",-1+COUNTA($AF$1:DataViewSection[[#This Row],[Data Name for Layout]])+VLOOKUP('Table Seed Map'!$A$32,SeedMap[],9,0))</f>
        <v>803003</v>
      </c>
      <c r="AI5" s="60">
        <f>IFERROR(VLOOKUP(DataViewSection[[#This Row],[Data Name for Layout]],ResourceData[[DataDisplayName]:[No]],2,0),"resource_data")</f>
        <v>802701</v>
      </c>
      <c r="AJ5" s="60" t="s">
        <v>1084</v>
      </c>
      <c r="AK5" s="60"/>
      <c r="AL5" s="60" t="str">
        <f>IFERROR(VLOOKUP(DataViewSection[[#This Row],[Relation]],RelationTable[[Display]:[RELID]],2,0),"")</f>
        <v/>
      </c>
      <c r="AM5" s="65">
        <v>5</v>
      </c>
      <c r="AN5" s="65"/>
      <c r="AP5" s="60" t="str">
        <f>'Table Seed Map'!$A$33&amp;"-"&amp;-1+COUNTA($AQ$1:DataViewSectionItem[[#This Row],[Data Section for Items]])</f>
        <v>Data View Section Items-3</v>
      </c>
      <c r="AQ5" s="61" t="s">
        <v>1082</v>
      </c>
      <c r="AR5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803103</v>
      </c>
      <c r="AS5" s="60">
        <f>IF(DataViewSectionItem[[#This Row],[Data Section for Items]]="","section",VLOOKUP(DataViewSectionItem[[#This Row],[Data Section for Items]],DataViewSection[[DataSectionDisplayName]:[No]],2,0))</f>
        <v>803002</v>
      </c>
      <c r="AT5" s="60" t="s">
        <v>902</v>
      </c>
      <c r="AU5" s="65" t="s">
        <v>823</v>
      </c>
      <c r="AV5" s="60" t="str">
        <f>IF(DataViewSectionItem[[#This Row],[Data Section for Items]]="","relation",IFERROR(VLOOKUP(DataViewSectionItem[[#This Row],[Relation]],RelationTable[[Display]:[RELID]],2,0),""))</f>
        <v/>
      </c>
      <c r="AW5" s="65"/>
    </row>
    <row r="6" spans="1:49" x14ac:dyDescent="0.25">
      <c r="AP6" s="60" t="str">
        <f>'Table Seed Map'!$A$33&amp;"-"&amp;-1+COUNTA($AQ$1:DataViewSectionItem[[#This Row],[Data Section for Items]])</f>
        <v>Data View Section Items-4</v>
      </c>
      <c r="AQ6" s="61" t="s">
        <v>1082</v>
      </c>
      <c r="AR6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803104</v>
      </c>
      <c r="AS6" s="60">
        <f>IF(DataViewSectionItem[[#This Row],[Data Section for Items]]="","section",VLOOKUP(DataViewSectionItem[[#This Row],[Data Section for Items]],DataViewSection[[DataSectionDisplayName]:[No]],2,0))</f>
        <v>803002</v>
      </c>
      <c r="AT6" s="60" t="s">
        <v>1075</v>
      </c>
      <c r="AU6" s="65" t="s">
        <v>1076</v>
      </c>
      <c r="AV6" s="60" t="str">
        <f>IF(DataViewSectionItem[[#This Row],[Data Section for Items]]="","relation",IFERROR(VLOOKUP(DataViewSectionItem[[#This Row],[Relation]],RelationTable[[Display]:[RELID]],2,0),""))</f>
        <v/>
      </c>
      <c r="AW6" s="65"/>
    </row>
    <row r="7" spans="1:49" x14ac:dyDescent="0.25">
      <c r="AP7" s="60" t="str">
        <f>'Table Seed Map'!$A$33&amp;"-"&amp;-1+COUNTA($AQ$1:DataViewSectionItem[[#This Row],[Data Section for Items]])</f>
        <v>Data View Section Items-5</v>
      </c>
      <c r="AQ7" s="61" t="s">
        <v>1082</v>
      </c>
      <c r="AR7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803105</v>
      </c>
      <c r="AS7" s="60">
        <f>IF(DataViewSectionItem[[#This Row],[Data Section for Items]]="","section",VLOOKUP(DataViewSectionItem[[#This Row],[Data Section for Items]],DataViewSection[[DataSectionDisplayName]:[No]],2,0))</f>
        <v>803002</v>
      </c>
      <c r="AT7" s="60" t="s">
        <v>1124</v>
      </c>
      <c r="AU7" s="65" t="s">
        <v>1123</v>
      </c>
      <c r="AV7" s="60" t="str">
        <f>IF(DataViewSectionItem[[#This Row],[Data Section for Items]]="","relation",IFERROR(VLOOKUP(DataViewSectionItem[[#This Row],[Relation]],RelationTable[[Display]:[RELID]],2,0),""))</f>
        <v/>
      </c>
      <c r="AW7" s="65"/>
    </row>
    <row r="8" spans="1:49" x14ac:dyDescent="0.25">
      <c r="AP8" s="60" t="str">
        <f>'Table Seed Map'!$A$33&amp;"-"&amp;-1+COUNTA($AQ$1:DataViewSectionItem[[#This Row],[Data Section for Items]])</f>
        <v>Data View Section Items-6</v>
      </c>
      <c r="AQ8" s="61" t="s">
        <v>1083</v>
      </c>
      <c r="AR8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803106</v>
      </c>
      <c r="AS8" s="60">
        <f>IF(DataViewSectionItem[[#This Row],[Data Section for Items]]="","section",VLOOKUP(DataViewSectionItem[[#This Row],[Data Section for Items]],DataViewSection[[DataSectionDisplayName]:[No]],2,0))</f>
        <v>803003</v>
      </c>
      <c r="AT8" s="60" t="s">
        <v>1085</v>
      </c>
      <c r="AU8" s="65" t="s">
        <v>837</v>
      </c>
      <c r="AV8" s="60" t="str">
        <f>IF(DataViewSectionItem[[#This Row],[Data Section for Items]]="","relation",IFERROR(VLOOKUP(DataViewSectionItem[[#This Row],[Relation]],RelationTable[[Display]:[RELID]],2,0),""))</f>
        <v/>
      </c>
      <c r="AW8" s="65"/>
    </row>
    <row r="9" spans="1:49" x14ac:dyDescent="0.25">
      <c r="AP9" s="60" t="str">
        <f>'Table Seed Map'!$A$33&amp;"-"&amp;-1+COUNTA($AQ$1:DataViewSectionItem[[#This Row],[Data Section for Items]])</f>
        <v>Data View Section Items-7</v>
      </c>
      <c r="AQ9" s="61" t="s">
        <v>1083</v>
      </c>
      <c r="AR9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803107</v>
      </c>
      <c r="AS9" s="60">
        <f>IF(DataViewSectionItem[[#This Row],[Data Section for Items]]="","section",VLOOKUP(DataViewSectionItem[[#This Row],[Data Section for Items]],DataViewSection[[DataSectionDisplayName]:[No]],2,0))</f>
        <v>803003</v>
      </c>
      <c r="AT9" s="60" t="s">
        <v>1086</v>
      </c>
      <c r="AU9" s="65" t="s">
        <v>839</v>
      </c>
      <c r="AV9" s="60" t="str">
        <f>IF(DataViewSectionItem[[#This Row],[Data Section for Items]]="","relation",IFERROR(VLOOKUP(DataViewSectionItem[[#This Row],[Relation]],RelationTable[[Display]:[RELID]],2,0),""))</f>
        <v/>
      </c>
      <c r="AW9" s="65"/>
    </row>
    <row r="10" spans="1:49" x14ac:dyDescent="0.25">
      <c r="AP10" s="60" t="str">
        <f>'Table Seed Map'!$A$33&amp;"-"&amp;-1+COUNTA($AQ$1:DataViewSectionItem[[#This Row],[Data Section for Items]])</f>
        <v>Data View Section Items-8</v>
      </c>
      <c r="AQ10" s="61" t="s">
        <v>1083</v>
      </c>
      <c r="AR10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803108</v>
      </c>
      <c r="AS10" s="60">
        <f>IF(DataViewSectionItem[[#This Row],[Data Section for Items]]="","section",VLOOKUP(DataViewSectionItem[[#This Row],[Data Section for Items]],DataViewSection[[DataSectionDisplayName]:[No]],2,0))</f>
        <v>803003</v>
      </c>
      <c r="AT10" s="60" t="s">
        <v>1087</v>
      </c>
      <c r="AU10" s="65" t="s">
        <v>840</v>
      </c>
      <c r="AV10" s="60" t="str">
        <f>IF(DataViewSectionItem[[#This Row],[Data Section for Items]]="","relation",IFERROR(VLOOKUP(DataViewSectionItem[[#This Row],[Relation]],RelationTable[[Display]:[RELID]],2,0),""))</f>
        <v/>
      </c>
      <c r="AW10" s="65"/>
    </row>
  </sheetData>
  <dataValidations count="5">
    <dataValidation type="list" allowBlank="1" showInputMessage="1" showErrorMessage="1" sqref="O2:R4 AW2:AW10 AN2:AN5">
      <formula1>Relations</formula1>
    </dataValidation>
    <dataValidation type="list" allowBlank="1" showInputMessage="1" showErrorMessage="1" sqref="B2:B3">
      <formula1>Resources</formula1>
    </dataValidation>
    <dataValidation type="list" allowBlank="1" showInputMessage="1" showErrorMessage="1" sqref="N2:N4">
      <formula1>Scopes</formula1>
    </dataValidation>
    <dataValidation type="list" allowBlank="1" showInputMessage="1" showErrorMessage="1" sqref="L2:L4 AF2:AF5">
      <formula1>DataNames</formula1>
    </dataValidation>
    <dataValidation type="list" allowBlank="1" showInputMessage="1" showErrorMessage="1" sqref="AQ2:AQ10">
      <formula1>DataSections</formula1>
    </dataValidation>
  </dataValidation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01"/>
  <sheetViews>
    <sheetView workbookViewId="0">
      <selection activeCell="K6" sqref="K6"/>
    </sheetView>
  </sheetViews>
  <sheetFormatPr defaultRowHeight="15" x14ac:dyDescent="0.25"/>
  <cols>
    <col min="1" max="3" width="22.42578125" customWidth="1"/>
    <col min="4" max="4" width="12.5703125" bestFit="1" customWidth="1"/>
    <col min="5" max="5" width="8.5703125" bestFit="1" customWidth="1"/>
    <col min="6" max="6" width="14" style="20" bestFit="1" customWidth="1"/>
    <col min="7" max="8" width="14" style="20" customWidth="1"/>
    <col min="10" max="10" width="5.140625" bestFit="1" customWidth="1"/>
    <col min="11" max="11" width="6.7109375" bestFit="1" customWidth="1"/>
    <col min="12" max="12" width="10.7109375" bestFit="1" customWidth="1"/>
    <col min="13" max="13" width="16.28515625" bestFit="1" customWidth="1"/>
    <col min="14" max="14" width="28.85546875" bestFit="1" customWidth="1"/>
    <col min="15" max="15" width="35.42578125" bestFit="1" customWidth="1"/>
  </cols>
  <sheetData>
    <row r="1" spans="1:16" x14ac:dyDescent="0.25">
      <c r="A1" s="1" t="s">
        <v>14</v>
      </c>
      <c r="B1" s="1" t="s">
        <v>160</v>
      </c>
      <c r="C1" s="1" t="s">
        <v>457</v>
      </c>
      <c r="D1" s="1" t="s">
        <v>458</v>
      </c>
      <c r="E1" s="1" t="s">
        <v>456</v>
      </c>
      <c r="F1" s="1" t="s">
        <v>460</v>
      </c>
      <c r="G1" s="1" t="s">
        <v>461</v>
      </c>
      <c r="H1" s="1" t="s">
        <v>462</v>
      </c>
      <c r="J1" s="1" t="s">
        <v>99</v>
      </c>
      <c r="K1" s="1" t="s">
        <v>14</v>
      </c>
      <c r="L1" s="1" t="s">
        <v>459</v>
      </c>
      <c r="M1" s="1" t="s">
        <v>344</v>
      </c>
      <c r="N1" s="1" t="s">
        <v>1</v>
      </c>
      <c r="O1" s="1" t="s">
        <v>337</v>
      </c>
      <c r="P1" s="1" t="s">
        <v>307</v>
      </c>
    </row>
    <row r="2" spans="1:16" x14ac:dyDescent="0.25">
      <c r="A2" s="37" t="s">
        <v>134</v>
      </c>
      <c r="B2" s="37" t="s">
        <v>350</v>
      </c>
      <c r="C2" s="37" t="s">
        <v>344</v>
      </c>
      <c r="D2" s="54">
        <v>1</v>
      </c>
      <c r="E2" s="54">
        <f ca="1">COUNTA(INDIRECT(RecordCount[[#This Row],[Table Name]]&amp;"["&amp;RecordCount[[#This Row],[Count Field]]&amp;"]"))-RecordCount[[#This Row],[Count Reduce]]</f>
        <v>7</v>
      </c>
      <c r="F2" s="37" t="s">
        <v>159</v>
      </c>
      <c r="G2" s="54">
        <v>2</v>
      </c>
      <c r="H2" s="54">
        <v>11</v>
      </c>
      <c r="J2" s="11">
        <f t="shared" ref="J2:J65" si="0">IFERROR($J1+1,1)</f>
        <v>1</v>
      </c>
      <c r="K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Forms</v>
      </c>
      <c r="L2" s="6">
        <f ca="1">IF(IDNMaps[[#This Row],[Type]]="","",COUNTIF($K$1:IDNMaps[[#This Row],[Type]],IDNMaps[[#This Row],[Type]]))</f>
        <v>1</v>
      </c>
      <c r="M2" s="6" t="str">
        <f ca="1">IFERROR(VLOOKUP(IDNMaps[[#This Row],[Type]],RecordCount[],6,0)&amp;"-"&amp;IDNMaps[[#This Row],[Type Count]],"")</f>
        <v>Resource Forms-1</v>
      </c>
      <c r="N2" s="6" t="str">
        <f ca="1">IFERROR(VLOOKUP(IDNMaps[[#This Row],[Primary]],INDIRECT(VLOOKUP(IDNMaps[[#This Row],[Type]],RecordCount[],2,0)),VLOOKUP(IDNMaps[[#This Row],[Type]],RecordCount[],7,0),0),"")</f>
        <v>Group/CreateGroup</v>
      </c>
      <c r="O2" s="6" t="str">
        <f ca="1">IF(IDNMaps[[#This Row],[Name]]="","","("&amp;IDNMaps[[#This Row],[Type]]&amp;") "&amp;IDNMaps[[#This Row],[Name]])</f>
        <v>(Forms) Group/CreateGroup</v>
      </c>
      <c r="P2" s="6">
        <f ca="1">IFERROR(VLOOKUP(IDNMaps[[#This Row],[Primary]],INDIRECT(VLOOKUP(IDNMaps[[#This Row],[Type]],RecordCount[],2,0)),VLOOKUP(IDNMaps[[#This Row],[Type]],RecordCount[],8,0),0),"")</f>
        <v>800901</v>
      </c>
    </row>
    <row r="3" spans="1:16" x14ac:dyDescent="0.25">
      <c r="A3" s="37" t="s">
        <v>129</v>
      </c>
      <c r="B3" s="37" t="s">
        <v>185</v>
      </c>
      <c r="C3" s="37" t="s">
        <v>344</v>
      </c>
      <c r="D3" s="54">
        <v>1</v>
      </c>
      <c r="E3" s="54">
        <f ca="1">COUNTA(INDIRECT(RecordCount[[#This Row],[Table Name]]&amp;"["&amp;RecordCount[[#This Row],[Count Field]]&amp;"]"))-RecordCount[[#This Row],[Count Reduce]]</f>
        <v>10</v>
      </c>
      <c r="F3" s="37" t="s">
        <v>164</v>
      </c>
      <c r="G3" s="54">
        <v>3</v>
      </c>
      <c r="H3" s="54">
        <v>11</v>
      </c>
      <c r="J3" s="11">
        <f t="shared" si="0"/>
        <v>2</v>
      </c>
      <c r="K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Forms</v>
      </c>
      <c r="L3" s="6">
        <f ca="1">IF(IDNMaps[[#This Row],[Type]]="","",COUNTIF($K$1:IDNMaps[[#This Row],[Type]],IDNMaps[[#This Row],[Type]]))</f>
        <v>2</v>
      </c>
      <c r="M3" s="6" t="str">
        <f ca="1">IFERROR(VLOOKUP(IDNMaps[[#This Row],[Type]],RecordCount[],6,0)&amp;"-"&amp;IDNMaps[[#This Row],[Type Count]],"")</f>
        <v>Resource Forms-2</v>
      </c>
      <c r="N3" s="6" t="str">
        <f ca="1">IFERROR(VLOOKUP(IDNMaps[[#This Row],[Primary]],INDIRECT(VLOOKUP(IDNMaps[[#This Row],[Type]],RecordCount[],2,0)),VLOOKUP(IDNMaps[[#This Row],[Type]],RecordCount[],7,0),0),"")</f>
        <v>Partner/CreatePartner</v>
      </c>
      <c r="O3" s="6" t="str">
        <f ca="1">IF(IDNMaps[[#This Row],[Name]]="","","("&amp;IDNMaps[[#This Row],[Type]]&amp;") "&amp;IDNMaps[[#This Row],[Name]])</f>
        <v>(Forms) Partner/CreatePartner</v>
      </c>
      <c r="P3" s="6">
        <f ca="1">IFERROR(VLOOKUP(IDNMaps[[#This Row],[Primary]],INDIRECT(VLOOKUP(IDNMaps[[#This Row],[Type]],RecordCount[],2,0)),VLOOKUP(IDNMaps[[#This Row],[Type]],RecordCount[],8,0),0),"")</f>
        <v>800902</v>
      </c>
    </row>
    <row r="4" spans="1:16" x14ac:dyDescent="0.25">
      <c r="A4" s="38" t="s">
        <v>130</v>
      </c>
      <c r="B4" s="37" t="s">
        <v>194</v>
      </c>
      <c r="C4" s="37" t="s">
        <v>344</v>
      </c>
      <c r="D4" s="54">
        <v>1</v>
      </c>
      <c r="E4" s="55">
        <f ca="1">COUNTA(INDIRECT(RecordCount[[#This Row],[Table Name]]&amp;"["&amp;RecordCount[[#This Row],[Count Field]]&amp;"]"))-RecordCount[[#This Row],[Count Reduce]]</f>
        <v>1</v>
      </c>
      <c r="F4" s="37" t="s">
        <v>199</v>
      </c>
      <c r="G4" s="54">
        <v>3</v>
      </c>
      <c r="H4" s="54">
        <v>10</v>
      </c>
      <c r="J4" s="11">
        <f t="shared" si="0"/>
        <v>3</v>
      </c>
      <c r="K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Forms</v>
      </c>
      <c r="L4" s="6">
        <f ca="1">IF(IDNMaps[[#This Row],[Type]]="","",COUNTIF($K$1:IDNMaps[[#This Row],[Type]],IDNMaps[[#This Row],[Type]]))</f>
        <v>3</v>
      </c>
      <c r="M4" s="6" t="str">
        <f ca="1">IFERROR(VLOOKUP(IDNMaps[[#This Row],[Type]],RecordCount[],6,0)&amp;"-"&amp;IDNMaps[[#This Row],[Type Count]],"")</f>
        <v>Resource Forms-3</v>
      </c>
      <c r="N4" s="6" t="str">
        <f ca="1">IFERROR(VLOOKUP(IDNMaps[[#This Row],[Primary]],INDIRECT(VLOOKUP(IDNMaps[[#This Row],[Type]],RecordCount[],2,0)),VLOOKUP(IDNMaps[[#This Row],[Type]],RecordCount[],7,0),0),"")</f>
        <v>Task/CreateTask</v>
      </c>
      <c r="O4" s="6" t="str">
        <f ca="1">IF(IDNMaps[[#This Row],[Name]]="","","("&amp;IDNMaps[[#This Row],[Type]]&amp;") "&amp;IDNMaps[[#This Row],[Name]])</f>
        <v>(Forms) Task/CreateTask</v>
      </c>
      <c r="P4" s="6">
        <f ca="1">IFERROR(VLOOKUP(IDNMaps[[#This Row],[Primary]],INDIRECT(VLOOKUP(IDNMaps[[#This Row],[Type]],RecordCount[],2,0)),VLOOKUP(IDNMaps[[#This Row],[Type]],RecordCount[],8,0),0),"")</f>
        <v>800903</v>
      </c>
    </row>
    <row r="5" spans="1:16" x14ac:dyDescent="0.25">
      <c r="A5" s="38" t="s">
        <v>105</v>
      </c>
      <c r="B5" s="38" t="s">
        <v>347</v>
      </c>
      <c r="C5" s="37" t="s">
        <v>344</v>
      </c>
      <c r="D5" s="54">
        <v>1</v>
      </c>
      <c r="E5" s="55">
        <f ca="1">COUNTA(INDIRECT(RecordCount[[#This Row],[Table Name]]&amp;"["&amp;RecordCount[[#This Row],[Count Field]]&amp;"]"))-RecordCount[[#This Row],[Count Reduce]]</f>
        <v>10</v>
      </c>
      <c r="F5" s="37" t="s">
        <v>165</v>
      </c>
      <c r="G5" s="54">
        <v>3</v>
      </c>
      <c r="H5" s="54">
        <v>14</v>
      </c>
      <c r="J5" s="11">
        <f t="shared" si="0"/>
        <v>4</v>
      </c>
      <c r="K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Forms</v>
      </c>
      <c r="L5" s="6">
        <f ca="1">IF(IDNMaps[[#This Row],[Type]]="","",COUNTIF($K$1:IDNMaps[[#This Row],[Type]],IDNMaps[[#This Row],[Type]]))</f>
        <v>4</v>
      </c>
      <c r="M5" s="6" t="str">
        <f ca="1">IFERROR(VLOOKUP(IDNMaps[[#This Row],[Type]],RecordCount[],6,0)&amp;"-"&amp;IDNMaps[[#This Row],[Type Count]],"")</f>
        <v>Resource Forms-4</v>
      </c>
      <c r="N5" s="6" t="str">
        <f ca="1">IFERROR(VLOOKUP(IDNMaps[[#This Row],[Primary]],INDIRECT(VLOOKUP(IDNMaps[[#This Row],[Type]],RecordCount[],2,0)),VLOOKUP(IDNMaps[[#This Row],[Type]],RecordCount[],7,0),0),"")</f>
        <v>PartnerTask/TaskCompleteDescription</v>
      </c>
      <c r="O5" s="6" t="str">
        <f ca="1">IF(IDNMaps[[#This Row],[Name]]="","","("&amp;IDNMaps[[#This Row],[Type]]&amp;") "&amp;IDNMaps[[#This Row],[Name]])</f>
        <v>(Forms) PartnerTask/TaskCompleteDescription</v>
      </c>
      <c r="P5" s="6">
        <f ca="1">IFERROR(VLOOKUP(IDNMaps[[#This Row],[Primary]],INDIRECT(VLOOKUP(IDNMaps[[#This Row],[Type]],RecordCount[],2,0)),VLOOKUP(IDNMaps[[#This Row],[Type]],RecordCount[],8,0),0),"")</f>
        <v>800904</v>
      </c>
    </row>
    <row r="6" spans="1:16" x14ac:dyDescent="0.25">
      <c r="A6" s="38" t="s">
        <v>800</v>
      </c>
      <c r="B6" s="38" t="s">
        <v>353</v>
      </c>
      <c r="C6" s="38" t="s">
        <v>344</v>
      </c>
      <c r="D6" s="55">
        <v>1</v>
      </c>
      <c r="E6" s="55">
        <f ca="1">COUNTA(INDIRECT(RecordCount[[#This Row],[Table Name]]&amp;"["&amp;RecordCount[[#This Row],[Count Field]]&amp;"]"))-RecordCount[[#This Row],[Count Reduce]]</f>
        <v>31</v>
      </c>
      <c r="F6" s="38" t="s">
        <v>137</v>
      </c>
      <c r="G6" s="55">
        <v>4</v>
      </c>
      <c r="H6" s="55">
        <v>5</v>
      </c>
      <c r="J6" s="11">
        <f t="shared" si="0"/>
        <v>5</v>
      </c>
      <c r="K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Forms</v>
      </c>
      <c r="L6" s="6">
        <f ca="1">IF(IDNMaps[[#This Row],[Type]]="","",COUNTIF($K$1:IDNMaps[[#This Row],[Type]],IDNMaps[[#This Row],[Type]]))</f>
        <v>5</v>
      </c>
      <c r="M6" s="6" t="str">
        <f ca="1">IFERROR(VLOOKUP(IDNMaps[[#This Row],[Type]],RecordCount[],6,0)&amp;"-"&amp;IDNMaps[[#This Row],[Type Count]],"")</f>
        <v>Resource Forms-5</v>
      </c>
      <c r="N6" s="6" t="str">
        <f ca="1">IFERROR(VLOOKUP(IDNMaps[[#This Row],[Primary]],INDIRECT(VLOOKUP(IDNMaps[[#This Row],[Type]],RecordCount[],2,0)),VLOOKUP(IDNMaps[[#This Row],[Type]],RecordCount[],7,0),0),"")</f>
        <v>PartnerTask/TaskCompleteAttachment</v>
      </c>
      <c r="O6" s="6" t="str">
        <f ca="1">IF(IDNMaps[[#This Row],[Name]]="","","("&amp;IDNMaps[[#This Row],[Type]]&amp;") "&amp;IDNMaps[[#This Row],[Name]])</f>
        <v>(Forms) PartnerTask/TaskCompleteAttachment</v>
      </c>
      <c r="P6" s="6">
        <f ca="1">IFERROR(VLOOKUP(IDNMaps[[#This Row],[Primary]],INDIRECT(VLOOKUP(IDNMaps[[#This Row],[Type]],RecordCount[],2,0)),VLOOKUP(IDNMaps[[#This Row],[Type]],RecordCount[],8,0),0),"")</f>
        <v>800905</v>
      </c>
    </row>
    <row r="7" spans="1:16" x14ac:dyDescent="0.25">
      <c r="J7" s="11">
        <f t="shared" si="0"/>
        <v>6</v>
      </c>
      <c r="K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Forms</v>
      </c>
      <c r="L7" s="6">
        <f ca="1">IF(IDNMaps[[#This Row],[Type]]="","",COUNTIF($K$1:IDNMaps[[#This Row],[Type]],IDNMaps[[#This Row],[Type]]))</f>
        <v>6</v>
      </c>
      <c r="M7" s="6" t="str">
        <f ca="1">IFERROR(VLOOKUP(IDNMaps[[#This Row],[Type]],RecordCount[],6,0)&amp;"-"&amp;IDNMaps[[#This Row],[Type Count]],"")</f>
        <v>Resource Forms-6</v>
      </c>
      <c r="N7" s="6" t="str">
        <f ca="1">IFERROR(VLOOKUP(IDNMaps[[#This Row],[Primary]],INDIRECT(VLOOKUP(IDNMaps[[#This Row],[Type]],RecordCount[],2,0)),VLOOKUP(IDNMaps[[#This Row],[Type]],RecordCount[],7,0),0),"")</f>
        <v>PartnerTask/TaskDismissForm</v>
      </c>
      <c r="O7" s="6" t="str">
        <f ca="1">IF(IDNMaps[[#This Row],[Name]]="","","("&amp;IDNMaps[[#This Row],[Type]]&amp;") "&amp;IDNMaps[[#This Row],[Name]])</f>
        <v>(Forms) PartnerTask/TaskDismissForm</v>
      </c>
      <c r="P7" s="6">
        <f ca="1">IFERROR(VLOOKUP(IDNMaps[[#This Row],[Primary]],INDIRECT(VLOOKUP(IDNMaps[[#This Row],[Type]],RecordCount[],2,0)),VLOOKUP(IDNMaps[[#This Row],[Type]],RecordCount[],8,0),0),"")</f>
        <v>800906</v>
      </c>
    </row>
    <row r="8" spans="1:16" x14ac:dyDescent="0.25">
      <c r="J8" s="11">
        <f t="shared" si="0"/>
        <v>7</v>
      </c>
      <c r="K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Forms</v>
      </c>
      <c r="L8" s="6">
        <f ca="1">IF(IDNMaps[[#This Row],[Type]]="","",COUNTIF($K$1:IDNMaps[[#This Row],[Type]],IDNMaps[[#This Row],[Type]]))</f>
        <v>7</v>
      </c>
      <c r="M8" s="6" t="str">
        <f ca="1">IFERROR(VLOOKUP(IDNMaps[[#This Row],[Type]],RecordCount[],6,0)&amp;"-"&amp;IDNMaps[[#This Row],[Type Count]],"")</f>
        <v>Resource Forms-7</v>
      </c>
      <c r="N8" s="6" t="str">
        <f ca="1">IFERROR(VLOOKUP(IDNMaps[[#This Row],[Primary]],INDIRECT(VLOOKUP(IDNMaps[[#This Row],[Type]],RecordCount[],2,0)),VLOOKUP(IDNMaps[[#This Row],[Type]],RecordCount[],7,0),0),"")</f>
        <v>PartnerTask/TaskUpdateForm</v>
      </c>
      <c r="O8" s="6" t="str">
        <f ca="1">IF(IDNMaps[[#This Row],[Name]]="","","("&amp;IDNMaps[[#This Row],[Type]]&amp;") "&amp;IDNMaps[[#This Row],[Name]])</f>
        <v>(Forms) PartnerTask/TaskUpdateForm</v>
      </c>
      <c r="P8" s="6">
        <f ca="1">IFERROR(VLOOKUP(IDNMaps[[#This Row],[Primary]],INDIRECT(VLOOKUP(IDNMaps[[#This Row],[Type]],RecordCount[],2,0)),VLOOKUP(IDNMaps[[#This Row],[Type]],RecordCount[],8,0),0),"")</f>
        <v>800907</v>
      </c>
    </row>
    <row r="9" spans="1:16" x14ac:dyDescent="0.25">
      <c r="J9" s="11">
        <f t="shared" si="0"/>
        <v>8</v>
      </c>
      <c r="K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9" s="6">
        <f ca="1">IF(IDNMaps[[#This Row],[Type]]="","",COUNTIF($K$1:IDNMaps[[#This Row],[Type]],IDNMaps[[#This Row],[Type]]))</f>
        <v>1</v>
      </c>
      <c r="M9" s="6" t="str">
        <f ca="1">IFERROR(VLOOKUP(IDNMaps[[#This Row],[Type]],RecordCount[],6,0)&amp;"-"&amp;IDNMaps[[#This Row],[Type Count]],"")</f>
        <v>Resource Lists-1</v>
      </c>
      <c r="N9" s="6" t="str">
        <f ca="1">IFERROR(VLOOKUP(IDNMaps[[#This Row],[Primary]],INDIRECT(VLOOKUP(IDNMaps[[#This Row],[Type]],RecordCount[],2,0)),VLOOKUP(IDNMaps[[#This Row],[Type]],RecordCount[],7,0),0),"")</f>
        <v>Group/GroupList</v>
      </c>
      <c r="O9" s="6" t="str">
        <f ca="1">IF(IDNMaps[[#This Row],[Name]]="","","("&amp;IDNMaps[[#This Row],[Type]]&amp;") "&amp;IDNMaps[[#This Row],[Name]])</f>
        <v>(Lists) Group/GroupList</v>
      </c>
      <c r="P9" s="6">
        <f ca="1">IFERROR(VLOOKUP(IDNMaps[[#This Row],[Primary]],INDIRECT(VLOOKUP(IDNMaps[[#This Row],[Type]],RecordCount[],2,0)),VLOOKUP(IDNMaps[[#This Row],[Type]],RecordCount[],8,0),0),"")</f>
        <v>802201</v>
      </c>
    </row>
    <row r="10" spans="1:16" x14ac:dyDescent="0.25">
      <c r="J10" s="11">
        <f t="shared" si="0"/>
        <v>9</v>
      </c>
      <c r="K1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10" s="6">
        <f ca="1">IF(IDNMaps[[#This Row],[Type]]="","",COUNTIF($K$1:IDNMaps[[#This Row],[Type]],IDNMaps[[#This Row],[Type]]))</f>
        <v>2</v>
      </c>
      <c r="M10" s="6" t="str">
        <f ca="1">IFERROR(VLOOKUP(IDNMaps[[#This Row],[Type]],RecordCount[],6,0)&amp;"-"&amp;IDNMaps[[#This Row],[Type Count]],"")</f>
        <v>Resource Lists-2</v>
      </c>
      <c r="N10" s="6" t="str">
        <f ca="1">IFERROR(VLOOKUP(IDNMaps[[#This Row],[Primary]],INDIRECT(VLOOKUP(IDNMaps[[#This Row],[Type]],RecordCount[],2,0)),VLOOKUP(IDNMaps[[#This Row],[Type]],RecordCount[],7,0),0),"")</f>
        <v>Partner/PartnerList</v>
      </c>
      <c r="O10" s="6" t="str">
        <f ca="1">IF(IDNMaps[[#This Row],[Name]]="","","("&amp;IDNMaps[[#This Row],[Type]]&amp;") "&amp;IDNMaps[[#This Row],[Name]])</f>
        <v>(Lists) Partner/PartnerList</v>
      </c>
      <c r="P10" s="6">
        <f ca="1">IFERROR(VLOOKUP(IDNMaps[[#This Row],[Primary]],INDIRECT(VLOOKUP(IDNMaps[[#This Row],[Type]],RecordCount[],2,0)),VLOOKUP(IDNMaps[[#This Row],[Type]],RecordCount[],8,0),0),"")</f>
        <v>802202</v>
      </c>
    </row>
    <row r="11" spans="1:16" x14ac:dyDescent="0.25">
      <c r="J11" s="11">
        <f t="shared" si="0"/>
        <v>10</v>
      </c>
      <c r="K1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11" s="6">
        <f ca="1">IF(IDNMaps[[#This Row],[Type]]="","",COUNTIF($K$1:IDNMaps[[#This Row],[Type]],IDNMaps[[#This Row],[Type]]))</f>
        <v>3</v>
      </c>
      <c r="M11" s="6" t="str">
        <f ca="1">IFERROR(VLOOKUP(IDNMaps[[#This Row],[Type]],RecordCount[],6,0)&amp;"-"&amp;IDNMaps[[#This Row],[Type Count]],"")</f>
        <v>Resource Lists-3</v>
      </c>
      <c r="N11" s="6" t="str">
        <f ca="1">IFERROR(VLOOKUP(IDNMaps[[#This Row],[Primary]],INDIRECT(VLOOKUP(IDNMaps[[#This Row],[Type]],RecordCount[],2,0)),VLOOKUP(IDNMaps[[#This Row],[Type]],RecordCount[],7,0),0),"")</f>
        <v>Task/Task List</v>
      </c>
      <c r="O11" s="6" t="str">
        <f ca="1">IF(IDNMaps[[#This Row],[Name]]="","","("&amp;IDNMaps[[#This Row],[Type]]&amp;") "&amp;IDNMaps[[#This Row],[Name]])</f>
        <v>(Lists) Task/Task List</v>
      </c>
      <c r="P11" s="6">
        <f ca="1">IFERROR(VLOOKUP(IDNMaps[[#This Row],[Primary]],INDIRECT(VLOOKUP(IDNMaps[[#This Row],[Type]],RecordCount[],2,0)),VLOOKUP(IDNMaps[[#This Row],[Type]],RecordCount[],8,0),0),"")</f>
        <v>802203</v>
      </c>
    </row>
    <row r="12" spans="1:16" x14ac:dyDescent="0.25">
      <c r="J12" s="11">
        <f t="shared" si="0"/>
        <v>11</v>
      </c>
      <c r="K1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12" s="6">
        <f ca="1">IF(IDNMaps[[#This Row],[Type]]="","",COUNTIF($K$1:IDNMaps[[#This Row],[Type]],IDNMaps[[#This Row],[Type]]))</f>
        <v>4</v>
      </c>
      <c r="M12" s="6" t="str">
        <f ca="1">IFERROR(VLOOKUP(IDNMaps[[#This Row],[Type]],RecordCount[],6,0)&amp;"-"&amp;IDNMaps[[#This Row],[Type Count]],"")</f>
        <v>Resource Lists-4</v>
      </c>
      <c r="N12" s="6" t="str">
        <f ca="1">IFERROR(VLOOKUP(IDNMaps[[#This Row],[Primary]],INDIRECT(VLOOKUP(IDNMaps[[#This Row],[Type]],RecordCount[],2,0)),VLOOKUP(IDNMaps[[#This Row],[Type]],RecordCount[],7,0),0),"")</f>
        <v>PartnerTask/NewTaskList</v>
      </c>
      <c r="O12" s="6" t="str">
        <f ca="1">IF(IDNMaps[[#This Row],[Name]]="","","("&amp;IDNMaps[[#This Row],[Type]]&amp;") "&amp;IDNMaps[[#This Row],[Name]])</f>
        <v>(Lists) PartnerTask/NewTaskList</v>
      </c>
      <c r="P12" s="6">
        <f ca="1">IFERROR(VLOOKUP(IDNMaps[[#This Row],[Primary]],INDIRECT(VLOOKUP(IDNMaps[[#This Row],[Type]],RecordCount[],2,0)),VLOOKUP(IDNMaps[[#This Row],[Type]],RecordCount[],8,0),0),"")</f>
        <v>802204</v>
      </c>
    </row>
    <row r="13" spans="1:16" x14ac:dyDescent="0.25">
      <c r="J13" s="11">
        <f t="shared" si="0"/>
        <v>12</v>
      </c>
      <c r="K1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13" s="6">
        <f ca="1">IF(IDNMaps[[#This Row],[Type]]="","",COUNTIF($K$1:IDNMaps[[#This Row],[Type]],IDNMaps[[#This Row],[Type]]))</f>
        <v>5</v>
      </c>
      <c r="M13" s="6" t="str">
        <f ca="1">IFERROR(VLOOKUP(IDNMaps[[#This Row],[Type]],RecordCount[],6,0)&amp;"-"&amp;IDNMaps[[#This Row],[Type Count]],"")</f>
        <v>Resource Lists-5</v>
      </c>
      <c r="N13" s="6" t="str">
        <f ca="1">IFERROR(VLOOKUP(IDNMaps[[#This Row],[Primary]],INDIRECT(VLOOKUP(IDNMaps[[#This Row],[Type]],RecordCount[],2,0)),VLOOKUP(IDNMaps[[#This Row],[Type]],RecordCount[],7,0),0),"")</f>
        <v>PartnerTask/DismissedTasks</v>
      </c>
      <c r="O13" s="6" t="str">
        <f ca="1">IF(IDNMaps[[#This Row],[Name]]="","","("&amp;IDNMaps[[#This Row],[Type]]&amp;") "&amp;IDNMaps[[#This Row],[Name]])</f>
        <v>(Lists) PartnerTask/DismissedTasks</v>
      </c>
      <c r="P13" s="6">
        <f ca="1">IFERROR(VLOOKUP(IDNMaps[[#This Row],[Primary]],INDIRECT(VLOOKUP(IDNMaps[[#This Row],[Type]],RecordCount[],2,0)),VLOOKUP(IDNMaps[[#This Row],[Type]],RecordCount[],8,0),0),"")</f>
        <v>802205</v>
      </c>
    </row>
    <row r="14" spans="1:16" x14ac:dyDescent="0.25">
      <c r="J14" s="11">
        <f t="shared" si="0"/>
        <v>13</v>
      </c>
      <c r="K1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14" s="6">
        <f ca="1">IF(IDNMaps[[#This Row],[Type]]="","",COUNTIF($K$1:IDNMaps[[#This Row],[Type]],IDNMaps[[#This Row],[Type]]))</f>
        <v>6</v>
      </c>
      <c r="M14" s="6" t="str">
        <f ca="1">IFERROR(VLOOKUP(IDNMaps[[#This Row],[Type]],RecordCount[],6,0)&amp;"-"&amp;IDNMaps[[#This Row],[Type Count]],"")</f>
        <v>Resource Lists-6</v>
      </c>
      <c r="N14" s="6" t="str">
        <f ca="1">IFERROR(VLOOKUP(IDNMaps[[#This Row],[Primary]],INDIRECT(VLOOKUP(IDNMaps[[#This Row],[Type]],RecordCount[],2,0)),VLOOKUP(IDNMaps[[#This Row],[Type]],RecordCount[],7,0),0),"")</f>
        <v>PartnerTask/ReturnedTasks</v>
      </c>
      <c r="O14" s="6" t="str">
        <f ca="1">IF(IDNMaps[[#This Row],[Name]]="","","("&amp;IDNMaps[[#This Row],[Type]]&amp;") "&amp;IDNMaps[[#This Row],[Name]])</f>
        <v>(Lists) PartnerTask/ReturnedTasks</v>
      </c>
      <c r="P14" s="6">
        <f ca="1">IFERROR(VLOOKUP(IDNMaps[[#This Row],[Primary]],INDIRECT(VLOOKUP(IDNMaps[[#This Row],[Type]],RecordCount[],2,0)),VLOOKUP(IDNMaps[[#This Row],[Type]],RecordCount[],8,0),0),"")</f>
        <v>802206</v>
      </c>
    </row>
    <row r="15" spans="1:16" x14ac:dyDescent="0.25">
      <c r="J15" s="11">
        <f t="shared" si="0"/>
        <v>14</v>
      </c>
      <c r="K1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15" s="6">
        <f ca="1">IF(IDNMaps[[#This Row],[Type]]="","",COUNTIF($K$1:IDNMaps[[#This Row],[Type]],IDNMaps[[#This Row],[Type]]))</f>
        <v>7</v>
      </c>
      <c r="M15" s="6" t="str">
        <f ca="1">IFERROR(VLOOKUP(IDNMaps[[#This Row],[Type]],RecordCount[],6,0)&amp;"-"&amp;IDNMaps[[#This Row],[Type Count]],"")</f>
        <v>Resource Lists-7</v>
      </c>
      <c r="N15" s="6" t="str">
        <f ca="1">IFERROR(VLOOKUP(IDNMaps[[#This Row],[Primary]],INDIRECT(VLOOKUP(IDNMaps[[#This Row],[Type]],RecordCount[],2,0)),VLOOKUP(IDNMaps[[#This Row],[Type]],RecordCount[],7,0),0),"")</f>
        <v>PartnerTask/CompletedTasks</v>
      </c>
      <c r="O15" s="6" t="str">
        <f ca="1">IF(IDNMaps[[#This Row],[Name]]="","","("&amp;IDNMaps[[#This Row],[Type]]&amp;") "&amp;IDNMaps[[#This Row],[Name]])</f>
        <v>(Lists) PartnerTask/CompletedTasks</v>
      </c>
      <c r="P15" s="6">
        <f ca="1">IFERROR(VLOOKUP(IDNMaps[[#This Row],[Primary]],INDIRECT(VLOOKUP(IDNMaps[[#This Row],[Type]],RecordCount[],2,0)),VLOOKUP(IDNMaps[[#This Row],[Type]],RecordCount[],8,0),0),"")</f>
        <v>802207</v>
      </c>
    </row>
    <row r="16" spans="1:16" x14ac:dyDescent="0.25">
      <c r="J16" s="56">
        <f t="shared" si="0"/>
        <v>15</v>
      </c>
      <c r="K16" s="9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16" s="6">
        <f ca="1">IF(IDNMaps[[#This Row],[Type]]="","",COUNTIF($K$1:IDNMaps[[#This Row],[Type]],IDNMaps[[#This Row],[Type]]))</f>
        <v>8</v>
      </c>
      <c r="M16" s="6" t="str">
        <f ca="1">IFERROR(VLOOKUP(IDNMaps[[#This Row],[Type]],RecordCount[],6,0)&amp;"-"&amp;IDNMaps[[#This Row],[Type Count]],"")</f>
        <v>Resource Lists-8</v>
      </c>
      <c r="N16" s="6" t="str">
        <f ca="1">IFERROR(VLOOKUP(IDNMaps[[#This Row],[Primary]],INDIRECT(VLOOKUP(IDNMaps[[#This Row],[Type]],RecordCount[],2,0)),VLOOKUP(IDNMaps[[#This Row],[Type]],RecordCount[],7,0),0),"")</f>
        <v>PartnerTask/RecentlyCompletedTasks</v>
      </c>
      <c r="O16" s="6" t="str">
        <f ca="1">IF(IDNMaps[[#This Row],[Name]]="","","("&amp;IDNMaps[[#This Row],[Type]]&amp;") "&amp;IDNMaps[[#This Row],[Name]])</f>
        <v>(Lists) PartnerTask/RecentlyCompletedTasks</v>
      </c>
      <c r="P16" s="6">
        <f ca="1">IFERROR(VLOOKUP(IDNMaps[[#This Row],[Primary]],INDIRECT(VLOOKUP(IDNMaps[[#This Row],[Type]],RecordCount[],2,0)),VLOOKUP(IDNMaps[[#This Row],[Type]],RecordCount[],8,0),0),"")</f>
        <v>802208</v>
      </c>
    </row>
    <row r="17" spans="10:16" x14ac:dyDescent="0.25">
      <c r="J17" s="11">
        <f t="shared" si="0"/>
        <v>16</v>
      </c>
      <c r="K1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17" s="6">
        <f ca="1">IF(IDNMaps[[#This Row],[Type]]="","",COUNTIF($K$1:IDNMaps[[#This Row],[Type]],IDNMaps[[#This Row],[Type]]))</f>
        <v>9</v>
      </c>
      <c r="M17" s="6" t="str">
        <f ca="1">IFERROR(VLOOKUP(IDNMaps[[#This Row],[Type]],RecordCount[],6,0)&amp;"-"&amp;IDNMaps[[#This Row],[Type Count]],"")</f>
        <v>Resource Lists-9</v>
      </c>
      <c r="N17" s="6" t="str">
        <f ca="1">IFERROR(VLOOKUP(IDNMaps[[#This Row],[Primary]],INDIRECT(VLOOKUP(IDNMaps[[#This Row],[Type]],RecordCount[],2,0)),VLOOKUP(IDNMaps[[#This Row],[Type]],RecordCount[],7,0),0),"")</f>
        <v>PartnerTask/TaskPartnerProgress</v>
      </c>
      <c r="O17" s="6" t="str">
        <f ca="1">IF(IDNMaps[[#This Row],[Name]]="","","("&amp;IDNMaps[[#This Row],[Type]]&amp;") "&amp;IDNMaps[[#This Row],[Name]])</f>
        <v>(Lists) PartnerTask/TaskPartnerProgress</v>
      </c>
      <c r="P17" s="6">
        <f ca="1">IFERROR(VLOOKUP(IDNMaps[[#This Row],[Primary]],INDIRECT(VLOOKUP(IDNMaps[[#This Row],[Type]],RecordCount[],2,0)),VLOOKUP(IDNMaps[[#This Row],[Type]],RecordCount[],8,0),0),"")</f>
        <v>802209</v>
      </c>
    </row>
    <row r="18" spans="10:16" x14ac:dyDescent="0.25">
      <c r="J18" s="11">
        <f t="shared" si="0"/>
        <v>17</v>
      </c>
      <c r="K1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18" s="6">
        <f ca="1">IF(IDNMaps[[#This Row],[Type]]="","",COUNTIF($K$1:IDNMaps[[#This Row],[Type]],IDNMaps[[#This Row],[Type]]))</f>
        <v>10</v>
      </c>
      <c r="M18" s="6" t="str">
        <f ca="1">IFERROR(VLOOKUP(IDNMaps[[#This Row],[Type]],RecordCount[],6,0)&amp;"-"&amp;IDNMaps[[#This Row],[Type Count]],"")</f>
        <v>Resource Lists-10</v>
      </c>
      <c r="N18" s="6" t="str">
        <f ca="1">IFERROR(VLOOKUP(IDNMaps[[#This Row],[Primary]],INDIRECT(VLOOKUP(IDNMaps[[#This Row],[Type]],RecordCount[],2,0)),VLOOKUP(IDNMaps[[#This Row],[Type]],RecordCount[],7,0),0),"")</f>
        <v>PartnerTask/PartnerTaskProgress</v>
      </c>
      <c r="O18" s="6" t="str">
        <f ca="1">IF(IDNMaps[[#This Row],[Name]]="","","("&amp;IDNMaps[[#This Row],[Type]]&amp;") "&amp;IDNMaps[[#This Row],[Name]])</f>
        <v>(Lists) PartnerTask/PartnerTaskProgress</v>
      </c>
      <c r="P18" s="6">
        <f ca="1">IFERROR(VLOOKUP(IDNMaps[[#This Row],[Primary]],INDIRECT(VLOOKUP(IDNMaps[[#This Row],[Type]],RecordCount[],2,0)),VLOOKUP(IDNMaps[[#This Row],[Type]],RecordCount[],8,0),0),"")</f>
        <v>802210</v>
      </c>
    </row>
    <row r="19" spans="10:16" x14ac:dyDescent="0.25">
      <c r="J19" s="11">
        <f t="shared" si="0"/>
        <v>18</v>
      </c>
      <c r="K1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Data</v>
      </c>
      <c r="L19" s="6">
        <f ca="1">IF(IDNMaps[[#This Row],[Type]]="","",COUNTIF($K$1:IDNMaps[[#This Row],[Type]],IDNMaps[[#This Row],[Type]]))</f>
        <v>1</v>
      </c>
      <c r="M19" s="6" t="str">
        <f ca="1">IFERROR(VLOOKUP(IDNMaps[[#This Row],[Type]],RecordCount[],6,0)&amp;"-"&amp;IDNMaps[[#This Row],[Type Count]],"")</f>
        <v>Resource Data-1</v>
      </c>
      <c r="N19" s="6" t="str">
        <f ca="1">IFERROR(VLOOKUP(IDNMaps[[#This Row],[Primary]],INDIRECT(VLOOKUP(IDNMaps[[#This Row],[Type]],RecordCount[],2,0)),VLOOKUP(IDNMaps[[#This Row],[Type]],RecordCount[],7,0),0),"")</f>
        <v>PartnerTask/TaskProgress</v>
      </c>
      <c r="O19" s="6" t="str">
        <f ca="1">IF(IDNMaps[[#This Row],[Name]]="","","("&amp;IDNMaps[[#This Row],[Type]]&amp;") "&amp;IDNMaps[[#This Row],[Name]])</f>
        <v>(Data) PartnerTask/TaskProgress</v>
      </c>
      <c r="P19" s="6">
        <f ca="1">IFERROR(VLOOKUP(IDNMaps[[#This Row],[Primary]],INDIRECT(VLOOKUP(IDNMaps[[#This Row],[Type]],RecordCount[],2,0)),VLOOKUP(IDNMaps[[#This Row],[Type]],RecordCount[],8,0),0),"")</f>
        <v>802701</v>
      </c>
    </row>
    <row r="20" spans="10:16" x14ac:dyDescent="0.25">
      <c r="J20" s="11">
        <f t="shared" si="0"/>
        <v>19</v>
      </c>
      <c r="K2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20" s="6">
        <f ca="1">IF(IDNMaps[[#This Row],[Type]]="","",COUNTIF($K$1:IDNMaps[[#This Row],[Type]],IDNMaps[[#This Row],[Type]]))</f>
        <v>1</v>
      </c>
      <c r="M20" s="6" t="str">
        <f ca="1">IFERROR(VLOOKUP(IDNMaps[[#This Row],[Type]],RecordCount[],6,0)&amp;"-"&amp;IDNMaps[[#This Row],[Type Count]],"")</f>
        <v>Resource Relations-1</v>
      </c>
      <c r="N20" s="6" t="str">
        <f ca="1">IFERROR(VLOOKUP(IDNMaps[[#This Row],[Primary]],INDIRECT(VLOOKUP(IDNMaps[[#This Row],[Type]],RecordCount[],2,0)),VLOOKUP(IDNMaps[[#This Row],[Type]],RecordCount[],7,0),0),"")</f>
        <v>Partner/Groups</v>
      </c>
      <c r="O20" s="6" t="str">
        <f ca="1">IF(IDNMaps[[#This Row],[Name]]="","","("&amp;IDNMaps[[#This Row],[Type]]&amp;") "&amp;IDNMaps[[#This Row],[Name]])</f>
        <v>(Relation) Partner/Groups</v>
      </c>
      <c r="P20" s="6">
        <f ca="1">IFERROR(VLOOKUP(IDNMaps[[#This Row],[Primary]],INDIRECT(VLOOKUP(IDNMaps[[#This Row],[Type]],RecordCount[],2,0)),VLOOKUP(IDNMaps[[#This Row],[Type]],RecordCount[],8,0),0),"")</f>
        <v>800801</v>
      </c>
    </row>
    <row r="21" spans="10:16" x14ac:dyDescent="0.25">
      <c r="J21" s="11">
        <f t="shared" si="0"/>
        <v>20</v>
      </c>
      <c r="K2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21" s="6">
        <f ca="1">IF(IDNMaps[[#This Row],[Type]]="","",COUNTIF($K$1:IDNMaps[[#This Row],[Type]],IDNMaps[[#This Row],[Type]]))</f>
        <v>2</v>
      </c>
      <c r="M21" s="6" t="str">
        <f ca="1">IFERROR(VLOOKUP(IDNMaps[[#This Row],[Type]],RecordCount[],6,0)&amp;"-"&amp;IDNMaps[[#This Row],[Type Count]],"")</f>
        <v>Resource Relations-2</v>
      </c>
      <c r="N21" s="6" t="str">
        <f ca="1">IFERROR(VLOOKUP(IDNMaps[[#This Row],[Primary]],INDIRECT(VLOOKUP(IDNMaps[[#This Row],[Type]],RecordCount[],2,0)),VLOOKUP(IDNMaps[[#This Row],[Type]],RecordCount[],7,0),0),"")</f>
        <v>Partner/Tasks</v>
      </c>
      <c r="O21" s="6" t="str">
        <f ca="1">IF(IDNMaps[[#This Row],[Name]]="","","("&amp;IDNMaps[[#This Row],[Type]]&amp;") "&amp;IDNMaps[[#This Row],[Name]])</f>
        <v>(Relation) Partner/Tasks</v>
      </c>
      <c r="P21" s="6">
        <f ca="1">IFERROR(VLOOKUP(IDNMaps[[#This Row],[Primary]],INDIRECT(VLOOKUP(IDNMaps[[#This Row],[Type]],RecordCount[],2,0)),VLOOKUP(IDNMaps[[#This Row],[Type]],RecordCount[],8,0),0),"")</f>
        <v>800802</v>
      </c>
    </row>
    <row r="22" spans="10:16" x14ac:dyDescent="0.25">
      <c r="J22" s="11">
        <f t="shared" si="0"/>
        <v>21</v>
      </c>
      <c r="K2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22" s="6">
        <f ca="1">IF(IDNMaps[[#This Row],[Type]]="","",COUNTIF($K$1:IDNMaps[[#This Row],[Type]],IDNMaps[[#This Row],[Type]]))</f>
        <v>3</v>
      </c>
      <c r="M22" s="6" t="str">
        <f ca="1">IFERROR(VLOOKUP(IDNMaps[[#This Row],[Type]],RecordCount[],6,0)&amp;"-"&amp;IDNMaps[[#This Row],[Type Count]],"")</f>
        <v>Resource Relations-3</v>
      </c>
      <c r="N22" s="6" t="str">
        <f ca="1">IFERROR(VLOOKUP(IDNMaps[[#This Row],[Primary]],INDIRECT(VLOOKUP(IDNMaps[[#This Row],[Type]],RecordCount[],2,0)),VLOOKUP(IDNMaps[[#This Row],[Type]],RecordCount[],7,0),0),"")</f>
        <v>Group/Partners</v>
      </c>
      <c r="O22" s="6" t="str">
        <f ca="1">IF(IDNMaps[[#This Row],[Name]]="","","("&amp;IDNMaps[[#This Row],[Type]]&amp;") "&amp;IDNMaps[[#This Row],[Name]])</f>
        <v>(Relation) Group/Partners</v>
      </c>
      <c r="P22" s="6">
        <f ca="1">IFERROR(VLOOKUP(IDNMaps[[#This Row],[Primary]],INDIRECT(VLOOKUP(IDNMaps[[#This Row],[Type]],RecordCount[],2,0)),VLOOKUP(IDNMaps[[#This Row],[Type]],RecordCount[],8,0),0),"")</f>
        <v>800803</v>
      </c>
    </row>
    <row r="23" spans="10:16" x14ac:dyDescent="0.25">
      <c r="J23" s="11">
        <f t="shared" si="0"/>
        <v>22</v>
      </c>
      <c r="K2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23" s="6">
        <f ca="1">IF(IDNMaps[[#This Row],[Type]]="","",COUNTIF($K$1:IDNMaps[[#This Row],[Type]],IDNMaps[[#This Row],[Type]]))</f>
        <v>4</v>
      </c>
      <c r="M23" s="6" t="str">
        <f ca="1">IFERROR(VLOOKUP(IDNMaps[[#This Row],[Type]],RecordCount[],6,0)&amp;"-"&amp;IDNMaps[[#This Row],[Type Count]],"")</f>
        <v>Resource Relations-4</v>
      </c>
      <c r="N23" s="6" t="str">
        <f ca="1">IFERROR(VLOOKUP(IDNMaps[[#This Row],[Primary]],INDIRECT(VLOOKUP(IDNMaps[[#This Row],[Type]],RecordCount[],2,0)),VLOOKUP(IDNMaps[[#This Row],[Type]],RecordCount[],7,0),0),"")</f>
        <v>Task/Main</v>
      </c>
      <c r="O23" s="6" t="str">
        <f ca="1">IF(IDNMaps[[#This Row],[Name]]="","","("&amp;IDNMaps[[#This Row],[Type]]&amp;") "&amp;IDNMaps[[#This Row],[Name]])</f>
        <v>(Relation) Task/Main</v>
      </c>
      <c r="P23" s="6">
        <f ca="1">IFERROR(VLOOKUP(IDNMaps[[#This Row],[Primary]],INDIRECT(VLOOKUP(IDNMaps[[#This Row],[Type]],RecordCount[],2,0)),VLOOKUP(IDNMaps[[#This Row],[Type]],RecordCount[],8,0),0),"")</f>
        <v>800804</v>
      </c>
    </row>
    <row r="24" spans="10:16" x14ac:dyDescent="0.25">
      <c r="J24" s="11">
        <f t="shared" si="0"/>
        <v>23</v>
      </c>
      <c r="K2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24" s="6">
        <f ca="1">IF(IDNMaps[[#This Row],[Type]]="","",COUNTIF($K$1:IDNMaps[[#This Row],[Type]],IDNMaps[[#This Row],[Type]]))</f>
        <v>5</v>
      </c>
      <c r="M24" s="6" t="str">
        <f ca="1">IFERROR(VLOOKUP(IDNMaps[[#This Row],[Type]],RecordCount[],6,0)&amp;"-"&amp;IDNMaps[[#This Row],[Type Count]],"")</f>
        <v>Resource Relations-5</v>
      </c>
      <c r="N24" s="6" t="str">
        <f ca="1">IFERROR(VLOOKUP(IDNMaps[[#This Row],[Primary]],INDIRECT(VLOOKUP(IDNMaps[[#This Row],[Type]],RecordCount[],2,0)),VLOOKUP(IDNMaps[[#This Row],[Type]],RecordCount[],7,0),0),"")</f>
        <v>Task/Tasks</v>
      </c>
      <c r="O24" s="6" t="str">
        <f ca="1">IF(IDNMaps[[#This Row],[Name]]="","","("&amp;IDNMaps[[#This Row],[Type]]&amp;") "&amp;IDNMaps[[#This Row],[Name]])</f>
        <v>(Relation) Task/Tasks</v>
      </c>
      <c r="P24" s="6">
        <f ca="1">IFERROR(VLOOKUP(IDNMaps[[#This Row],[Primary]],INDIRECT(VLOOKUP(IDNMaps[[#This Row],[Type]],RecordCount[],2,0)),VLOOKUP(IDNMaps[[#This Row],[Type]],RecordCount[],8,0),0),"")</f>
        <v>800805</v>
      </c>
    </row>
    <row r="25" spans="10:16" x14ac:dyDescent="0.25">
      <c r="J25" s="11">
        <f t="shared" si="0"/>
        <v>24</v>
      </c>
      <c r="K2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25" s="6">
        <f ca="1">IF(IDNMaps[[#This Row],[Type]]="","",COUNTIF($K$1:IDNMaps[[#This Row],[Type]],IDNMaps[[#This Row],[Type]]))</f>
        <v>6</v>
      </c>
      <c r="M25" s="6" t="str">
        <f ca="1">IFERROR(VLOOKUP(IDNMaps[[#This Row],[Type]],RecordCount[],6,0)&amp;"-"&amp;IDNMaps[[#This Row],[Type Count]],"")</f>
        <v>Resource Relations-6</v>
      </c>
      <c r="N25" s="6" t="str">
        <f ca="1">IFERROR(VLOOKUP(IDNMaps[[#This Row],[Primary]],INDIRECT(VLOOKUP(IDNMaps[[#This Row],[Type]],RecordCount[],2,0)),VLOOKUP(IDNMaps[[#This Row],[Type]],RecordCount[],7,0),0),"")</f>
        <v>Task/Partners</v>
      </c>
      <c r="O25" s="6" t="str">
        <f ca="1">IF(IDNMaps[[#This Row],[Name]]="","","("&amp;IDNMaps[[#This Row],[Type]]&amp;") "&amp;IDNMaps[[#This Row],[Name]])</f>
        <v>(Relation) Task/Partners</v>
      </c>
      <c r="P25" s="6">
        <f ca="1">IFERROR(VLOOKUP(IDNMaps[[#This Row],[Primary]],INDIRECT(VLOOKUP(IDNMaps[[#This Row],[Type]],RecordCount[],2,0)),VLOOKUP(IDNMaps[[#This Row],[Type]],RecordCount[],8,0),0),"")</f>
        <v>800806</v>
      </c>
    </row>
    <row r="26" spans="10:16" x14ac:dyDescent="0.25">
      <c r="J26" s="11">
        <f t="shared" si="0"/>
        <v>25</v>
      </c>
      <c r="K2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26" s="6">
        <f ca="1">IF(IDNMaps[[#This Row],[Type]]="","",COUNTIF($K$1:IDNMaps[[#This Row],[Type]],IDNMaps[[#This Row],[Type]]))</f>
        <v>7</v>
      </c>
      <c r="M26" s="6" t="str">
        <f ca="1">IFERROR(VLOOKUP(IDNMaps[[#This Row],[Type]],RecordCount[],6,0)&amp;"-"&amp;IDNMaps[[#This Row],[Type Count]],"")</f>
        <v>Resource Relations-7</v>
      </c>
      <c r="N26" s="6" t="str">
        <f ca="1">IFERROR(VLOOKUP(IDNMaps[[#This Row],[Primary]],INDIRECT(VLOOKUP(IDNMaps[[#This Row],[Type]],RecordCount[],2,0)),VLOOKUP(IDNMaps[[#This Row],[Type]],RecordCount[],7,0),0),"")</f>
        <v>Task/Progress</v>
      </c>
      <c r="O26" s="6" t="str">
        <f ca="1">IF(IDNMaps[[#This Row],[Name]]="","","("&amp;IDNMaps[[#This Row],[Type]]&amp;") "&amp;IDNMaps[[#This Row],[Name]])</f>
        <v>(Relation) Task/Progress</v>
      </c>
      <c r="P26" s="6">
        <f ca="1">IFERROR(VLOOKUP(IDNMaps[[#This Row],[Primary]],INDIRECT(VLOOKUP(IDNMaps[[#This Row],[Type]],RecordCount[],2,0)),VLOOKUP(IDNMaps[[#This Row],[Type]],RecordCount[],8,0),0),"")</f>
        <v>800807</v>
      </c>
    </row>
    <row r="27" spans="10:16" x14ac:dyDescent="0.25">
      <c r="J27" s="11">
        <f t="shared" si="0"/>
        <v>26</v>
      </c>
      <c r="K2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27" s="6">
        <f ca="1">IF(IDNMaps[[#This Row],[Type]]="","",COUNTIF($K$1:IDNMaps[[#This Row],[Type]],IDNMaps[[#This Row],[Type]]))</f>
        <v>8</v>
      </c>
      <c r="M27" s="6" t="str">
        <f ca="1">IFERROR(VLOOKUP(IDNMaps[[#This Row],[Type]],RecordCount[],6,0)&amp;"-"&amp;IDNMaps[[#This Row],[Type Count]],"")</f>
        <v>Resource Relations-8</v>
      </c>
      <c r="N27" s="6" t="str">
        <f ca="1">IFERROR(VLOOKUP(IDNMaps[[#This Row],[Primary]],INDIRECT(VLOOKUP(IDNMaps[[#This Row],[Type]],RecordCount[],2,0)),VLOOKUP(IDNMaps[[#This Row],[Type]],RecordCount[],7,0),0),"")</f>
        <v>Partner/Progress</v>
      </c>
      <c r="O27" s="6" t="str">
        <f ca="1">IF(IDNMaps[[#This Row],[Name]]="","","("&amp;IDNMaps[[#This Row],[Type]]&amp;") "&amp;IDNMaps[[#This Row],[Name]])</f>
        <v>(Relation) Partner/Progress</v>
      </c>
      <c r="P27" s="6">
        <f ca="1">IFERROR(VLOOKUP(IDNMaps[[#This Row],[Primary]],INDIRECT(VLOOKUP(IDNMaps[[#This Row],[Type]],RecordCount[],2,0)),VLOOKUP(IDNMaps[[#This Row],[Type]],RecordCount[],8,0),0),"")</f>
        <v>800808</v>
      </c>
    </row>
    <row r="28" spans="10:16" x14ac:dyDescent="0.25">
      <c r="J28" s="11">
        <f t="shared" si="0"/>
        <v>27</v>
      </c>
      <c r="K2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28" s="6">
        <f ca="1">IF(IDNMaps[[#This Row],[Type]]="","",COUNTIF($K$1:IDNMaps[[#This Row],[Type]],IDNMaps[[#This Row],[Type]]))</f>
        <v>9</v>
      </c>
      <c r="M28" s="6" t="str">
        <f ca="1">IFERROR(VLOOKUP(IDNMaps[[#This Row],[Type]],RecordCount[],6,0)&amp;"-"&amp;IDNMaps[[#This Row],[Type Count]],"")</f>
        <v>Resource Relations-9</v>
      </c>
      <c r="N28" s="6" t="str">
        <f ca="1">IFERROR(VLOOKUP(IDNMaps[[#This Row],[Primary]],INDIRECT(VLOOKUP(IDNMaps[[#This Row],[Type]],RecordCount[],2,0)),VLOOKUP(IDNMaps[[#This Row],[Type]],RecordCount[],7,0),0),"")</f>
        <v>PartnerTask/Task</v>
      </c>
      <c r="O28" s="6" t="str">
        <f ca="1">IF(IDNMaps[[#This Row],[Name]]="","","("&amp;IDNMaps[[#This Row],[Type]]&amp;") "&amp;IDNMaps[[#This Row],[Name]])</f>
        <v>(Relation) PartnerTask/Task</v>
      </c>
      <c r="P28" s="6">
        <f ca="1">IFERROR(VLOOKUP(IDNMaps[[#This Row],[Primary]],INDIRECT(VLOOKUP(IDNMaps[[#This Row],[Type]],RecordCount[],2,0)),VLOOKUP(IDNMaps[[#This Row],[Type]],RecordCount[],8,0),0),"")</f>
        <v>800809</v>
      </c>
    </row>
    <row r="29" spans="10:16" x14ac:dyDescent="0.25">
      <c r="J29" s="11">
        <f t="shared" si="0"/>
        <v>28</v>
      </c>
      <c r="K2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29" s="6">
        <f ca="1">IF(IDNMaps[[#This Row],[Type]]="","",COUNTIF($K$1:IDNMaps[[#This Row],[Type]],IDNMaps[[#This Row],[Type]]))</f>
        <v>10</v>
      </c>
      <c r="M29" s="6" t="str">
        <f ca="1">IFERROR(VLOOKUP(IDNMaps[[#This Row],[Type]],RecordCount[],6,0)&amp;"-"&amp;IDNMaps[[#This Row],[Type Count]],"")</f>
        <v>Resource Relations-10</v>
      </c>
      <c r="N29" s="6" t="str">
        <f ca="1">IFERROR(VLOOKUP(IDNMaps[[#This Row],[Primary]],INDIRECT(VLOOKUP(IDNMaps[[#This Row],[Type]],RecordCount[],2,0)),VLOOKUP(IDNMaps[[#This Row],[Type]],RecordCount[],7,0),0),"")</f>
        <v>PartnerTask/Partner</v>
      </c>
      <c r="O29" s="6" t="str">
        <f ca="1">IF(IDNMaps[[#This Row],[Name]]="","","("&amp;IDNMaps[[#This Row],[Type]]&amp;") "&amp;IDNMaps[[#This Row],[Name]])</f>
        <v>(Relation) PartnerTask/Partner</v>
      </c>
      <c r="P29" s="6">
        <f ca="1">IFERROR(VLOOKUP(IDNMaps[[#This Row],[Primary]],INDIRECT(VLOOKUP(IDNMaps[[#This Row],[Type]],RecordCount[],2,0)),VLOOKUP(IDNMaps[[#This Row],[Type]],RecordCount[],8,0),0),"")</f>
        <v>800810</v>
      </c>
    </row>
    <row r="30" spans="10:16" x14ac:dyDescent="0.25">
      <c r="J30" s="11">
        <f t="shared" si="0"/>
        <v>29</v>
      </c>
      <c r="K3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30" s="6">
        <f ca="1">IF(IDNMaps[[#This Row],[Type]]="","",COUNTIF($K$1:IDNMaps[[#This Row],[Type]],IDNMaps[[#This Row],[Type]]))</f>
        <v>1</v>
      </c>
      <c r="M30" s="6" t="str">
        <f ca="1">IFERROR(VLOOKUP(IDNMaps[[#This Row],[Type]],RecordCount[],6,0)&amp;"-"&amp;IDNMaps[[#This Row],[Type Count]],"")</f>
        <v>Form Fields-1</v>
      </c>
      <c r="N30" s="6" t="str">
        <f ca="1">IFERROR(VLOOKUP(IDNMaps[[#This Row],[Primary]],INDIRECT(VLOOKUP(IDNMaps[[#This Row],[Type]],RecordCount[],2,0)),VLOOKUP(IDNMaps[[#This Row],[Type]],RecordCount[],7,0),0),"")</f>
        <v>Group/CreateGroup/name</v>
      </c>
      <c r="O30" s="6" t="str">
        <f ca="1">IF(IDNMaps[[#This Row],[Name]]="","","("&amp;IDNMaps[[#This Row],[Type]]&amp;") "&amp;IDNMaps[[#This Row],[Name]])</f>
        <v>(Fields) Group/CreateGroup/name</v>
      </c>
      <c r="P30" s="6">
        <f ca="1">IFERROR(VLOOKUP(IDNMaps[[#This Row],[Primary]],INDIRECT(VLOOKUP(IDNMaps[[#This Row],[Type]],RecordCount[],2,0)),VLOOKUP(IDNMaps[[#This Row],[Type]],RecordCount[],8,0),0),"")</f>
        <v>801001</v>
      </c>
    </row>
    <row r="31" spans="10:16" x14ac:dyDescent="0.25">
      <c r="J31" s="11">
        <f t="shared" si="0"/>
        <v>30</v>
      </c>
      <c r="K3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31" s="6">
        <f ca="1">IF(IDNMaps[[#This Row],[Type]]="","",COUNTIF($K$1:IDNMaps[[#This Row],[Type]],IDNMaps[[#This Row],[Type]]))</f>
        <v>2</v>
      </c>
      <c r="M31" s="6" t="str">
        <f ca="1">IFERROR(VLOOKUP(IDNMaps[[#This Row],[Type]],RecordCount[],6,0)&amp;"-"&amp;IDNMaps[[#This Row],[Type Count]],"")</f>
        <v>Form Fields-2</v>
      </c>
      <c r="N31" s="6" t="str">
        <f ca="1">IFERROR(VLOOKUP(IDNMaps[[#This Row],[Primary]],INDIRECT(VLOOKUP(IDNMaps[[#This Row],[Type]],RecordCount[],2,0)),VLOOKUP(IDNMaps[[#This Row],[Type]],RecordCount[],7,0),0),"")</f>
        <v>Group/CreateGroup/description</v>
      </c>
      <c r="O31" s="6" t="str">
        <f ca="1">IF(IDNMaps[[#This Row],[Name]]="","","("&amp;IDNMaps[[#This Row],[Type]]&amp;") "&amp;IDNMaps[[#This Row],[Name]])</f>
        <v>(Fields) Group/CreateGroup/description</v>
      </c>
      <c r="P31" s="6">
        <f ca="1">IFERROR(VLOOKUP(IDNMaps[[#This Row],[Primary]],INDIRECT(VLOOKUP(IDNMaps[[#This Row],[Type]],RecordCount[],2,0)),VLOOKUP(IDNMaps[[#This Row],[Type]],RecordCount[],8,0),0),"")</f>
        <v>801002</v>
      </c>
    </row>
    <row r="32" spans="10:16" x14ac:dyDescent="0.25">
      <c r="J32" s="11">
        <f t="shared" si="0"/>
        <v>31</v>
      </c>
      <c r="K3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32" s="6">
        <f ca="1">IF(IDNMaps[[#This Row],[Type]]="","",COUNTIF($K$1:IDNMaps[[#This Row],[Type]],IDNMaps[[#This Row],[Type]]))</f>
        <v>3</v>
      </c>
      <c r="M32" s="6" t="str">
        <f ca="1">IFERROR(VLOOKUP(IDNMaps[[#This Row],[Type]],RecordCount[],6,0)&amp;"-"&amp;IDNMaps[[#This Row],[Type Count]],"")</f>
        <v>Form Fields-3</v>
      </c>
      <c r="N32" s="6" t="str">
        <f ca="1">IFERROR(VLOOKUP(IDNMaps[[#This Row],[Primary]],INDIRECT(VLOOKUP(IDNMaps[[#This Row],[Type]],RecordCount[],2,0)),VLOOKUP(IDNMaps[[#This Row],[Type]],RecordCount[],7,0),0),"")</f>
        <v>Group/CreateGroup/status</v>
      </c>
      <c r="O32" s="6" t="str">
        <f ca="1">IF(IDNMaps[[#This Row],[Name]]="","","("&amp;IDNMaps[[#This Row],[Type]]&amp;") "&amp;IDNMaps[[#This Row],[Name]])</f>
        <v>(Fields) Group/CreateGroup/status</v>
      </c>
      <c r="P32" s="6">
        <f ca="1">IFERROR(VLOOKUP(IDNMaps[[#This Row],[Primary]],INDIRECT(VLOOKUP(IDNMaps[[#This Row],[Type]],RecordCount[],2,0)),VLOOKUP(IDNMaps[[#This Row],[Type]],RecordCount[],8,0),0),"")</f>
        <v>801003</v>
      </c>
    </row>
    <row r="33" spans="10:16" x14ac:dyDescent="0.25">
      <c r="J33" s="11">
        <f t="shared" si="0"/>
        <v>32</v>
      </c>
      <c r="K3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33" s="6">
        <f ca="1">IF(IDNMaps[[#This Row],[Type]]="","",COUNTIF($K$1:IDNMaps[[#This Row],[Type]],IDNMaps[[#This Row],[Type]]))</f>
        <v>4</v>
      </c>
      <c r="M33" s="6" t="str">
        <f ca="1">IFERROR(VLOOKUP(IDNMaps[[#This Row],[Type]],RecordCount[],6,0)&amp;"-"&amp;IDNMaps[[#This Row],[Type Count]],"")</f>
        <v>Form Fields-4</v>
      </c>
      <c r="N33" s="6" t="str">
        <f ca="1">IFERROR(VLOOKUP(IDNMaps[[#This Row],[Primary]],INDIRECT(VLOOKUP(IDNMaps[[#This Row],[Type]],RecordCount[],2,0)),VLOOKUP(IDNMaps[[#This Row],[Type]],RecordCount[],7,0),0),"")</f>
        <v>Partner/CreatePartner/name</v>
      </c>
      <c r="O33" s="6" t="str">
        <f ca="1">IF(IDNMaps[[#This Row],[Name]]="","","("&amp;IDNMaps[[#This Row],[Type]]&amp;") "&amp;IDNMaps[[#This Row],[Name]])</f>
        <v>(Fields) Partner/CreatePartner/name</v>
      </c>
      <c r="P33" s="6">
        <f ca="1">IFERROR(VLOOKUP(IDNMaps[[#This Row],[Primary]],INDIRECT(VLOOKUP(IDNMaps[[#This Row],[Type]],RecordCount[],2,0)),VLOOKUP(IDNMaps[[#This Row],[Type]],RecordCount[],8,0),0),"")</f>
        <v>801004</v>
      </c>
    </row>
    <row r="34" spans="10:16" x14ac:dyDescent="0.25">
      <c r="J34" s="11">
        <f t="shared" si="0"/>
        <v>33</v>
      </c>
      <c r="K3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34" s="6">
        <f ca="1">IF(IDNMaps[[#This Row],[Type]]="","",COUNTIF($K$1:IDNMaps[[#This Row],[Type]],IDNMaps[[#This Row],[Type]]))</f>
        <v>5</v>
      </c>
      <c r="M34" s="6" t="str">
        <f ca="1">IFERROR(VLOOKUP(IDNMaps[[#This Row],[Type]],RecordCount[],6,0)&amp;"-"&amp;IDNMaps[[#This Row],[Type Count]],"")</f>
        <v>Form Fields-5</v>
      </c>
      <c r="N34" s="6" t="str">
        <f ca="1">IFERROR(VLOOKUP(IDNMaps[[#This Row],[Primary]],INDIRECT(VLOOKUP(IDNMaps[[#This Row],[Type]],RecordCount[],2,0)),VLOOKUP(IDNMaps[[#This Row],[Type]],RecordCount[],7,0),0),"")</f>
        <v>Partner/CreatePartner/email</v>
      </c>
      <c r="O34" s="6" t="str">
        <f ca="1">IF(IDNMaps[[#This Row],[Name]]="","","("&amp;IDNMaps[[#This Row],[Type]]&amp;") "&amp;IDNMaps[[#This Row],[Name]])</f>
        <v>(Fields) Partner/CreatePartner/email</v>
      </c>
      <c r="P34" s="6">
        <f ca="1">IFERROR(VLOOKUP(IDNMaps[[#This Row],[Primary]],INDIRECT(VLOOKUP(IDNMaps[[#This Row],[Type]],RecordCount[],2,0)),VLOOKUP(IDNMaps[[#This Row],[Type]],RecordCount[],8,0),0),"")</f>
        <v>801005</v>
      </c>
    </row>
    <row r="35" spans="10:16" x14ac:dyDescent="0.25">
      <c r="J35" s="11">
        <f t="shared" si="0"/>
        <v>34</v>
      </c>
      <c r="K3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35" s="6">
        <f ca="1">IF(IDNMaps[[#This Row],[Type]]="","",COUNTIF($K$1:IDNMaps[[#This Row],[Type]],IDNMaps[[#This Row],[Type]]))</f>
        <v>6</v>
      </c>
      <c r="M35" s="6" t="str">
        <f ca="1">IFERROR(VLOOKUP(IDNMaps[[#This Row],[Type]],RecordCount[],6,0)&amp;"-"&amp;IDNMaps[[#This Row],[Type Count]],"")</f>
        <v>Form Fields-6</v>
      </c>
      <c r="N35" s="6" t="str">
        <f ca="1">IFERROR(VLOOKUP(IDNMaps[[#This Row],[Primary]],INDIRECT(VLOOKUP(IDNMaps[[#This Row],[Type]],RecordCount[],2,0)),VLOOKUP(IDNMaps[[#This Row],[Type]],RecordCount[],7,0),0),"")</f>
        <v>Partner/CreatePartner/password</v>
      </c>
      <c r="O35" s="6" t="str">
        <f ca="1">IF(IDNMaps[[#This Row],[Name]]="","","("&amp;IDNMaps[[#This Row],[Type]]&amp;") "&amp;IDNMaps[[#This Row],[Name]])</f>
        <v>(Fields) Partner/CreatePartner/password</v>
      </c>
      <c r="P35" s="6">
        <f ca="1">IFERROR(VLOOKUP(IDNMaps[[#This Row],[Primary]],INDIRECT(VLOOKUP(IDNMaps[[#This Row],[Type]],RecordCount[],2,0)),VLOOKUP(IDNMaps[[#This Row],[Type]],RecordCount[],8,0),0),"")</f>
        <v>801006</v>
      </c>
    </row>
    <row r="36" spans="10:16" x14ac:dyDescent="0.25">
      <c r="J36" s="11">
        <f t="shared" si="0"/>
        <v>35</v>
      </c>
      <c r="K3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36" s="6">
        <f ca="1">IF(IDNMaps[[#This Row],[Type]]="","",COUNTIF($K$1:IDNMaps[[#This Row],[Type]],IDNMaps[[#This Row],[Type]]))</f>
        <v>7</v>
      </c>
      <c r="M36" s="6" t="str">
        <f ca="1">IFERROR(VLOOKUP(IDNMaps[[#This Row],[Type]],RecordCount[],6,0)&amp;"-"&amp;IDNMaps[[#This Row],[Type Count]],"")</f>
        <v>Form Fields-7</v>
      </c>
      <c r="N36" s="6" t="str">
        <f ca="1">IFERROR(VLOOKUP(IDNMaps[[#This Row],[Primary]],INDIRECT(VLOOKUP(IDNMaps[[#This Row],[Type]],RecordCount[],2,0)),VLOOKUP(IDNMaps[[#This Row],[Type]],RecordCount[],7,0),0),"")</f>
        <v>Task/CreateTask/name</v>
      </c>
      <c r="O36" s="6" t="str">
        <f ca="1">IF(IDNMaps[[#This Row],[Name]]="","","("&amp;IDNMaps[[#This Row],[Type]]&amp;") "&amp;IDNMaps[[#This Row],[Name]])</f>
        <v>(Fields) Task/CreateTask/name</v>
      </c>
      <c r="P36" s="6">
        <f ca="1">IFERROR(VLOOKUP(IDNMaps[[#This Row],[Primary]],INDIRECT(VLOOKUP(IDNMaps[[#This Row],[Type]],RecordCount[],2,0)),VLOOKUP(IDNMaps[[#This Row],[Type]],RecordCount[],8,0),0),"")</f>
        <v>801007</v>
      </c>
    </row>
    <row r="37" spans="10:16" x14ac:dyDescent="0.25">
      <c r="J37" s="11">
        <f t="shared" si="0"/>
        <v>36</v>
      </c>
      <c r="K3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37" s="6">
        <f ca="1">IF(IDNMaps[[#This Row],[Type]]="","",COUNTIF($K$1:IDNMaps[[#This Row],[Type]],IDNMaps[[#This Row],[Type]]))</f>
        <v>8</v>
      </c>
      <c r="M37" s="6" t="str">
        <f ca="1">IFERROR(VLOOKUP(IDNMaps[[#This Row],[Type]],RecordCount[],6,0)&amp;"-"&amp;IDNMaps[[#This Row],[Type Count]],"")</f>
        <v>Form Fields-8</v>
      </c>
      <c r="N37" s="6" t="str">
        <f ca="1">IFERROR(VLOOKUP(IDNMaps[[#This Row],[Primary]],INDIRECT(VLOOKUP(IDNMaps[[#This Row],[Type]],RecordCount[],2,0)),VLOOKUP(IDNMaps[[#This Row],[Type]],RecordCount[],7,0),0),"")</f>
        <v>Task/CreateTask/description</v>
      </c>
      <c r="O37" s="6" t="str">
        <f ca="1">IF(IDNMaps[[#This Row],[Name]]="","","("&amp;IDNMaps[[#This Row],[Type]]&amp;") "&amp;IDNMaps[[#This Row],[Name]])</f>
        <v>(Fields) Task/CreateTask/description</v>
      </c>
      <c r="P37" s="6">
        <f ca="1">IFERROR(VLOOKUP(IDNMaps[[#This Row],[Primary]],INDIRECT(VLOOKUP(IDNMaps[[#This Row],[Type]],RecordCount[],2,0)),VLOOKUP(IDNMaps[[#This Row],[Type]],RecordCount[],8,0),0),"")</f>
        <v>801008</v>
      </c>
    </row>
    <row r="38" spans="10:16" x14ac:dyDescent="0.25">
      <c r="J38" s="11">
        <f t="shared" si="0"/>
        <v>37</v>
      </c>
      <c r="K3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38" s="6">
        <f ca="1">IF(IDNMaps[[#This Row],[Type]]="","",COUNTIF($K$1:IDNMaps[[#This Row],[Type]],IDNMaps[[#This Row],[Type]]))</f>
        <v>9</v>
      </c>
      <c r="M38" s="6" t="str">
        <f ca="1">IFERROR(VLOOKUP(IDNMaps[[#This Row],[Type]],RecordCount[],6,0)&amp;"-"&amp;IDNMaps[[#This Row],[Type Count]],"")</f>
        <v>Form Fields-9</v>
      </c>
      <c r="N38" s="6" t="str">
        <f ca="1">IFERROR(VLOOKUP(IDNMaps[[#This Row],[Primary]],INDIRECT(VLOOKUP(IDNMaps[[#This Row],[Type]],RecordCount[],2,0)),VLOOKUP(IDNMaps[[#This Row],[Type]],RecordCount[],7,0),0),"")</f>
        <v>Task/CreateTask/returnable</v>
      </c>
      <c r="O38" s="6" t="str">
        <f ca="1">IF(IDNMaps[[#This Row],[Name]]="","","("&amp;IDNMaps[[#This Row],[Type]]&amp;") "&amp;IDNMaps[[#This Row],[Name]])</f>
        <v>(Fields) Task/CreateTask/returnable</v>
      </c>
      <c r="P38" s="6">
        <f ca="1">IFERROR(VLOOKUP(IDNMaps[[#This Row],[Primary]],INDIRECT(VLOOKUP(IDNMaps[[#This Row],[Type]],RecordCount[],2,0)),VLOOKUP(IDNMaps[[#This Row],[Type]],RecordCount[],8,0),0),"")</f>
        <v>801009</v>
      </c>
    </row>
    <row r="39" spans="10:16" x14ac:dyDescent="0.25">
      <c r="J39" s="11">
        <f t="shared" si="0"/>
        <v>38</v>
      </c>
      <c r="K3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39" s="6">
        <f ca="1">IF(IDNMaps[[#This Row],[Type]]="","",COUNTIF($K$1:IDNMaps[[#This Row],[Type]],IDNMaps[[#This Row],[Type]]))</f>
        <v>10</v>
      </c>
      <c r="M39" s="6" t="str">
        <f ca="1">IFERROR(VLOOKUP(IDNMaps[[#This Row],[Type]],RecordCount[],6,0)&amp;"-"&amp;IDNMaps[[#This Row],[Type Count]],"")</f>
        <v>Form Fields-10</v>
      </c>
      <c r="N39" s="6" t="str">
        <f ca="1">IFERROR(VLOOKUP(IDNMaps[[#This Row],[Primary]],INDIRECT(VLOOKUP(IDNMaps[[#This Row],[Type]],RecordCount[],2,0)),VLOOKUP(IDNMaps[[#This Row],[Type]],RecordCount[],7,0),0),"")</f>
        <v>Task/CreateTask/dismissable</v>
      </c>
      <c r="O39" s="6" t="str">
        <f ca="1">IF(IDNMaps[[#This Row],[Name]]="","","("&amp;IDNMaps[[#This Row],[Type]]&amp;") "&amp;IDNMaps[[#This Row],[Name]])</f>
        <v>(Fields) Task/CreateTask/dismissable</v>
      </c>
      <c r="P39" s="6">
        <f ca="1">IFERROR(VLOOKUP(IDNMaps[[#This Row],[Primary]],INDIRECT(VLOOKUP(IDNMaps[[#This Row],[Type]],RecordCount[],2,0)),VLOOKUP(IDNMaps[[#This Row],[Type]],RecordCount[],8,0),0),"")</f>
        <v>801010</v>
      </c>
    </row>
    <row r="40" spans="10:16" x14ac:dyDescent="0.25">
      <c r="J40" s="11">
        <f t="shared" si="0"/>
        <v>39</v>
      </c>
      <c r="K4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40" s="6">
        <f ca="1">IF(IDNMaps[[#This Row],[Type]]="","",COUNTIF($K$1:IDNMaps[[#This Row],[Type]],IDNMaps[[#This Row],[Type]]))</f>
        <v>11</v>
      </c>
      <c r="M40" s="6" t="str">
        <f ca="1">IFERROR(VLOOKUP(IDNMaps[[#This Row],[Type]],RecordCount[],6,0)&amp;"-"&amp;IDNMaps[[#This Row],[Type Count]],"")</f>
        <v>Form Fields-11</v>
      </c>
      <c r="N40" s="6" t="str">
        <f ca="1">IFERROR(VLOOKUP(IDNMaps[[#This Row],[Primary]],INDIRECT(VLOOKUP(IDNMaps[[#This Row],[Type]],RecordCount[],2,0)),VLOOKUP(IDNMaps[[#This Row],[Type]],RecordCount[],7,0),0),"")</f>
        <v>Task/CreateTask/editable</v>
      </c>
      <c r="O40" s="6" t="str">
        <f ca="1">IF(IDNMaps[[#This Row],[Name]]="","","("&amp;IDNMaps[[#This Row],[Type]]&amp;") "&amp;IDNMaps[[#This Row],[Name]])</f>
        <v>(Fields) Task/CreateTask/editable</v>
      </c>
      <c r="P40" s="6">
        <f ca="1">IFERROR(VLOOKUP(IDNMaps[[#This Row],[Primary]],INDIRECT(VLOOKUP(IDNMaps[[#This Row],[Type]],RecordCount[],2,0)),VLOOKUP(IDNMaps[[#This Row],[Type]],RecordCount[],8,0),0),"")</f>
        <v>801011</v>
      </c>
    </row>
    <row r="41" spans="10:16" x14ac:dyDescent="0.25">
      <c r="J41" s="11">
        <f t="shared" si="0"/>
        <v>40</v>
      </c>
      <c r="K4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41" s="6">
        <f ca="1">IF(IDNMaps[[#This Row],[Type]]="","",COUNTIF($K$1:IDNMaps[[#This Row],[Type]],IDNMaps[[#This Row],[Type]]))</f>
        <v>12</v>
      </c>
      <c r="M41" s="6" t="str">
        <f ca="1">IFERROR(VLOOKUP(IDNMaps[[#This Row],[Type]],RecordCount[],6,0)&amp;"-"&amp;IDNMaps[[#This Row],[Type Count]],"")</f>
        <v>Form Fields-12</v>
      </c>
      <c r="N41" s="6" t="str">
        <f ca="1">IFERROR(VLOOKUP(IDNMaps[[#This Row],[Primary]],INDIRECT(VLOOKUP(IDNMaps[[#This Row],[Type]],RecordCount[],2,0)),VLOOKUP(IDNMaps[[#This Row],[Type]],RecordCount[],7,0),0),"")</f>
        <v>Task/CreateTask/completion</v>
      </c>
      <c r="O41" s="6" t="str">
        <f ca="1">IF(IDNMaps[[#This Row],[Name]]="","","("&amp;IDNMaps[[#This Row],[Type]]&amp;") "&amp;IDNMaps[[#This Row],[Name]])</f>
        <v>(Fields) Task/CreateTask/completion</v>
      </c>
      <c r="P41" s="6">
        <f ca="1">IFERROR(VLOOKUP(IDNMaps[[#This Row],[Primary]],INDIRECT(VLOOKUP(IDNMaps[[#This Row],[Type]],RecordCount[],2,0)),VLOOKUP(IDNMaps[[#This Row],[Type]],RecordCount[],8,0),0),"")</f>
        <v>801012</v>
      </c>
    </row>
    <row r="42" spans="10:16" x14ac:dyDescent="0.25">
      <c r="J42" s="11">
        <f t="shared" si="0"/>
        <v>41</v>
      </c>
      <c r="K4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42" s="6">
        <f ca="1">IF(IDNMaps[[#This Row],[Type]]="","",COUNTIF($K$1:IDNMaps[[#This Row],[Type]],IDNMaps[[#This Row],[Type]]))</f>
        <v>13</v>
      </c>
      <c r="M42" s="6" t="str">
        <f ca="1">IFERROR(VLOOKUP(IDNMaps[[#This Row],[Type]],RecordCount[],6,0)&amp;"-"&amp;IDNMaps[[#This Row],[Type Count]],"")</f>
        <v>Form Fields-13</v>
      </c>
      <c r="N42" s="6" t="str">
        <f ca="1">IFERROR(VLOOKUP(IDNMaps[[#This Row],[Primary]],INDIRECT(VLOOKUP(IDNMaps[[#This Row],[Type]],RecordCount[],2,0)),VLOOKUP(IDNMaps[[#This Row],[Type]],RecordCount[],7,0),0),"")</f>
        <v>Task/CreateTask/assign</v>
      </c>
      <c r="O42" s="6" t="str">
        <f ca="1">IF(IDNMaps[[#This Row],[Name]]="","","("&amp;IDNMaps[[#This Row],[Type]]&amp;") "&amp;IDNMaps[[#This Row],[Name]])</f>
        <v>(Fields) Task/CreateTask/assign</v>
      </c>
      <c r="P42" s="6">
        <f ca="1">IFERROR(VLOOKUP(IDNMaps[[#This Row],[Primary]],INDIRECT(VLOOKUP(IDNMaps[[#This Row],[Type]],RecordCount[],2,0)),VLOOKUP(IDNMaps[[#This Row],[Type]],RecordCount[],8,0),0),"")</f>
        <v>801013</v>
      </c>
    </row>
    <row r="43" spans="10:16" x14ac:dyDescent="0.25">
      <c r="J43" s="11">
        <f t="shared" si="0"/>
        <v>42</v>
      </c>
      <c r="K4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43" s="6">
        <f ca="1">IF(IDNMaps[[#This Row],[Type]]="","",COUNTIF($K$1:IDNMaps[[#This Row],[Type]],IDNMaps[[#This Row],[Type]]))</f>
        <v>14</v>
      </c>
      <c r="M43" s="6" t="str">
        <f ca="1">IFERROR(VLOOKUP(IDNMaps[[#This Row],[Type]],RecordCount[],6,0)&amp;"-"&amp;IDNMaps[[#This Row],[Type Count]],"")</f>
        <v>Form Fields-14</v>
      </c>
      <c r="N43" s="6" t="str">
        <f ca="1">IFERROR(VLOOKUP(IDNMaps[[#This Row],[Primary]],INDIRECT(VLOOKUP(IDNMaps[[#This Row],[Type]],RecordCount[],2,0)),VLOOKUP(IDNMaps[[#This Row],[Type]],RecordCount[],7,0),0),"")</f>
        <v>PartnerTask/TaskCompleteDescription/task.name</v>
      </c>
      <c r="O43" s="6" t="str">
        <f ca="1">IF(IDNMaps[[#This Row],[Name]]="","","("&amp;IDNMaps[[#This Row],[Type]]&amp;") "&amp;IDNMaps[[#This Row],[Name]])</f>
        <v>(Fields) PartnerTask/TaskCompleteDescription/task.name</v>
      </c>
      <c r="P43" s="6">
        <f ca="1">IFERROR(VLOOKUP(IDNMaps[[#This Row],[Primary]],INDIRECT(VLOOKUP(IDNMaps[[#This Row],[Type]],RecordCount[],2,0)),VLOOKUP(IDNMaps[[#This Row],[Type]],RecordCount[],8,0),0),"")</f>
        <v>801014</v>
      </c>
    </row>
    <row r="44" spans="10:16" x14ac:dyDescent="0.25">
      <c r="J44" s="11">
        <f t="shared" si="0"/>
        <v>43</v>
      </c>
      <c r="K4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44" s="6">
        <f ca="1">IF(IDNMaps[[#This Row],[Type]]="","",COUNTIF($K$1:IDNMaps[[#This Row],[Type]],IDNMaps[[#This Row],[Type]]))</f>
        <v>15</v>
      </c>
      <c r="M44" s="6" t="str">
        <f ca="1">IFERROR(VLOOKUP(IDNMaps[[#This Row],[Type]],RecordCount[],6,0)&amp;"-"&amp;IDNMaps[[#This Row],[Type Count]],"")</f>
        <v>Form Fields-15</v>
      </c>
      <c r="N44" s="6" t="str">
        <f ca="1">IFERROR(VLOOKUP(IDNMaps[[#This Row],[Primary]],INDIRECT(VLOOKUP(IDNMaps[[#This Row],[Type]],RecordCount[],2,0)),VLOOKUP(IDNMaps[[#This Row],[Type]],RecordCount[],7,0),0),"")</f>
        <v>PartnerTask/TaskCompleteDescription/task.description</v>
      </c>
      <c r="O44" s="6" t="str">
        <f ca="1">IF(IDNMaps[[#This Row],[Name]]="","","("&amp;IDNMaps[[#This Row],[Type]]&amp;") "&amp;IDNMaps[[#This Row],[Name]])</f>
        <v>(Fields) PartnerTask/TaskCompleteDescription/task.description</v>
      </c>
      <c r="P44" s="6">
        <f ca="1">IFERROR(VLOOKUP(IDNMaps[[#This Row],[Primary]],INDIRECT(VLOOKUP(IDNMaps[[#This Row],[Type]],RecordCount[],2,0)),VLOOKUP(IDNMaps[[#This Row],[Type]],RecordCount[],8,0),0),"")</f>
        <v>801015</v>
      </c>
    </row>
    <row r="45" spans="10:16" x14ac:dyDescent="0.25">
      <c r="J45" s="11">
        <f t="shared" si="0"/>
        <v>44</v>
      </c>
      <c r="K4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45" s="6">
        <f ca="1">IF(IDNMaps[[#This Row],[Type]]="","",COUNTIF($K$1:IDNMaps[[#This Row],[Type]],IDNMaps[[#This Row],[Type]]))</f>
        <v>16</v>
      </c>
      <c r="M45" s="6" t="str">
        <f ca="1">IFERROR(VLOOKUP(IDNMaps[[#This Row],[Type]],RecordCount[],6,0)&amp;"-"&amp;IDNMaps[[#This Row],[Type Count]],"")</f>
        <v>Form Fields-16</v>
      </c>
      <c r="N45" s="6" t="str">
        <f ca="1">IFERROR(VLOOKUP(IDNMaps[[#This Row],[Primary]],INDIRECT(VLOOKUP(IDNMaps[[#This Row],[Type]],RecordCount[],2,0)),VLOOKUP(IDNMaps[[#This Row],[Type]],RecordCount[],7,0),0),"")</f>
        <v>PartnerTask/TaskCompleteDescription/progress</v>
      </c>
      <c r="O45" s="6" t="str">
        <f ca="1">IF(IDNMaps[[#This Row],[Name]]="","","("&amp;IDNMaps[[#This Row],[Type]]&amp;") "&amp;IDNMaps[[#This Row],[Name]])</f>
        <v>(Fields) PartnerTask/TaskCompleteDescription/progress</v>
      </c>
      <c r="P45" s="6">
        <f ca="1">IFERROR(VLOOKUP(IDNMaps[[#This Row],[Primary]],INDIRECT(VLOOKUP(IDNMaps[[#This Row],[Type]],RecordCount[],2,0)),VLOOKUP(IDNMaps[[#This Row],[Type]],RecordCount[],8,0),0),"")</f>
        <v>801016</v>
      </c>
    </row>
    <row r="46" spans="10:16" x14ac:dyDescent="0.25">
      <c r="J46" s="11">
        <f t="shared" si="0"/>
        <v>45</v>
      </c>
      <c r="K4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46" s="6">
        <f ca="1">IF(IDNMaps[[#This Row],[Type]]="","",COUNTIF($K$1:IDNMaps[[#This Row],[Type]],IDNMaps[[#This Row],[Type]]))</f>
        <v>17</v>
      </c>
      <c r="M46" s="6" t="str">
        <f ca="1">IFERROR(VLOOKUP(IDNMaps[[#This Row],[Type]],RecordCount[],6,0)&amp;"-"&amp;IDNMaps[[#This Row],[Type Count]],"")</f>
        <v>Form Fields-17</v>
      </c>
      <c r="N46" s="6" t="str">
        <f ca="1">IFERROR(VLOOKUP(IDNMaps[[#This Row],[Primary]],INDIRECT(VLOOKUP(IDNMaps[[#This Row],[Type]],RecordCount[],2,0)),VLOOKUP(IDNMaps[[#This Row],[Type]],RecordCount[],7,0),0),"")</f>
        <v>PartnerTask/TaskCompleteDescription/remarks</v>
      </c>
      <c r="O46" s="6" t="str">
        <f ca="1">IF(IDNMaps[[#This Row],[Name]]="","","("&amp;IDNMaps[[#This Row],[Type]]&amp;") "&amp;IDNMaps[[#This Row],[Name]])</f>
        <v>(Fields) PartnerTask/TaskCompleteDescription/remarks</v>
      </c>
      <c r="P46" s="6">
        <f ca="1">IFERROR(VLOOKUP(IDNMaps[[#This Row],[Primary]],INDIRECT(VLOOKUP(IDNMaps[[#This Row],[Type]],RecordCount[],2,0)),VLOOKUP(IDNMaps[[#This Row],[Type]],RecordCount[],8,0),0),"")</f>
        <v>801017</v>
      </c>
    </row>
    <row r="47" spans="10:16" x14ac:dyDescent="0.25">
      <c r="J47" s="11">
        <f t="shared" si="0"/>
        <v>46</v>
      </c>
      <c r="K4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47" s="6">
        <f ca="1">IF(IDNMaps[[#This Row],[Type]]="","",COUNTIF($K$1:IDNMaps[[#This Row],[Type]],IDNMaps[[#This Row],[Type]]))</f>
        <v>18</v>
      </c>
      <c r="M47" s="6" t="str">
        <f ca="1">IFERROR(VLOOKUP(IDNMaps[[#This Row],[Type]],RecordCount[],6,0)&amp;"-"&amp;IDNMaps[[#This Row],[Type Count]],"")</f>
        <v>Form Fields-18</v>
      </c>
      <c r="N47" s="6" t="str">
        <f ca="1">IFERROR(VLOOKUP(IDNMaps[[#This Row],[Primary]],INDIRECT(VLOOKUP(IDNMaps[[#This Row],[Type]],RecordCount[],2,0)),VLOOKUP(IDNMaps[[#This Row],[Type]],RecordCount[],7,0),0),"")</f>
        <v>PartnerTask/TaskCompleteAttachment/task.name</v>
      </c>
      <c r="O47" s="6" t="str">
        <f ca="1">IF(IDNMaps[[#This Row],[Name]]="","","("&amp;IDNMaps[[#This Row],[Type]]&amp;") "&amp;IDNMaps[[#This Row],[Name]])</f>
        <v>(Fields) PartnerTask/TaskCompleteAttachment/task.name</v>
      </c>
      <c r="P47" s="6">
        <f ca="1">IFERROR(VLOOKUP(IDNMaps[[#This Row],[Primary]],INDIRECT(VLOOKUP(IDNMaps[[#This Row],[Type]],RecordCount[],2,0)),VLOOKUP(IDNMaps[[#This Row],[Type]],RecordCount[],8,0),0),"")</f>
        <v>801018</v>
      </c>
    </row>
    <row r="48" spans="10:16" x14ac:dyDescent="0.25">
      <c r="J48" s="11">
        <f t="shared" si="0"/>
        <v>47</v>
      </c>
      <c r="K4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48" s="6">
        <f ca="1">IF(IDNMaps[[#This Row],[Type]]="","",COUNTIF($K$1:IDNMaps[[#This Row],[Type]],IDNMaps[[#This Row],[Type]]))</f>
        <v>19</v>
      </c>
      <c r="M48" s="6" t="str">
        <f ca="1">IFERROR(VLOOKUP(IDNMaps[[#This Row],[Type]],RecordCount[],6,0)&amp;"-"&amp;IDNMaps[[#This Row],[Type Count]],"")</f>
        <v>Form Fields-19</v>
      </c>
      <c r="N48" s="6" t="str">
        <f ca="1">IFERROR(VLOOKUP(IDNMaps[[#This Row],[Primary]],INDIRECT(VLOOKUP(IDNMaps[[#This Row],[Type]],RecordCount[],2,0)),VLOOKUP(IDNMaps[[#This Row],[Type]],RecordCount[],7,0),0),"")</f>
        <v>PartnerTask/TaskCompleteAttachment/task.description</v>
      </c>
      <c r="O48" s="6" t="str">
        <f ca="1">IF(IDNMaps[[#This Row],[Name]]="","","("&amp;IDNMaps[[#This Row],[Type]]&amp;") "&amp;IDNMaps[[#This Row],[Name]])</f>
        <v>(Fields) PartnerTask/TaskCompleteAttachment/task.description</v>
      </c>
      <c r="P48" s="6">
        <f ca="1">IFERROR(VLOOKUP(IDNMaps[[#This Row],[Primary]],INDIRECT(VLOOKUP(IDNMaps[[#This Row],[Type]],RecordCount[],2,0)),VLOOKUP(IDNMaps[[#This Row],[Type]],RecordCount[],8,0),0),"")</f>
        <v>801019</v>
      </c>
    </row>
    <row r="49" spans="10:16" x14ac:dyDescent="0.25">
      <c r="J49" s="11">
        <f t="shared" si="0"/>
        <v>48</v>
      </c>
      <c r="K4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49" s="6">
        <f ca="1">IF(IDNMaps[[#This Row],[Type]]="","",COUNTIF($K$1:IDNMaps[[#This Row],[Type]],IDNMaps[[#This Row],[Type]]))</f>
        <v>20</v>
      </c>
      <c r="M49" s="6" t="str">
        <f ca="1">IFERROR(VLOOKUP(IDNMaps[[#This Row],[Type]],RecordCount[],6,0)&amp;"-"&amp;IDNMaps[[#This Row],[Type Count]],"")</f>
        <v>Form Fields-20</v>
      </c>
      <c r="N49" s="6" t="str">
        <f ca="1">IFERROR(VLOOKUP(IDNMaps[[#This Row],[Primary]],INDIRECT(VLOOKUP(IDNMaps[[#This Row],[Type]],RecordCount[],2,0)),VLOOKUP(IDNMaps[[#This Row],[Type]],RecordCount[],7,0),0),"")</f>
        <v>PartnerTask/TaskCompleteAttachment/progress</v>
      </c>
      <c r="O49" s="6" t="str">
        <f ca="1">IF(IDNMaps[[#This Row],[Name]]="","","("&amp;IDNMaps[[#This Row],[Type]]&amp;") "&amp;IDNMaps[[#This Row],[Name]])</f>
        <v>(Fields) PartnerTask/TaskCompleteAttachment/progress</v>
      </c>
      <c r="P49" s="6">
        <f ca="1">IFERROR(VLOOKUP(IDNMaps[[#This Row],[Primary]],INDIRECT(VLOOKUP(IDNMaps[[#This Row],[Type]],RecordCount[],2,0)),VLOOKUP(IDNMaps[[#This Row],[Type]],RecordCount[],8,0),0),"")</f>
        <v>801020</v>
      </c>
    </row>
    <row r="50" spans="10:16" x14ac:dyDescent="0.25">
      <c r="J50" s="11">
        <f t="shared" si="0"/>
        <v>49</v>
      </c>
      <c r="K5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50" s="6">
        <f ca="1">IF(IDNMaps[[#This Row],[Type]]="","",COUNTIF($K$1:IDNMaps[[#This Row],[Type]],IDNMaps[[#This Row],[Type]]))</f>
        <v>21</v>
      </c>
      <c r="M50" s="6" t="str">
        <f ca="1">IFERROR(VLOOKUP(IDNMaps[[#This Row],[Type]],RecordCount[],6,0)&amp;"-"&amp;IDNMaps[[#This Row],[Type Count]],"")</f>
        <v>Form Fields-21</v>
      </c>
      <c r="N50" s="6" t="str">
        <f ca="1">IFERROR(VLOOKUP(IDNMaps[[#This Row],[Primary]],INDIRECT(VLOOKUP(IDNMaps[[#This Row],[Type]],RecordCount[],2,0)),VLOOKUP(IDNMaps[[#This Row],[Type]],RecordCount[],7,0),0),"")</f>
        <v>PartnerTask/TaskCompleteAttachment/remarks</v>
      </c>
      <c r="O50" s="6" t="str">
        <f ca="1">IF(IDNMaps[[#This Row],[Name]]="","","("&amp;IDNMaps[[#This Row],[Type]]&amp;") "&amp;IDNMaps[[#This Row],[Name]])</f>
        <v>(Fields) PartnerTask/TaskCompleteAttachment/remarks</v>
      </c>
      <c r="P50" s="6">
        <f ca="1">IFERROR(VLOOKUP(IDNMaps[[#This Row],[Primary]],INDIRECT(VLOOKUP(IDNMaps[[#This Row],[Type]],RecordCount[],2,0)),VLOOKUP(IDNMaps[[#This Row],[Type]],RecordCount[],8,0),0),"")</f>
        <v>801021</v>
      </c>
    </row>
    <row r="51" spans="10:16" x14ac:dyDescent="0.25">
      <c r="J51" s="11">
        <f t="shared" si="0"/>
        <v>50</v>
      </c>
      <c r="K5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51" s="6">
        <f ca="1">IF(IDNMaps[[#This Row],[Type]]="","",COUNTIF($K$1:IDNMaps[[#This Row],[Type]],IDNMaps[[#This Row],[Type]]))</f>
        <v>22</v>
      </c>
      <c r="M51" s="6" t="str">
        <f ca="1">IFERROR(VLOOKUP(IDNMaps[[#This Row],[Type]],RecordCount[],6,0)&amp;"-"&amp;IDNMaps[[#This Row],[Type Count]],"")</f>
        <v>Form Fields-22</v>
      </c>
      <c r="N51" s="6" t="str">
        <f ca="1">IFERROR(VLOOKUP(IDNMaps[[#This Row],[Primary]],INDIRECT(VLOOKUP(IDNMaps[[#This Row],[Type]],RecordCount[],2,0)),VLOOKUP(IDNMaps[[#This Row],[Type]],RecordCount[],7,0),0),"")</f>
        <v>PartnerTask/TaskCompleteAttachment/attachment1</v>
      </c>
      <c r="O51" s="6" t="str">
        <f ca="1">IF(IDNMaps[[#This Row],[Name]]="","","("&amp;IDNMaps[[#This Row],[Type]]&amp;") "&amp;IDNMaps[[#This Row],[Name]])</f>
        <v>(Fields) PartnerTask/TaskCompleteAttachment/attachment1</v>
      </c>
      <c r="P51" s="6">
        <f ca="1">IFERROR(VLOOKUP(IDNMaps[[#This Row],[Primary]],INDIRECT(VLOOKUP(IDNMaps[[#This Row],[Type]],RecordCount[],2,0)),VLOOKUP(IDNMaps[[#This Row],[Type]],RecordCount[],8,0),0),"")</f>
        <v>801022</v>
      </c>
    </row>
    <row r="52" spans="10:16" x14ac:dyDescent="0.25">
      <c r="J52" s="11">
        <f t="shared" si="0"/>
        <v>51</v>
      </c>
      <c r="K5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52" s="6">
        <f ca="1">IF(IDNMaps[[#This Row],[Type]]="","",COUNTIF($K$1:IDNMaps[[#This Row],[Type]],IDNMaps[[#This Row],[Type]]))</f>
        <v>23</v>
      </c>
      <c r="M52" s="6" t="str">
        <f ca="1">IFERROR(VLOOKUP(IDNMaps[[#This Row],[Type]],RecordCount[],6,0)&amp;"-"&amp;IDNMaps[[#This Row],[Type Count]],"")</f>
        <v>Form Fields-23</v>
      </c>
      <c r="N52" s="6" t="str">
        <f ca="1">IFERROR(VLOOKUP(IDNMaps[[#This Row],[Primary]],INDIRECT(VLOOKUP(IDNMaps[[#This Row],[Type]],RecordCount[],2,0)),VLOOKUP(IDNMaps[[#This Row],[Type]],RecordCount[],7,0),0),"")</f>
        <v>PartnerTask/TaskCompleteAttachment/attachment2</v>
      </c>
      <c r="O52" s="6" t="str">
        <f ca="1">IF(IDNMaps[[#This Row],[Name]]="","","("&amp;IDNMaps[[#This Row],[Type]]&amp;") "&amp;IDNMaps[[#This Row],[Name]])</f>
        <v>(Fields) PartnerTask/TaskCompleteAttachment/attachment2</v>
      </c>
      <c r="P52" s="6">
        <f ca="1">IFERROR(VLOOKUP(IDNMaps[[#This Row],[Primary]],INDIRECT(VLOOKUP(IDNMaps[[#This Row],[Type]],RecordCount[],2,0)),VLOOKUP(IDNMaps[[#This Row],[Type]],RecordCount[],8,0),0),"")</f>
        <v>801023</v>
      </c>
    </row>
    <row r="53" spans="10:16" x14ac:dyDescent="0.25">
      <c r="J53" s="11">
        <f t="shared" si="0"/>
        <v>52</v>
      </c>
      <c r="K5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53" s="6">
        <f ca="1">IF(IDNMaps[[#This Row],[Type]]="","",COUNTIF($K$1:IDNMaps[[#This Row],[Type]],IDNMaps[[#This Row],[Type]]))</f>
        <v>24</v>
      </c>
      <c r="M53" s="6" t="str">
        <f ca="1">IFERROR(VLOOKUP(IDNMaps[[#This Row],[Type]],RecordCount[],6,0)&amp;"-"&amp;IDNMaps[[#This Row],[Type Count]],"")</f>
        <v>Form Fields-24</v>
      </c>
      <c r="N53" s="6" t="str">
        <f ca="1">IFERROR(VLOOKUP(IDNMaps[[#This Row],[Primary]],INDIRECT(VLOOKUP(IDNMaps[[#This Row],[Type]],RecordCount[],2,0)),VLOOKUP(IDNMaps[[#This Row],[Type]],RecordCount[],7,0),0),"")</f>
        <v>PartnerTask/TaskCompleteAttachment/attachment3</v>
      </c>
      <c r="O53" s="6" t="str">
        <f ca="1">IF(IDNMaps[[#This Row],[Name]]="","","("&amp;IDNMaps[[#This Row],[Type]]&amp;") "&amp;IDNMaps[[#This Row],[Name]])</f>
        <v>(Fields) PartnerTask/TaskCompleteAttachment/attachment3</v>
      </c>
      <c r="P53" s="6">
        <f ca="1">IFERROR(VLOOKUP(IDNMaps[[#This Row],[Primary]],INDIRECT(VLOOKUP(IDNMaps[[#This Row],[Type]],RecordCount[],2,0)),VLOOKUP(IDNMaps[[#This Row],[Type]],RecordCount[],8,0),0),"")</f>
        <v>801024</v>
      </c>
    </row>
    <row r="54" spans="10:16" x14ac:dyDescent="0.25">
      <c r="J54" s="11">
        <f t="shared" si="0"/>
        <v>53</v>
      </c>
      <c r="K5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54" s="6">
        <f ca="1">IF(IDNMaps[[#This Row],[Type]]="","",COUNTIF($K$1:IDNMaps[[#This Row],[Type]],IDNMaps[[#This Row],[Type]]))</f>
        <v>25</v>
      </c>
      <c r="M54" s="6" t="str">
        <f ca="1">IFERROR(VLOOKUP(IDNMaps[[#This Row],[Type]],RecordCount[],6,0)&amp;"-"&amp;IDNMaps[[#This Row],[Type Count]],"")</f>
        <v>Form Fields-25</v>
      </c>
      <c r="N54" s="6" t="str">
        <f ca="1">IFERROR(VLOOKUP(IDNMaps[[#This Row],[Primary]],INDIRECT(VLOOKUP(IDNMaps[[#This Row],[Type]],RecordCount[],2,0)),VLOOKUP(IDNMaps[[#This Row],[Type]],RecordCount[],7,0),0),"")</f>
        <v>PartnerTask/TaskDismissForm/task.name</v>
      </c>
      <c r="O54" s="6" t="str">
        <f ca="1">IF(IDNMaps[[#This Row],[Name]]="","","("&amp;IDNMaps[[#This Row],[Type]]&amp;") "&amp;IDNMaps[[#This Row],[Name]])</f>
        <v>(Fields) PartnerTask/TaskDismissForm/task.name</v>
      </c>
      <c r="P54" s="6">
        <f ca="1">IFERROR(VLOOKUP(IDNMaps[[#This Row],[Primary]],INDIRECT(VLOOKUP(IDNMaps[[#This Row],[Type]],RecordCount[],2,0)),VLOOKUP(IDNMaps[[#This Row],[Type]],RecordCount[],8,0),0),"")</f>
        <v>801025</v>
      </c>
    </row>
    <row r="55" spans="10:16" x14ac:dyDescent="0.25">
      <c r="J55" s="11">
        <f t="shared" si="0"/>
        <v>54</v>
      </c>
      <c r="K5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55" s="6">
        <f ca="1">IF(IDNMaps[[#This Row],[Type]]="","",COUNTIF($K$1:IDNMaps[[#This Row],[Type]],IDNMaps[[#This Row],[Type]]))</f>
        <v>26</v>
      </c>
      <c r="M55" s="6" t="str">
        <f ca="1">IFERROR(VLOOKUP(IDNMaps[[#This Row],[Type]],RecordCount[],6,0)&amp;"-"&amp;IDNMaps[[#This Row],[Type Count]],"")</f>
        <v>Form Fields-26</v>
      </c>
      <c r="N55" s="6" t="str">
        <f ca="1">IFERROR(VLOOKUP(IDNMaps[[#This Row],[Primary]],INDIRECT(VLOOKUP(IDNMaps[[#This Row],[Type]],RecordCount[],2,0)),VLOOKUP(IDNMaps[[#This Row],[Type]],RecordCount[],7,0),0),"")</f>
        <v>PartnerTask/TaskDismissForm/task.description</v>
      </c>
      <c r="O55" s="6" t="str">
        <f ca="1">IF(IDNMaps[[#This Row],[Name]]="","","("&amp;IDNMaps[[#This Row],[Type]]&amp;") "&amp;IDNMaps[[#This Row],[Name]])</f>
        <v>(Fields) PartnerTask/TaskDismissForm/task.description</v>
      </c>
      <c r="P55" s="6">
        <f ca="1">IFERROR(VLOOKUP(IDNMaps[[#This Row],[Primary]],INDIRECT(VLOOKUP(IDNMaps[[#This Row],[Type]],RecordCount[],2,0)),VLOOKUP(IDNMaps[[#This Row],[Type]],RecordCount[],8,0),0),"")</f>
        <v>801026</v>
      </c>
    </row>
    <row r="56" spans="10:16" x14ac:dyDescent="0.25">
      <c r="J56" s="11">
        <f t="shared" si="0"/>
        <v>55</v>
      </c>
      <c r="K5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56" s="6">
        <f ca="1">IF(IDNMaps[[#This Row],[Type]]="","",COUNTIF($K$1:IDNMaps[[#This Row],[Type]],IDNMaps[[#This Row],[Type]]))</f>
        <v>27</v>
      </c>
      <c r="M56" s="6" t="str">
        <f ca="1">IFERROR(VLOOKUP(IDNMaps[[#This Row],[Type]],RecordCount[],6,0)&amp;"-"&amp;IDNMaps[[#This Row],[Type Count]],"")</f>
        <v>Form Fields-27</v>
      </c>
      <c r="N56" s="6" t="str">
        <f ca="1">IFERROR(VLOOKUP(IDNMaps[[#This Row],[Primary]],INDIRECT(VLOOKUP(IDNMaps[[#This Row],[Type]],RecordCount[],2,0)),VLOOKUP(IDNMaps[[#This Row],[Type]],RecordCount[],7,0),0),"")</f>
        <v>PartnerTask/TaskDismissForm/progress</v>
      </c>
      <c r="O56" s="6" t="str">
        <f ca="1">IF(IDNMaps[[#This Row],[Name]]="","","("&amp;IDNMaps[[#This Row],[Type]]&amp;") "&amp;IDNMaps[[#This Row],[Name]])</f>
        <v>(Fields) PartnerTask/TaskDismissForm/progress</v>
      </c>
      <c r="P56" s="6">
        <f ca="1">IFERROR(VLOOKUP(IDNMaps[[#This Row],[Primary]],INDIRECT(VLOOKUP(IDNMaps[[#This Row],[Type]],RecordCount[],2,0)),VLOOKUP(IDNMaps[[#This Row],[Type]],RecordCount[],8,0),0),"")</f>
        <v>801027</v>
      </c>
    </row>
    <row r="57" spans="10:16" x14ac:dyDescent="0.25">
      <c r="J57" s="11">
        <f t="shared" si="0"/>
        <v>56</v>
      </c>
      <c r="K5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57" s="6">
        <f ca="1">IF(IDNMaps[[#This Row],[Type]]="","",COUNTIF($K$1:IDNMaps[[#This Row],[Type]],IDNMaps[[#This Row],[Type]]))</f>
        <v>28</v>
      </c>
      <c r="M57" s="6" t="str">
        <f ca="1">IFERROR(VLOOKUP(IDNMaps[[#This Row],[Type]],RecordCount[],6,0)&amp;"-"&amp;IDNMaps[[#This Row],[Type Count]],"")</f>
        <v>Form Fields-28</v>
      </c>
      <c r="N57" s="6" t="str">
        <f ca="1">IFERROR(VLOOKUP(IDNMaps[[#This Row],[Primary]],INDIRECT(VLOOKUP(IDNMaps[[#This Row],[Type]],RecordCount[],2,0)),VLOOKUP(IDNMaps[[#This Row],[Type]],RecordCount[],7,0),0),"")</f>
        <v>PartnerTask/TaskDismissForm/remarks</v>
      </c>
      <c r="O57" s="6" t="str">
        <f ca="1">IF(IDNMaps[[#This Row],[Name]]="","","("&amp;IDNMaps[[#This Row],[Type]]&amp;") "&amp;IDNMaps[[#This Row],[Name]])</f>
        <v>(Fields) PartnerTask/TaskDismissForm/remarks</v>
      </c>
      <c r="P57" s="6">
        <f ca="1">IFERROR(VLOOKUP(IDNMaps[[#This Row],[Primary]],INDIRECT(VLOOKUP(IDNMaps[[#This Row],[Type]],RecordCount[],2,0)),VLOOKUP(IDNMaps[[#This Row],[Type]],RecordCount[],8,0),0),"")</f>
        <v>801028</v>
      </c>
    </row>
    <row r="58" spans="10:16" x14ac:dyDescent="0.25">
      <c r="J58" s="11">
        <f t="shared" si="0"/>
        <v>57</v>
      </c>
      <c r="K5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58" s="6">
        <f ca="1">IF(IDNMaps[[#This Row],[Type]]="","",COUNTIF($K$1:IDNMaps[[#This Row],[Type]],IDNMaps[[#This Row],[Type]]))</f>
        <v>29</v>
      </c>
      <c r="M58" s="6" t="str">
        <f ca="1">IFERROR(VLOOKUP(IDNMaps[[#This Row],[Type]],RecordCount[],6,0)&amp;"-"&amp;IDNMaps[[#This Row],[Type Count]],"")</f>
        <v>Form Fields-29</v>
      </c>
      <c r="N58" s="6" t="str">
        <f ca="1">IFERROR(VLOOKUP(IDNMaps[[#This Row],[Primary]],INDIRECT(VLOOKUP(IDNMaps[[#This Row],[Type]],RecordCount[],2,0)),VLOOKUP(IDNMaps[[#This Row],[Type]],RecordCount[],7,0),0),"")</f>
        <v>PartnerTask/TaskUpdateForm/task.name</v>
      </c>
      <c r="O58" s="6" t="str">
        <f ca="1">IF(IDNMaps[[#This Row],[Name]]="","","("&amp;IDNMaps[[#This Row],[Type]]&amp;") "&amp;IDNMaps[[#This Row],[Name]])</f>
        <v>(Fields) PartnerTask/TaskUpdateForm/task.name</v>
      </c>
      <c r="P58" s="6">
        <f ca="1">IFERROR(VLOOKUP(IDNMaps[[#This Row],[Primary]],INDIRECT(VLOOKUP(IDNMaps[[#This Row],[Type]],RecordCount[],2,0)),VLOOKUP(IDNMaps[[#This Row],[Type]],RecordCount[],8,0),0),"")</f>
        <v>801029</v>
      </c>
    </row>
    <row r="59" spans="10:16" x14ac:dyDescent="0.25">
      <c r="J59" s="11">
        <f t="shared" si="0"/>
        <v>58</v>
      </c>
      <c r="K5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59" s="6">
        <f ca="1">IF(IDNMaps[[#This Row],[Type]]="","",COUNTIF($K$1:IDNMaps[[#This Row],[Type]],IDNMaps[[#This Row],[Type]]))</f>
        <v>30</v>
      </c>
      <c r="M59" s="6" t="str">
        <f ca="1">IFERROR(VLOOKUP(IDNMaps[[#This Row],[Type]],RecordCount[],6,0)&amp;"-"&amp;IDNMaps[[#This Row],[Type Count]],"")</f>
        <v>Form Fields-30</v>
      </c>
      <c r="N59" s="6" t="str">
        <f ca="1">IFERROR(VLOOKUP(IDNMaps[[#This Row],[Primary]],INDIRECT(VLOOKUP(IDNMaps[[#This Row],[Type]],RecordCount[],2,0)),VLOOKUP(IDNMaps[[#This Row],[Type]],RecordCount[],7,0),0),"")</f>
        <v>PartnerTask/TaskUpdateForm/progress</v>
      </c>
      <c r="O59" s="6" t="str">
        <f ca="1">IF(IDNMaps[[#This Row],[Name]]="","","("&amp;IDNMaps[[#This Row],[Type]]&amp;") "&amp;IDNMaps[[#This Row],[Name]])</f>
        <v>(Fields) PartnerTask/TaskUpdateForm/progress</v>
      </c>
      <c r="P59" s="6">
        <f ca="1">IFERROR(VLOOKUP(IDNMaps[[#This Row],[Primary]],INDIRECT(VLOOKUP(IDNMaps[[#This Row],[Type]],RecordCount[],2,0)),VLOOKUP(IDNMaps[[#This Row],[Type]],RecordCount[],8,0),0),"")</f>
        <v>801030</v>
      </c>
    </row>
    <row r="60" spans="10:16" x14ac:dyDescent="0.25">
      <c r="J60" s="11">
        <f t="shared" si="0"/>
        <v>59</v>
      </c>
      <c r="K6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60" s="6">
        <f ca="1">IF(IDNMaps[[#This Row],[Type]]="","",COUNTIF($K$1:IDNMaps[[#This Row],[Type]],IDNMaps[[#This Row],[Type]]))</f>
        <v>31</v>
      </c>
      <c r="M60" s="6" t="str">
        <f ca="1">IFERROR(VLOOKUP(IDNMaps[[#This Row],[Type]],RecordCount[],6,0)&amp;"-"&amp;IDNMaps[[#This Row],[Type Count]],"")</f>
        <v>Form Fields-31</v>
      </c>
      <c r="N60" s="6" t="str">
        <f ca="1">IFERROR(VLOOKUP(IDNMaps[[#This Row],[Primary]],INDIRECT(VLOOKUP(IDNMaps[[#This Row],[Type]],RecordCount[],2,0)),VLOOKUP(IDNMaps[[#This Row],[Type]],RecordCount[],7,0),0),"")</f>
        <v>PartnerTask/TaskUpdateForm/remarks</v>
      </c>
      <c r="O60" s="6" t="str">
        <f ca="1">IF(IDNMaps[[#This Row],[Name]]="","","("&amp;IDNMaps[[#This Row],[Type]]&amp;") "&amp;IDNMaps[[#This Row],[Name]])</f>
        <v>(Fields) PartnerTask/TaskUpdateForm/remarks</v>
      </c>
      <c r="P60" s="6">
        <f ca="1">IFERROR(VLOOKUP(IDNMaps[[#This Row],[Primary]],INDIRECT(VLOOKUP(IDNMaps[[#This Row],[Type]],RecordCount[],2,0)),VLOOKUP(IDNMaps[[#This Row],[Type]],RecordCount[],8,0),0),"")</f>
        <v>801031</v>
      </c>
    </row>
    <row r="61" spans="10:16" x14ac:dyDescent="0.25">
      <c r="J61" s="11">
        <f t="shared" si="0"/>
        <v>60</v>
      </c>
      <c r="K6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61" s="6" t="str">
        <f ca="1">IF(IDNMaps[[#This Row],[Type]]="","",COUNTIF($K$1:IDNMaps[[#This Row],[Type]],IDNMaps[[#This Row],[Type]]))</f>
        <v/>
      </c>
      <c r="M61" s="6" t="str">
        <f ca="1">IFERROR(VLOOKUP(IDNMaps[[#This Row],[Type]],RecordCount[],6,0)&amp;"-"&amp;IDNMaps[[#This Row],[Type Count]],"")</f>
        <v/>
      </c>
      <c r="N61" s="6" t="str">
        <f ca="1">IFERROR(VLOOKUP(IDNMaps[[#This Row],[Primary]],INDIRECT(VLOOKUP(IDNMaps[[#This Row],[Type]],RecordCount[],2,0)),VLOOKUP(IDNMaps[[#This Row],[Type]],RecordCount[],7,0),0),"")</f>
        <v/>
      </c>
      <c r="O61" s="6" t="str">
        <f ca="1">IF(IDNMaps[[#This Row],[Name]]="","","("&amp;IDNMaps[[#This Row],[Type]]&amp;") "&amp;IDNMaps[[#This Row],[Name]])</f>
        <v/>
      </c>
      <c r="P61" s="6" t="str">
        <f ca="1">IFERROR(VLOOKUP(IDNMaps[[#This Row],[Primary]],INDIRECT(VLOOKUP(IDNMaps[[#This Row],[Type]],RecordCount[],2,0)),VLOOKUP(IDNMaps[[#This Row],[Type]],RecordCount[],8,0),0),"")</f>
        <v/>
      </c>
    </row>
    <row r="62" spans="10:16" x14ac:dyDescent="0.25">
      <c r="J62" s="11">
        <f t="shared" si="0"/>
        <v>61</v>
      </c>
      <c r="K6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62" s="6" t="str">
        <f ca="1">IF(IDNMaps[[#This Row],[Type]]="","",COUNTIF($K$1:IDNMaps[[#This Row],[Type]],IDNMaps[[#This Row],[Type]]))</f>
        <v/>
      </c>
      <c r="M62" s="6" t="str">
        <f ca="1">IFERROR(VLOOKUP(IDNMaps[[#This Row],[Type]],RecordCount[],6,0)&amp;"-"&amp;IDNMaps[[#This Row],[Type Count]],"")</f>
        <v/>
      </c>
      <c r="N62" s="6" t="str">
        <f ca="1">IFERROR(VLOOKUP(IDNMaps[[#This Row],[Primary]],INDIRECT(VLOOKUP(IDNMaps[[#This Row],[Type]],RecordCount[],2,0)),VLOOKUP(IDNMaps[[#This Row],[Type]],RecordCount[],7,0),0),"")</f>
        <v/>
      </c>
      <c r="O62" s="6" t="str">
        <f ca="1">IF(IDNMaps[[#This Row],[Name]]="","","("&amp;IDNMaps[[#This Row],[Type]]&amp;") "&amp;IDNMaps[[#This Row],[Name]])</f>
        <v/>
      </c>
      <c r="P62" s="6" t="str">
        <f ca="1">IFERROR(VLOOKUP(IDNMaps[[#This Row],[Primary]],INDIRECT(VLOOKUP(IDNMaps[[#This Row],[Type]],RecordCount[],2,0)),VLOOKUP(IDNMaps[[#This Row],[Type]],RecordCount[],8,0),0),"")</f>
        <v/>
      </c>
    </row>
    <row r="63" spans="10:16" x14ac:dyDescent="0.25">
      <c r="J63" s="11">
        <f t="shared" si="0"/>
        <v>62</v>
      </c>
      <c r="K6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63" s="6" t="str">
        <f ca="1">IF(IDNMaps[[#This Row],[Type]]="","",COUNTIF($K$1:IDNMaps[[#This Row],[Type]],IDNMaps[[#This Row],[Type]]))</f>
        <v/>
      </c>
      <c r="M63" s="6" t="str">
        <f ca="1">IFERROR(VLOOKUP(IDNMaps[[#This Row],[Type]],RecordCount[],6,0)&amp;"-"&amp;IDNMaps[[#This Row],[Type Count]],"")</f>
        <v/>
      </c>
      <c r="N63" s="6" t="str">
        <f ca="1">IFERROR(VLOOKUP(IDNMaps[[#This Row],[Primary]],INDIRECT(VLOOKUP(IDNMaps[[#This Row],[Type]],RecordCount[],2,0)),VLOOKUP(IDNMaps[[#This Row],[Type]],RecordCount[],7,0),0),"")</f>
        <v/>
      </c>
      <c r="O63" s="6" t="str">
        <f ca="1">IF(IDNMaps[[#This Row],[Name]]="","","("&amp;IDNMaps[[#This Row],[Type]]&amp;") "&amp;IDNMaps[[#This Row],[Name]])</f>
        <v/>
      </c>
      <c r="P63" s="6" t="str">
        <f ca="1">IFERROR(VLOOKUP(IDNMaps[[#This Row],[Primary]],INDIRECT(VLOOKUP(IDNMaps[[#This Row],[Type]],RecordCount[],2,0)),VLOOKUP(IDNMaps[[#This Row],[Type]],RecordCount[],8,0),0),"")</f>
        <v/>
      </c>
    </row>
    <row r="64" spans="10:16" x14ac:dyDescent="0.25">
      <c r="J64" s="11">
        <f t="shared" si="0"/>
        <v>63</v>
      </c>
      <c r="K6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64" s="6" t="str">
        <f ca="1">IF(IDNMaps[[#This Row],[Type]]="","",COUNTIF($K$1:IDNMaps[[#This Row],[Type]],IDNMaps[[#This Row],[Type]]))</f>
        <v/>
      </c>
      <c r="M64" s="6" t="str">
        <f ca="1">IFERROR(VLOOKUP(IDNMaps[[#This Row],[Type]],RecordCount[],6,0)&amp;"-"&amp;IDNMaps[[#This Row],[Type Count]],"")</f>
        <v/>
      </c>
      <c r="N64" s="6" t="str">
        <f ca="1">IFERROR(VLOOKUP(IDNMaps[[#This Row],[Primary]],INDIRECT(VLOOKUP(IDNMaps[[#This Row],[Type]],RecordCount[],2,0)),VLOOKUP(IDNMaps[[#This Row],[Type]],RecordCount[],7,0),0),"")</f>
        <v/>
      </c>
      <c r="O64" s="6" t="str">
        <f ca="1">IF(IDNMaps[[#This Row],[Name]]="","","("&amp;IDNMaps[[#This Row],[Type]]&amp;") "&amp;IDNMaps[[#This Row],[Name]])</f>
        <v/>
      </c>
      <c r="P64" s="6" t="str">
        <f ca="1">IFERROR(VLOOKUP(IDNMaps[[#This Row],[Primary]],INDIRECT(VLOOKUP(IDNMaps[[#This Row],[Type]],RecordCount[],2,0)),VLOOKUP(IDNMaps[[#This Row],[Type]],RecordCount[],8,0),0),"")</f>
        <v/>
      </c>
    </row>
    <row r="65" spans="10:16" x14ac:dyDescent="0.25">
      <c r="J65" s="11">
        <f t="shared" si="0"/>
        <v>64</v>
      </c>
      <c r="K6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65" s="6" t="str">
        <f ca="1">IF(IDNMaps[[#This Row],[Type]]="","",COUNTIF($K$1:IDNMaps[[#This Row],[Type]],IDNMaps[[#This Row],[Type]]))</f>
        <v/>
      </c>
      <c r="M65" s="6" t="str">
        <f ca="1">IFERROR(VLOOKUP(IDNMaps[[#This Row],[Type]],RecordCount[],6,0)&amp;"-"&amp;IDNMaps[[#This Row],[Type Count]],"")</f>
        <v/>
      </c>
      <c r="N65" s="6" t="str">
        <f ca="1">IFERROR(VLOOKUP(IDNMaps[[#This Row],[Primary]],INDIRECT(VLOOKUP(IDNMaps[[#This Row],[Type]],RecordCount[],2,0)),VLOOKUP(IDNMaps[[#This Row],[Type]],RecordCount[],7,0),0),"")</f>
        <v/>
      </c>
      <c r="O65" s="6" t="str">
        <f ca="1">IF(IDNMaps[[#This Row],[Name]]="","","("&amp;IDNMaps[[#This Row],[Type]]&amp;") "&amp;IDNMaps[[#This Row],[Name]])</f>
        <v/>
      </c>
      <c r="P65" s="6" t="str">
        <f ca="1">IFERROR(VLOOKUP(IDNMaps[[#This Row],[Primary]],INDIRECT(VLOOKUP(IDNMaps[[#This Row],[Type]],RecordCount[],2,0)),VLOOKUP(IDNMaps[[#This Row],[Type]],RecordCount[],8,0),0),"")</f>
        <v/>
      </c>
    </row>
    <row r="66" spans="10:16" x14ac:dyDescent="0.25">
      <c r="J66" s="11">
        <f t="shared" ref="J66:J129" si="1">IFERROR($J65+1,1)</f>
        <v>65</v>
      </c>
      <c r="K6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66" s="6" t="str">
        <f ca="1">IF(IDNMaps[[#This Row],[Type]]="","",COUNTIF($K$1:IDNMaps[[#This Row],[Type]],IDNMaps[[#This Row],[Type]]))</f>
        <v/>
      </c>
      <c r="M66" s="6" t="str">
        <f ca="1">IFERROR(VLOOKUP(IDNMaps[[#This Row],[Type]],RecordCount[],6,0)&amp;"-"&amp;IDNMaps[[#This Row],[Type Count]],"")</f>
        <v/>
      </c>
      <c r="N66" s="6" t="str">
        <f ca="1">IFERROR(VLOOKUP(IDNMaps[[#This Row],[Primary]],INDIRECT(VLOOKUP(IDNMaps[[#This Row],[Type]],RecordCount[],2,0)),VLOOKUP(IDNMaps[[#This Row],[Type]],RecordCount[],7,0),0),"")</f>
        <v/>
      </c>
      <c r="O66" s="6" t="str">
        <f ca="1">IF(IDNMaps[[#This Row],[Name]]="","","("&amp;IDNMaps[[#This Row],[Type]]&amp;") "&amp;IDNMaps[[#This Row],[Name]])</f>
        <v/>
      </c>
      <c r="P66" s="6" t="str">
        <f ca="1">IFERROR(VLOOKUP(IDNMaps[[#This Row],[Primary]],INDIRECT(VLOOKUP(IDNMaps[[#This Row],[Type]],RecordCount[],2,0)),VLOOKUP(IDNMaps[[#This Row],[Type]],RecordCount[],8,0),0),"")</f>
        <v/>
      </c>
    </row>
    <row r="67" spans="10:16" x14ac:dyDescent="0.25">
      <c r="J67" s="11">
        <f t="shared" si="1"/>
        <v>66</v>
      </c>
      <c r="K6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67" s="6" t="str">
        <f ca="1">IF(IDNMaps[[#This Row],[Type]]="","",COUNTIF($K$1:IDNMaps[[#This Row],[Type]],IDNMaps[[#This Row],[Type]]))</f>
        <v/>
      </c>
      <c r="M67" s="6" t="str">
        <f ca="1">IFERROR(VLOOKUP(IDNMaps[[#This Row],[Type]],RecordCount[],6,0)&amp;"-"&amp;IDNMaps[[#This Row],[Type Count]],"")</f>
        <v/>
      </c>
      <c r="N67" s="6" t="str">
        <f ca="1">IFERROR(VLOOKUP(IDNMaps[[#This Row],[Primary]],INDIRECT(VLOOKUP(IDNMaps[[#This Row],[Type]],RecordCount[],2,0)),VLOOKUP(IDNMaps[[#This Row],[Type]],RecordCount[],7,0),0),"")</f>
        <v/>
      </c>
      <c r="O67" s="6" t="str">
        <f ca="1">IF(IDNMaps[[#This Row],[Name]]="","","("&amp;IDNMaps[[#This Row],[Type]]&amp;") "&amp;IDNMaps[[#This Row],[Name]])</f>
        <v/>
      </c>
      <c r="P67" s="6" t="str">
        <f ca="1">IFERROR(VLOOKUP(IDNMaps[[#This Row],[Primary]],INDIRECT(VLOOKUP(IDNMaps[[#This Row],[Type]],RecordCount[],2,0)),VLOOKUP(IDNMaps[[#This Row],[Type]],RecordCount[],8,0),0),"")</f>
        <v/>
      </c>
    </row>
    <row r="68" spans="10:16" x14ac:dyDescent="0.25">
      <c r="J68" s="11">
        <f t="shared" si="1"/>
        <v>67</v>
      </c>
      <c r="K6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68" s="6" t="str">
        <f ca="1">IF(IDNMaps[[#This Row],[Type]]="","",COUNTIF($K$1:IDNMaps[[#This Row],[Type]],IDNMaps[[#This Row],[Type]]))</f>
        <v/>
      </c>
      <c r="M68" s="6" t="str">
        <f ca="1">IFERROR(VLOOKUP(IDNMaps[[#This Row],[Type]],RecordCount[],6,0)&amp;"-"&amp;IDNMaps[[#This Row],[Type Count]],"")</f>
        <v/>
      </c>
      <c r="N68" s="6" t="str">
        <f ca="1">IFERROR(VLOOKUP(IDNMaps[[#This Row],[Primary]],INDIRECT(VLOOKUP(IDNMaps[[#This Row],[Type]],RecordCount[],2,0)),VLOOKUP(IDNMaps[[#This Row],[Type]],RecordCount[],7,0),0),"")</f>
        <v/>
      </c>
      <c r="O68" s="6" t="str">
        <f ca="1">IF(IDNMaps[[#This Row],[Name]]="","","("&amp;IDNMaps[[#This Row],[Type]]&amp;") "&amp;IDNMaps[[#This Row],[Name]])</f>
        <v/>
      </c>
      <c r="P68" s="6" t="str">
        <f ca="1">IFERROR(VLOOKUP(IDNMaps[[#This Row],[Primary]],INDIRECT(VLOOKUP(IDNMaps[[#This Row],[Type]],RecordCount[],2,0)),VLOOKUP(IDNMaps[[#This Row],[Type]],RecordCount[],8,0),0),"")</f>
        <v/>
      </c>
    </row>
    <row r="69" spans="10:16" x14ac:dyDescent="0.25">
      <c r="J69" s="11">
        <f t="shared" si="1"/>
        <v>68</v>
      </c>
      <c r="K6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69" s="6" t="str">
        <f ca="1">IF(IDNMaps[[#This Row],[Type]]="","",COUNTIF($K$1:IDNMaps[[#This Row],[Type]],IDNMaps[[#This Row],[Type]]))</f>
        <v/>
      </c>
      <c r="M69" s="6" t="str">
        <f ca="1">IFERROR(VLOOKUP(IDNMaps[[#This Row],[Type]],RecordCount[],6,0)&amp;"-"&amp;IDNMaps[[#This Row],[Type Count]],"")</f>
        <v/>
      </c>
      <c r="N69" s="6" t="str">
        <f ca="1">IFERROR(VLOOKUP(IDNMaps[[#This Row],[Primary]],INDIRECT(VLOOKUP(IDNMaps[[#This Row],[Type]],RecordCount[],2,0)),VLOOKUP(IDNMaps[[#This Row],[Type]],RecordCount[],7,0),0),"")</f>
        <v/>
      </c>
      <c r="O69" s="6" t="str">
        <f ca="1">IF(IDNMaps[[#This Row],[Name]]="","","("&amp;IDNMaps[[#This Row],[Type]]&amp;") "&amp;IDNMaps[[#This Row],[Name]])</f>
        <v/>
      </c>
      <c r="P69" s="6" t="str">
        <f ca="1">IFERROR(VLOOKUP(IDNMaps[[#This Row],[Primary]],INDIRECT(VLOOKUP(IDNMaps[[#This Row],[Type]],RecordCount[],2,0)),VLOOKUP(IDNMaps[[#This Row],[Type]],RecordCount[],8,0),0),"")</f>
        <v/>
      </c>
    </row>
    <row r="70" spans="10:16" x14ac:dyDescent="0.25">
      <c r="J70" s="11">
        <f t="shared" si="1"/>
        <v>69</v>
      </c>
      <c r="K7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70" s="6" t="str">
        <f ca="1">IF(IDNMaps[[#This Row],[Type]]="","",COUNTIF($K$1:IDNMaps[[#This Row],[Type]],IDNMaps[[#This Row],[Type]]))</f>
        <v/>
      </c>
      <c r="M70" s="6" t="str">
        <f ca="1">IFERROR(VLOOKUP(IDNMaps[[#This Row],[Type]],RecordCount[],6,0)&amp;"-"&amp;IDNMaps[[#This Row],[Type Count]],"")</f>
        <v/>
      </c>
      <c r="N70" s="6" t="str">
        <f ca="1">IFERROR(VLOOKUP(IDNMaps[[#This Row],[Primary]],INDIRECT(VLOOKUP(IDNMaps[[#This Row],[Type]],RecordCount[],2,0)),VLOOKUP(IDNMaps[[#This Row],[Type]],RecordCount[],7,0),0),"")</f>
        <v/>
      </c>
      <c r="O70" s="6" t="str">
        <f ca="1">IF(IDNMaps[[#This Row],[Name]]="","","("&amp;IDNMaps[[#This Row],[Type]]&amp;") "&amp;IDNMaps[[#This Row],[Name]])</f>
        <v/>
      </c>
      <c r="P70" s="6" t="str">
        <f ca="1">IFERROR(VLOOKUP(IDNMaps[[#This Row],[Primary]],INDIRECT(VLOOKUP(IDNMaps[[#This Row],[Type]],RecordCount[],2,0)),VLOOKUP(IDNMaps[[#This Row],[Type]],RecordCount[],8,0),0),"")</f>
        <v/>
      </c>
    </row>
    <row r="71" spans="10:16" x14ac:dyDescent="0.25">
      <c r="J71" s="11">
        <f t="shared" si="1"/>
        <v>70</v>
      </c>
      <c r="K7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71" s="6" t="str">
        <f ca="1">IF(IDNMaps[[#This Row],[Type]]="","",COUNTIF($K$1:IDNMaps[[#This Row],[Type]],IDNMaps[[#This Row],[Type]]))</f>
        <v/>
      </c>
      <c r="M71" s="6" t="str">
        <f ca="1">IFERROR(VLOOKUP(IDNMaps[[#This Row],[Type]],RecordCount[],6,0)&amp;"-"&amp;IDNMaps[[#This Row],[Type Count]],"")</f>
        <v/>
      </c>
      <c r="N71" s="6" t="str">
        <f ca="1">IFERROR(VLOOKUP(IDNMaps[[#This Row],[Primary]],INDIRECT(VLOOKUP(IDNMaps[[#This Row],[Type]],RecordCount[],2,0)),VLOOKUP(IDNMaps[[#This Row],[Type]],RecordCount[],7,0),0),"")</f>
        <v/>
      </c>
      <c r="O71" s="6" t="str">
        <f ca="1">IF(IDNMaps[[#This Row],[Name]]="","","("&amp;IDNMaps[[#This Row],[Type]]&amp;") "&amp;IDNMaps[[#This Row],[Name]])</f>
        <v/>
      </c>
      <c r="P71" s="6" t="str">
        <f ca="1">IFERROR(VLOOKUP(IDNMaps[[#This Row],[Primary]],INDIRECT(VLOOKUP(IDNMaps[[#This Row],[Type]],RecordCount[],2,0)),VLOOKUP(IDNMaps[[#This Row],[Type]],RecordCount[],8,0),0),"")</f>
        <v/>
      </c>
    </row>
    <row r="72" spans="10:16" x14ac:dyDescent="0.25">
      <c r="J72" s="11">
        <f t="shared" si="1"/>
        <v>71</v>
      </c>
      <c r="K7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72" s="6" t="str">
        <f ca="1">IF(IDNMaps[[#This Row],[Type]]="","",COUNTIF($K$1:IDNMaps[[#This Row],[Type]],IDNMaps[[#This Row],[Type]]))</f>
        <v/>
      </c>
      <c r="M72" s="6" t="str">
        <f ca="1">IFERROR(VLOOKUP(IDNMaps[[#This Row],[Type]],RecordCount[],6,0)&amp;"-"&amp;IDNMaps[[#This Row],[Type Count]],"")</f>
        <v/>
      </c>
      <c r="N72" s="6" t="str">
        <f ca="1">IFERROR(VLOOKUP(IDNMaps[[#This Row],[Primary]],INDIRECT(VLOOKUP(IDNMaps[[#This Row],[Type]],RecordCount[],2,0)),VLOOKUP(IDNMaps[[#This Row],[Type]],RecordCount[],7,0),0),"")</f>
        <v/>
      </c>
      <c r="O72" s="6" t="str">
        <f ca="1">IF(IDNMaps[[#This Row],[Name]]="","","("&amp;IDNMaps[[#This Row],[Type]]&amp;") "&amp;IDNMaps[[#This Row],[Name]])</f>
        <v/>
      </c>
      <c r="P72" s="6" t="str">
        <f ca="1">IFERROR(VLOOKUP(IDNMaps[[#This Row],[Primary]],INDIRECT(VLOOKUP(IDNMaps[[#This Row],[Type]],RecordCount[],2,0)),VLOOKUP(IDNMaps[[#This Row],[Type]],RecordCount[],8,0),0),"")</f>
        <v/>
      </c>
    </row>
    <row r="73" spans="10:16" x14ac:dyDescent="0.25">
      <c r="J73" s="11">
        <f t="shared" si="1"/>
        <v>72</v>
      </c>
      <c r="K7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73" s="6" t="str">
        <f ca="1">IF(IDNMaps[[#This Row],[Type]]="","",COUNTIF($K$1:IDNMaps[[#This Row],[Type]],IDNMaps[[#This Row],[Type]]))</f>
        <v/>
      </c>
      <c r="M73" s="6" t="str">
        <f ca="1">IFERROR(VLOOKUP(IDNMaps[[#This Row],[Type]],RecordCount[],6,0)&amp;"-"&amp;IDNMaps[[#This Row],[Type Count]],"")</f>
        <v/>
      </c>
      <c r="N73" s="6" t="str">
        <f ca="1">IFERROR(VLOOKUP(IDNMaps[[#This Row],[Primary]],INDIRECT(VLOOKUP(IDNMaps[[#This Row],[Type]],RecordCount[],2,0)),VLOOKUP(IDNMaps[[#This Row],[Type]],RecordCount[],7,0),0),"")</f>
        <v/>
      </c>
      <c r="O73" s="6" t="str">
        <f ca="1">IF(IDNMaps[[#This Row],[Name]]="","","("&amp;IDNMaps[[#This Row],[Type]]&amp;") "&amp;IDNMaps[[#This Row],[Name]])</f>
        <v/>
      </c>
      <c r="P73" s="6" t="str">
        <f ca="1">IFERROR(VLOOKUP(IDNMaps[[#This Row],[Primary]],INDIRECT(VLOOKUP(IDNMaps[[#This Row],[Type]],RecordCount[],2,0)),VLOOKUP(IDNMaps[[#This Row],[Type]],RecordCount[],8,0),0),"")</f>
        <v/>
      </c>
    </row>
    <row r="74" spans="10:16" x14ac:dyDescent="0.25">
      <c r="J74" s="11">
        <f t="shared" si="1"/>
        <v>73</v>
      </c>
      <c r="K7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74" s="6" t="str">
        <f ca="1">IF(IDNMaps[[#This Row],[Type]]="","",COUNTIF($K$1:IDNMaps[[#This Row],[Type]],IDNMaps[[#This Row],[Type]]))</f>
        <v/>
      </c>
      <c r="M74" s="6" t="str">
        <f ca="1">IFERROR(VLOOKUP(IDNMaps[[#This Row],[Type]],RecordCount[],6,0)&amp;"-"&amp;IDNMaps[[#This Row],[Type Count]],"")</f>
        <v/>
      </c>
      <c r="N74" s="6" t="str">
        <f ca="1">IFERROR(VLOOKUP(IDNMaps[[#This Row],[Primary]],INDIRECT(VLOOKUP(IDNMaps[[#This Row],[Type]],RecordCount[],2,0)),VLOOKUP(IDNMaps[[#This Row],[Type]],RecordCount[],7,0),0),"")</f>
        <v/>
      </c>
      <c r="O74" s="6" t="str">
        <f ca="1">IF(IDNMaps[[#This Row],[Name]]="","","("&amp;IDNMaps[[#This Row],[Type]]&amp;") "&amp;IDNMaps[[#This Row],[Name]])</f>
        <v/>
      </c>
      <c r="P74" s="6" t="str">
        <f ca="1">IFERROR(VLOOKUP(IDNMaps[[#This Row],[Primary]],INDIRECT(VLOOKUP(IDNMaps[[#This Row],[Type]],RecordCount[],2,0)),VLOOKUP(IDNMaps[[#This Row],[Type]],RecordCount[],8,0),0),"")</f>
        <v/>
      </c>
    </row>
    <row r="75" spans="10:16" x14ac:dyDescent="0.25">
      <c r="J75" s="11">
        <f t="shared" si="1"/>
        <v>74</v>
      </c>
      <c r="K7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75" s="6" t="str">
        <f ca="1">IF(IDNMaps[[#This Row],[Type]]="","",COUNTIF($K$1:IDNMaps[[#This Row],[Type]],IDNMaps[[#This Row],[Type]]))</f>
        <v/>
      </c>
      <c r="M75" s="6" t="str">
        <f ca="1">IFERROR(VLOOKUP(IDNMaps[[#This Row],[Type]],RecordCount[],6,0)&amp;"-"&amp;IDNMaps[[#This Row],[Type Count]],"")</f>
        <v/>
      </c>
      <c r="N75" s="6" t="str">
        <f ca="1">IFERROR(VLOOKUP(IDNMaps[[#This Row],[Primary]],INDIRECT(VLOOKUP(IDNMaps[[#This Row],[Type]],RecordCount[],2,0)),VLOOKUP(IDNMaps[[#This Row],[Type]],RecordCount[],7,0),0),"")</f>
        <v/>
      </c>
      <c r="O75" s="6" t="str">
        <f ca="1">IF(IDNMaps[[#This Row],[Name]]="","","("&amp;IDNMaps[[#This Row],[Type]]&amp;") "&amp;IDNMaps[[#This Row],[Name]])</f>
        <v/>
      </c>
      <c r="P75" s="6" t="str">
        <f ca="1">IFERROR(VLOOKUP(IDNMaps[[#This Row],[Primary]],INDIRECT(VLOOKUP(IDNMaps[[#This Row],[Type]],RecordCount[],2,0)),VLOOKUP(IDNMaps[[#This Row],[Type]],RecordCount[],8,0),0),"")</f>
        <v/>
      </c>
    </row>
    <row r="76" spans="10:16" x14ac:dyDescent="0.25">
      <c r="J76" s="11">
        <f t="shared" si="1"/>
        <v>75</v>
      </c>
      <c r="K7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76" s="6" t="str">
        <f ca="1">IF(IDNMaps[[#This Row],[Type]]="","",COUNTIF($K$1:IDNMaps[[#This Row],[Type]],IDNMaps[[#This Row],[Type]]))</f>
        <v/>
      </c>
      <c r="M76" s="6" t="str">
        <f ca="1">IFERROR(VLOOKUP(IDNMaps[[#This Row],[Type]],RecordCount[],6,0)&amp;"-"&amp;IDNMaps[[#This Row],[Type Count]],"")</f>
        <v/>
      </c>
      <c r="N76" s="6" t="str">
        <f ca="1">IFERROR(VLOOKUP(IDNMaps[[#This Row],[Primary]],INDIRECT(VLOOKUP(IDNMaps[[#This Row],[Type]],RecordCount[],2,0)),VLOOKUP(IDNMaps[[#This Row],[Type]],RecordCount[],7,0),0),"")</f>
        <v/>
      </c>
      <c r="O76" s="6" t="str">
        <f ca="1">IF(IDNMaps[[#This Row],[Name]]="","","("&amp;IDNMaps[[#This Row],[Type]]&amp;") "&amp;IDNMaps[[#This Row],[Name]])</f>
        <v/>
      </c>
      <c r="P76" s="6" t="str">
        <f ca="1">IFERROR(VLOOKUP(IDNMaps[[#This Row],[Primary]],INDIRECT(VLOOKUP(IDNMaps[[#This Row],[Type]],RecordCount[],2,0)),VLOOKUP(IDNMaps[[#This Row],[Type]],RecordCount[],8,0),0),"")</f>
        <v/>
      </c>
    </row>
    <row r="77" spans="10:16" x14ac:dyDescent="0.25">
      <c r="J77" s="11">
        <f t="shared" si="1"/>
        <v>76</v>
      </c>
      <c r="K7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77" s="6" t="str">
        <f ca="1">IF(IDNMaps[[#This Row],[Type]]="","",COUNTIF($K$1:IDNMaps[[#This Row],[Type]],IDNMaps[[#This Row],[Type]]))</f>
        <v/>
      </c>
      <c r="M77" s="6" t="str">
        <f ca="1">IFERROR(VLOOKUP(IDNMaps[[#This Row],[Type]],RecordCount[],6,0)&amp;"-"&amp;IDNMaps[[#This Row],[Type Count]],"")</f>
        <v/>
      </c>
      <c r="N77" s="6" t="str">
        <f ca="1">IFERROR(VLOOKUP(IDNMaps[[#This Row],[Primary]],INDIRECT(VLOOKUP(IDNMaps[[#This Row],[Type]],RecordCount[],2,0)),VLOOKUP(IDNMaps[[#This Row],[Type]],RecordCount[],7,0),0),"")</f>
        <v/>
      </c>
      <c r="O77" s="6" t="str">
        <f ca="1">IF(IDNMaps[[#This Row],[Name]]="","","("&amp;IDNMaps[[#This Row],[Type]]&amp;") "&amp;IDNMaps[[#This Row],[Name]])</f>
        <v/>
      </c>
      <c r="P77" s="6" t="str">
        <f ca="1">IFERROR(VLOOKUP(IDNMaps[[#This Row],[Primary]],INDIRECT(VLOOKUP(IDNMaps[[#This Row],[Type]],RecordCount[],2,0)),VLOOKUP(IDNMaps[[#This Row],[Type]],RecordCount[],8,0),0),"")</f>
        <v/>
      </c>
    </row>
    <row r="78" spans="10:16" x14ac:dyDescent="0.25">
      <c r="J78" s="11">
        <f t="shared" si="1"/>
        <v>77</v>
      </c>
      <c r="K7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78" s="6" t="str">
        <f ca="1">IF(IDNMaps[[#This Row],[Type]]="","",COUNTIF($K$1:IDNMaps[[#This Row],[Type]],IDNMaps[[#This Row],[Type]]))</f>
        <v/>
      </c>
      <c r="M78" s="6" t="str">
        <f ca="1">IFERROR(VLOOKUP(IDNMaps[[#This Row],[Type]],RecordCount[],6,0)&amp;"-"&amp;IDNMaps[[#This Row],[Type Count]],"")</f>
        <v/>
      </c>
      <c r="N78" s="6" t="str">
        <f ca="1">IFERROR(VLOOKUP(IDNMaps[[#This Row],[Primary]],INDIRECT(VLOOKUP(IDNMaps[[#This Row],[Type]],RecordCount[],2,0)),VLOOKUP(IDNMaps[[#This Row],[Type]],RecordCount[],7,0),0),"")</f>
        <v/>
      </c>
      <c r="O78" s="6" t="str">
        <f ca="1">IF(IDNMaps[[#This Row],[Name]]="","","("&amp;IDNMaps[[#This Row],[Type]]&amp;") "&amp;IDNMaps[[#This Row],[Name]])</f>
        <v/>
      </c>
      <c r="P78" s="6" t="str">
        <f ca="1">IFERROR(VLOOKUP(IDNMaps[[#This Row],[Primary]],INDIRECT(VLOOKUP(IDNMaps[[#This Row],[Type]],RecordCount[],2,0)),VLOOKUP(IDNMaps[[#This Row],[Type]],RecordCount[],8,0),0),"")</f>
        <v/>
      </c>
    </row>
    <row r="79" spans="10:16" x14ac:dyDescent="0.25">
      <c r="J79" s="11">
        <f t="shared" si="1"/>
        <v>78</v>
      </c>
      <c r="K7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79" s="6" t="str">
        <f ca="1">IF(IDNMaps[[#This Row],[Type]]="","",COUNTIF($K$1:IDNMaps[[#This Row],[Type]],IDNMaps[[#This Row],[Type]]))</f>
        <v/>
      </c>
      <c r="M79" s="6" t="str">
        <f ca="1">IFERROR(VLOOKUP(IDNMaps[[#This Row],[Type]],RecordCount[],6,0)&amp;"-"&amp;IDNMaps[[#This Row],[Type Count]],"")</f>
        <v/>
      </c>
      <c r="N79" s="6" t="str">
        <f ca="1">IFERROR(VLOOKUP(IDNMaps[[#This Row],[Primary]],INDIRECT(VLOOKUP(IDNMaps[[#This Row],[Type]],RecordCount[],2,0)),VLOOKUP(IDNMaps[[#This Row],[Type]],RecordCount[],7,0),0),"")</f>
        <v/>
      </c>
      <c r="O79" s="6" t="str">
        <f ca="1">IF(IDNMaps[[#This Row],[Name]]="","","("&amp;IDNMaps[[#This Row],[Type]]&amp;") "&amp;IDNMaps[[#This Row],[Name]])</f>
        <v/>
      </c>
      <c r="P79" s="6" t="str">
        <f ca="1">IFERROR(VLOOKUP(IDNMaps[[#This Row],[Primary]],INDIRECT(VLOOKUP(IDNMaps[[#This Row],[Type]],RecordCount[],2,0)),VLOOKUP(IDNMaps[[#This Row],[Type]],RecordCount[],8,0),0),"")</f>
        <v/>
      </c>
    </row>
    <row r="80" spans="10:16" x14ac:dyDescent="0.25">
      <c r="J80" s="11">
        <f t="shared" si="1"/>
        <v>79</v>
      </c>
      <c r="K8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80" s="6" t="str">
        <f ca="1">IF(IDNMaps[[#This Row],[Type]]="","",COUNTIF($K$1:IDNMaps[[#This Row],[Type]],IDNMaps[[#This Row],[Type]]))</f>
        <v/>
      </c>
      <c r="M80" s="6" t="str">
        <f ca="1">IFERROR(VLOOKUP(IDNMaps[[#This Row],[Type]],RecordCount[],6,0)&amp;"-"&amp;IDNMaps[[#This Row],[Type Count]],"")</f>
        <v/>
      </c>
      <c r="N80" s="6" t="str">
        <f ca="1">IFERROR(VLOOKUP(IDNMaps[[#This Row],[Primary]],INDIRECT(VLOOKUP(IDNMaps[[#This Row],[Type]],RecordCount[],2,0)),VLOOKUP(IDNMaps[[#This Row],[Type]],RecordCount[],7,0),0),"")</f>
        <v/>
      </c>
      <c r="O80" s="6" t="str">
        <f ca="1">IF(IDNMaps[[#This Row],[Name]]="","","("&amp;IDNMaps[[#This Row],[Type]]&amp;") "&amp;IDNMaps[[#This Row],[Name]])</f>
        <v/>
      </c>
      <c r="P80" s="6" t="str">
        <f ca="1">IFERROR(VLOOKUP(IDNMaps[[#This Row],[Primary]],INDIRECT(VLOOKUP(IDNMaps[[#This Row],[Type]],RecordCount[],2,0)),VLOOKUP(IDNMaps[[#This Row],[Type]],RecordCount[],8,0),0),"")</f>
        <v/>
      </c>
    </row>
    <row r="81" spans="10:16" x14ac:dyDescent="0.25">
      <c r="J81" s="11">
        <f t="shared" si="1"/>
        <v>80</v>
      </c>
      <c r="K8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81" s="6" t="str">
        <f ca="1">IF(IDNMaps[[#This Row],[Type]]="","",COUNTIF($K$1:IDNMaps[[#This Row],[Type]],IDNMaps[[#This Row],[Type]]))</f>
        <v/>
      </c>
      <c r="M81" s="6" t="str">
        <f ca="1">IFERROR(VLOOKUP(IDNMaps[[#This Row],[Type]],RecordCount[],6,0)&amp;"-"&amp;IDNMaps[[#This Row],[Type Count]],"")</f>
        <v/>
      </c>
      <c r="N81" s="6" t="str">
        <f ca="1">IFERROR(VLOOKUP(IDNMaps[[#This Row],[Primary]],INDIRECT(VLOOKUP(IDNMaps[[#This Row],[Type]],RecordCount[],2,0)),VLOOKUP(IDNMaps[[#This Row],[Type]],RecordCount[],7,0),0),"")</f>
        <v/>
      </c>
      <c r="O81" s="6" t="str">
        <f ca="1">IF(IDNMaps[[#This Row],[Name]]="","","("&amp;IDNMaps[[#This Row],[Type]]&amp;") "&amp;IDNMaps[[#This Row],[Name]])</f>
        <v/>
      </c>
      <c r="P81" s="6" t="str">
        <f ca="1">IFERROR(VLOOKUP(IDNMaps[[#This Row],[Primary]],INDIRECT(VLOOKUP(IDNMaps[[#This Row],[Type]],RecordCount[],2,0)),VLOOKUP(IDNMaps[[#This Row],[Type]],RecordCount[],8,0),0),"")</f>
        <v/>
      </c>
    </row>
    <row r="82" spans="10:16" x14ac:dyDescent="0.25">
      <c r="J82" s="11">
        <f t="shared" si="1"/>
        <v>81</v>
      </c>
      <c r="K8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82" s="6" t="str">
        <f ca="1">IF(IDNMaps[[#This Row],[Type]]="","",COUNTIF($K$1:IDNMaps[[#This Row],[Type]],IDNMaps[[#This Row],[Type]]))</f>
        <v/>
      </c>
      <c r="M82" s="6" t="str">
        <f ca="1">IFERROR(VLOOKUP(IDNMaps[[#This Row],[Type]],RecordCount[],6,0)&amp;"-"&amp;IDNMaps[[#This Row],[Type Count]],"")</f>
        <v/>
      </c>
      <c r="N82" s="6" t="str">
        <f ca="1">IFERROR(VLOOKUP(IDNMaps[[#This Row],[Primary]],INDIRECT(VLOOKUP(IDNMaps[[#This Row],[Type]],RecordCount[],2,0)),VLOOKUP(IDNMaps[[#This Row],[Type]],RecordCount[],7,0),0),"")</f>
        <v/>
      </c>
      <c r="O82" s="6" t="str">
        <f ca="1">IF(IDNMaps[[#This Row],[Name]]="","","("&amp;IDNMaps[[#This Row],[Type]]&amp;") "&amp;IDNMaps[[#This Row],[Name]])</f>
        <v/>
      </c>
      <c r="P82" s="6" t="str">
        <f ca="1">IFERROR(VLOOKUP(IDNMaps[[#This Row],[Primary]],INDIRECT(VLOOKUP(IDNMaps[[#This Row],[Type]],RecordCount[],2,0)),VLOOKUP(IDNMaps[[#This Row],[Type]],RecordCount[],8,0),0),"")</f>
        <v/>
      </c>
    </row>
    <row r="83" spans="10:16" x14ac:dyDescent="0.25">
      <c r="J83" s="11">
        <f t="shared" si="1"/>
        <v>82</v>
      </c>
      <c r="K8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83" s="6" t="str">
        <f ca="1">IF(IDNMaps[[#This Row],[Type]]="","",COUNTIF($K$1:IDNMaps[[#This Row],[Type]],IDNMaps[[#This Row],[Type]]))</f>
        <v/>
      </c>
      <c r="M83" s="6" t="str">
        <f ca="1">IFERROR(VLOOKUP(IDNMaps[[#This Row],[Type]],RecordCount[],6,0)&amp;"-"&amp;IDNMaps[[#This Row],[Type Count]],"")</f>
        <v/>
      </c>
      <c r="N83" s="6" t="str">
        <f ca="1">IFERROR(VLOOKUP(IDNMaps[[#This Row],[Primary]],INDIRECT(VLOOKUP(IDNMaps[[#This Row],[Type]],RecordCount[],2,0)),VLOOKUP(IDNMaps[[#This Row],[Type]],RecordCount[],7,0),0),"")</f>
        <v/>
      </c>
      <c r="O83" s="6" t="str">
        <f ca="1">IF(IDNMaps[[#This Row],[Name]]="","","("&amp;IDNMaps[[#This Row],[Type]]&amp;") "&amp;IDNMaps[[#This Row],[Name]])</f>
        <v/>
      </c>
      <c r="P83" s="6" t="str">
        <f ca="1">IFERROR(VLOOKUP(IDNMaps[[#This Row],[Primary]],INDIRECT(VLOOKUP(IDNMaps[[#This Row],[Type]],RecordCount[],2,0)),VLOOKUP(IDNMaps[[#This Row],[Type]],RecordCount[],8,0),0),"")</f>
        <v/>
      </c>
    </row>
    <row r="84" spans="10:16" x14ac:dyDescent="0.25">
      <c r="J84" s="11">
        <f t="shared" si="1"/>
        <v>83</v>
      </c>
      <c r="K8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84" s="6" t="str">
        <f ca="1">IF(IDNMaps[[#This Row],[Type]]="","",COUNTIF($K$1:IDNMaps[[#This Row],[Type]],IDNMaps[[#This Row],[Type]]))</f>
        <v/>
      </c>
      <c r="M84" s="6" t="str">
        <f ca="1">IFERROR(VLOOKUP(IDNMaps[[#This Row],[Type]],RecordCount[],6,0)&amp;"-"&amp;IDNMaps[[#This Row],[Type Count]],"")</f>
        <v/>
      </c>
      <c r="N84" s="6" t="str">
        <f ca="1">IFERROR(VLOOKUP(IDNMaps[[#This Row],[Primary]],INDIRECT(VLOOKUP(IDNMaps[[#This Row],[Type]],RecordCount[],2,0)),VLOOKUP(IDNMaps[[#This Row],[Type]],RecordCount[],7,0),0),"")</f>
        <v/>
      </c>
      <c r="O84" s="6" t="str">
        <f ca="1">IF(IDNMaps[[#This Row],[Name]]="","","("&amp;IDNMaps[[#This Row],[Type]]&amp;") "&amp;IDNMaps[[#This Row],[Name]])</f>
        <v/>
      </c>
      <c r="P84" s="6" t="str">
        <f ca="1">IFERROR(VLOOKUP(IDNMaps[[#This Row],[Primary]],INDIRECT(VLOOKUP(IDNMaps[[#This Row],[Type]],RecordCount[],2,0)),VLOOKUP(IDNMaps[[#This Row],[Type]],RecordCount[],8,0),0),"")</f>
        <v/>
      </c>
    </row>
    <row r="85" spans="10:16" x14ac:dyDescent="0.25">
      <c r="J85" s="11">
        <f t="shared" si="1"/>
        <v>84</v>
      </c>
      <c r="K8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85" s="6" t="str">
        <f ca="1">IF(IDNMaps[[#This Row],[Type]]="","",COUNTIF($K$1:IDNMaps[[#This Row],[Type]],IDNMaps[[#This Row],[Type]]))</f>
        <v/>
      </c>
      <c r="M85" s="6" t="str">
        <f ca="1">IFERROR(VLOOKUP(IDNMaps[[#This Row],[Type]],RecordCount[],6,0)&amp;"-"&amp;IDNMaps[[#This Row],[Type Count]],"")</f>
        <v/>
      </c>
      <c r="N85" s="6" t="str">
        <f ca="1">IFERROR(VLOOKUP(IDNMaps[[#This Row],[Primary]],INDIRECT(VLOOKUP(IDNMaps[[#This Row],[Type]],RecordCount[],2,0)),VLOOKUP(IDNMaps[[#This Row],[Type]],RecordCount[],7,0),0),"")</f>
        <v/>
      </c>
      <c r="O85" s="6" t="str">
        <f ca="1">IF(IDNMaps[[#This Row],[Name]]="","","("&amp;IDNMaps[[#This Row],[Type]]&amp;") "&amp;IDNMaps[[#This Row],[Name]])</f>
        <v/>
      </c>
      <c r="P85" s="6" t="str">
        <f ca="1">IFERROR(VLOOKUP(IDNMaps[[#This Row],[Primary]],INDIRECT(VLOOKUP(IDNMaps[[#This Row],[Type]],RecordCount[],2,0)),VLOOKUP(IDNMaps[[#This Row],[Type]],RecordCount[],8,0),0),"")</f>
        <v/>
      </c>
    </row>
    <row r="86" spans="10:16" x14ac:dyDescent="0.25">
      <c r="J86" s="11">
        <f t="shared" si="1"/>
        <v>85</v>
      </c>
      <c r="K8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86" s="6" t="str">
        <f ca="1">IF(IDNMaps[[#This Row],[Type]]="","",COUNTIF($K$1:IDNMaps[[#This Row],[Type]],IDNMaps[[#This Row],[Type]]))</f>
        <v/>
      </c>
      <c r="M86" s="6" t="str">
        <f ca="1">IFERROR(VLOOKUP(IDNMaps[[#This Row],[Type]],RecordCount[],6,0)&amp;"-"&amp;IDNMaps[[#This Row],[Type Count]],"")</f>
        <v/>
      </c>
      <c r="N86" s="6" t="str">
        <f ca="1">IFERROR(VLOOKUP(IDNMaps[[#This Row],[Primary]],INDIRECT(VLOOKUP(IDNMaps[[#This Row],[Type]],RecordCount[],2,0)),VLOOKUP(IDNMaps[[#This Row],[Type]],RecordCount[],7,0),0),"")</f>
        <v/>
      </c>
      <c r="O86" s="6" t="str">
        <f ca="1">IF(IDNMaps[[#This Row],[Name]]="","","("&amp;IDNMaps[[#This Row],[Type]]&amp;") "&amp;IDNMaps[[#This Row],[Name]])</f>
        <v/>
      </c>
      <c r="P86" s="6" t="str">
        <f ca="1">IFERROR(VLOOKUP(IDNMaps[[#This Row],[Primary]],INDIRECT(VLOOKUP(IDNMaps[[#This Row],[Type]],RecordCount[],2,0)),VLOOKUP(IDNMaps[[#This Row],[Type]],RecordCount[],8,0),0),"")</f>
        <v/>
      </c>
    </row>
    <row r="87" spans="10:16" x14ac:dyDescent="0.25">
      <c r="J87" s="11">
        <f t="shared" si="1"/>
        <v>86</v>
      </c>
      <c r="K8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87" s="6" t="str">
        <f ca="1">IF(IDNMaps[[#This Row],[Type]]="","",COUNTIF($K$1:IDNMaps[[#This Row],[Type]],IDNMaps[[#This Row],[Type]]))</f>
        <v/>
      </c>
      <c r="M87" s="6" t="str">
        <f ca="1">IFERROR(VLOOKUP(IDNMaps[[#This Row],[Type]],RecordCount[],6,0)&amp;"-"&amp;IDNMaps[[#This Row],[Type Count]],"")</f>
        <v/>
      </c>
      <c r="N87" s="6" t="str">
        <f ca="1">IFERROR(VLOOKUP(IDNMaps[[#This Row],[Primary]],INDIRECT(VLOOKUP(IDNMaps[[#This Row],[Type]],RecordCount[],2,0)),VLOOKUP(IDNMaps[[#This Row],[Type]],RecordCount[],7,0),0),"")</f>
        <v/>
      </c>
      <c r="O87" s="6" t="str">
        <f ca="1">IF(IDNMaps[[#This Row],[Name]]="","","("&amp;IDNMaps[[#This Row],[Type]]&amp;") "&amp;IDNMaps[[#This Row],[Name]])</f>
        <v/>
      </c>
      <c r="P87" s="6" t="str">
        <f ca="1">IFERROR(VLOOKUP(IDNMaps[[#This Row],[Primary]],INDIRECT(VLOOKUP(IDNMaps[[#This Row],[Type]],RecordCount[],2,0)),VLOOKUP(IDNMaps[[#This Row],[Type]],RecordCount[],8,0),0),"")</f>
        <v/>
      </c>
    </row>
    <row r="88" spans="10:16" x14ac:dyDescent="0.25">
      <c r="J88" s="11">
        <f t="shared" si="1"/>
        <v>87</v>
      </c>
      <c r="K8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88" s="6" t="str">
        <f ca="1">IF(IDNMaps[[#This Row],[Type]]="","",COUNTIF($K$1:IDNMaps[[#This Row],[Type]],IDNMaps[[#This Row],[Type]]))</f>
        <v/>
      </c>
      <c r="M88" s="6" t="str">
        <f ca="1">IFERROR(VLOOKUP(IDNMaps[[#This Row],[Type]],RecordCount[],6,0)&amp;"-"&amp;IDNMaps[[#This Row],[Type Count]],"")</f>
        <v/>
      </c>
      <c r="N88" s="6" t="str">
        <f ca="1">IFERROR(VLOOKUP(IDNMaps[[#This Row],[Primary]],INDIRECT(VLOOKUP(IDNMaps[[#This Row],[Type]],RecordCount[],2,0)),VLOOKUP(IDNMaps[[#This Row],[Type]],RecordCount[],7,0),0),"")</f>
        <v/>
      </c>
      <c r="O88" s="6" t="str">
        <f ca="1">IF(IDNMaps[[#This Row],[Name]]="","","("&amp;IDNMaps[[#This Row],[Type]]&amp;") "&amp;IDNMaps[[#This Row],[Name]])</f>
        <v/>
      </c>
      <c r="P88" s="6" t="str">
        <f ca="1">IFERROR(VLOOKUP(IDNMaps[[#This Row],[Primary]],INDIRECT(VLOOKUP(IDNMaps[[#This Row],[Type]],RecordCount[],2,0)),VLOOKUP(IDNMaps[[#This Row],[Type]],RecordCount[],8,0),0),"")</f>
        <v/>
      </c>
    </row>
    <row r="89" spans="10:16" x14ac:dyDescent="0.25">
      <c r="J89" s="11">
        <f t="shared" si="1"/>
        <v>88</v>
      </c>
      <c r="K8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89" s="6" t="str">
        <f ca="1">IF(IDNMaps[[#This Row],[Type]]="","",COUNTIF($K$1:IDNMaps[[#This Row],[Type]],IDNMaps[[#This Row],[Type]]))</f>
        <v/>
      </c>
      <c r="M89" s="6" t="str">
        <f ca="1">IFERROR(VLOOKUP(IDNMaps[[#This Row],[Type]],RecordCount[],6,0)&amp;"-"&amp;IDNMaps[[#This Row],[Type Count]],"")</f>
        <v/>
      </c>
      <c r="N89" s="6" t="str">
        <f ca="1">IFERROR(VLOOKUP(IDNMaps[[#This Row],[Primary]],INDIRECT(VLOOKUP(IDNMaps[[#This Row],[Type]],RecordCount[],2,0)),VLOOKUP(IDNMaps[[#This Row],[Type]],RecordCount[],7,0),0),"")</f>
        <v/>
      </c>
      <c r="O89" s="6" t="str">
        <f ca="1">IF(IDNMaps[[#This Row],[Name]]="","","("&amp;IDNMaps[[#This Row],[Type]]&amp;") "&amp;IDNMaps[[#This Row],[Name]])</f>
        <v/>
      </c>
      <c r="P89" s="6" t="str">
        <f ca="1">IFERROR(VLOOKUP(IDNMaps[[#This Row],[Primary]],INDIRECT(VLOOKUP(IDNMaps[[#This Row],[Type]],RecordCount[],2,0)),VLOOKUP(IDNMaps[[#This Row],[Type]],RecordCount[],8,0),0),"")</f>
        <v/>
      </c>
    </row>
    <row r="90" spans="10:16" x14ac:dyDescent="0.25">
      <c r="J90" s="11">
        <f t="shared" si="1"/>
        <v>89</v>
      </c>
      <c r="K9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90" s="6" t="str">
        <f ca="1">IF(IDNMaps[[#This Row],[Type]]="","",COUNTIF($K$1:IDNMaps[[#This Row],[Type]],IDNMaps[[#This Row],[Type]]))</f>
        <v/>
      </c>
      <c r="M90" s="6" t="str">
        <f ca="1">IFERROR(VLOOKUP(IDNMaps[[#This Row],[Type]],RecordCount[],6,0)&amp;"-"&amp;IDNMaps[[#This Row],[Type Count]],"")</f>
        <v/>
      </c>
      <c r="N90" s="6" t="str">
        <f ca="1">IFERROR(VLOOKUP(IDNMaps[[#This Row],[Primary]],INDIRECT(VLOOKUP(IDNMaps[[#This Row],[Type]],RecordCount[],2,0)),VLOOKUP(IDNMaps[[#This Row],[Type]],RecordCount[],7,0),0),"")</f>
        <v/>
      </c>
      <c r="O90" s="6" t="str">
        <f ca="1">IF(IDNMaps[[#This Row],[Name]]="","","("&amp;IDNMaps[[#This Row],[Type]]&amp;") "&amp;IDNMaps[[#This Row],[Name]])</f>
        <v/>
      </c>
      <c r="P90" s="6" t="str">
        <f ca="1">IFERROR(VLOOKUP(IDNMaps[[#This Row],[Primary]],INDIRECT(VLOOKUP(IDNMaps[[#This Row],[Type]],RecordCount[],2,0)),VLOOKUP(IDNMaps[[#This Row],[Type]],RecordCount[],8,0),0),"")</f>
        <v/>
      </c>
    </row>
    <row r="91" spans="10:16" x14ac:dyDescent="0.25">
      <c r="J91" s="11">
        <f t="shared" si="1"/>
        <v>90</v>
      </c>
      <c r="K9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91" s="6" t="str">
        <f ca="1">IF(IDNMaps[[#This Row],[Type]]="","",COUNTIF($K$1:IDNMaps[[#This Row],[Type]],IDNMaps[[#This Row],[Type]]))</f>
        <v/>
      </c>
      <c r="M91" s="6" t="str">
        <f ca="1">IFERROR(VLOOKUP(IDNMaps[[#This Row],[Type]],RecordCount[],6,0)&amp;"-"&amp;IDNMaps[[#This Row],[Type Count]],"")</f>
        <v/>
      </c>
      <c r="N91" s="6" t="str">
        <f ca="1">IFERROR(VLOOKUP(IDNMaps[[#This Row],[Primary]],INDIRECT(VLOOKUP(IDNMaps[[#This Row],[Type]],RecordCount[],2,0)),VLOOKUP(IDNMaps[[#This Row],[Type]],RecordCount[],7,0),0),"")</f>
        <v/>
      </c>
      <c r="O91" s="6" t="str">
        <f ca="1">IF(IDNMaps[[#This Row],[Name]]="","","("&amp;IDNMaps[[#This Row],[Type]]&amp;") "&amp;IDNMaps[[#This Row],[Name]])</f>
        <v/>
      </c>
      <c r="P91" s="6" t="str">
        <f ca="1">IFERROR(VLOOKUP(IDNMaps[[#This Row],[Primary]],INDIRECT(VLOOKUP(IDNMaps[[#This Row],[Type]],RecordCount[],2,0)),VLOOKUP(IDNMaps[[#This Row],[Type]],RecordCount[],8,0),0),"")</f>
        <v/>
      </c>
    </row>
    <row r="92" spans="10:16" x14ac:dyDescent="0.25">
      <c r="J92" s="11">
        <f t="shared" si="1"/>
        <v>91</v>
      </c>
      <c r="K9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92" s="6" t="str">
        <f ca="1">IF(IDNMaps[[#This Row],[Type]]="","",COUNTIF($K$1:IDNMaps[[#This Row],[Type]],IDNMaps[[#This Row],[Type]]))</f>
        <v/>
      </c>
      <c r="M92" s="6" t="str">
        <f ca="1">IFERROR(VLOOKUP(IDNMaps[[#This Row],[Type]],RecordCount[],6,0)&amp;"-"&amp;IDNMaps[[#This Row],[Type Count]],"")</f>
        <v/>
      </c>
      <c r="N92" s="6" t="str">
        <f ca="1">IFERROR(VLOOKUP(IDNMaps[[#This Row],[Primary]],INDIRECT(VLOOKUP(IDNMaps[[#This Row],[Type]],RecordCount[],2,0)),VLOOKUP(IDNMaps[[#This Row],[Type]],RecordCount[],7,0),0),"")</f>
        <v/>
      </c>
      <c r="O92" s="6" t="str">
        <f ca="1">IF(IDNMaps[[#This Row],[Name]]="","","("&amp;IDNMaps[[#This Row],[Type]]&amp;") "&amp;IDNMaps[[#This Row],[Name]])</f>
        <v/>
      </c>
      <c r="P92" s="6" t="str">
        <f ca="1">IFERROR(VLOOKUP(IDNMaps[[#This Row],[Primary]],INDIRECT(VLOOKUP(IDNMaps[[#This Row],[Type]],RecordCount[],2,0)),VLOOKUP(IDNMaps[[#This Row],[Type]],RecordCount[],8,0),0),"")</f>
        <v/>
      </c>
    </row>
    <row r="93" spans="10:16" x14ac:dyDescent="0.25">
      <c r="J93" s="11">
        <f t="shared" si="1"/>
        <v>92</v>
      </c>
      <c r="K9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93" s="6" t="str">
        <f ca="1">IF(IDNMaps[[#This Row],[Type]]="","",COUNTIF($K$1:IDNMaps[[#This Row],[Type]],IDNMaps[[#This Row],[Type]]))</f>
        <v/>
      </c>
      <c r="M93" s="6" t="str">
        <f ca="1">IFERROR(VLOOKUP(IDNMaps[[#This Row],[Type]],RecordCount[],6,0)&amp;"-"&amp;IDNMaps[[#This Row],[Type Count]],"")</f>
        <v/>
      </c>
      <c r="N93" s="6" t="str">
        <f ca="1">IFERROR(VLOOKUP(IDNMaps[[#This Row],[Primary]],INDIRECT(VLOOKUP(IDNMaps[[#This Row],[Type]],RecordCount[],2,0)),VLOOKUP(IDNMaps[[#This Row],[Type]],RecordCount[],7,0),0),"")</f>
        <v/>
      </c>
      <c r="O93" s="6" t="str">
        <f ca="1">IF(IDNMaps[[#This Row],[Name]]="","","("&amp;IDNMaps[[#This Row],[Type]]&amp;") "&amp;IDNMaps[[#This Row],[Name]])</f>
        <v/>
      </c>
      <c r="P93" s="6" t="str">
        <f ca="1">IFERROR(VLOOKUP(IDNMaps[[#This Row],[Primary]],INDIRECT(VLOOKUP(IDNMaps[[#This Row],[Type]],RecordCount[],2,0)),VLOOKUP(IDNMaps[[#This Row],[Type]],RecordCount[],8,0),0),"")</f>
        <v/>
      </c>
    </row>
    <row r="94" spans="10:16" x14ac:dyDescent="0.25">
      <c r="J94" s="11">
        <f t="shared" si="1"/>
        <v>93</v>
      </c>
      <c r="K9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94" s="6" t="str">
        <f ca="1">IF(IDNMaps[[#This Row],[Type]]="","",COUNTIF($K$1:IDNMaps[[#This Row],[Type]],IDNMaps[[#This Row],[Type]]))</f>
        <v/>
      </c>
      <c r="M94" s="6" t="str">
        <f ca="1">IFERROR(VLOOKUP(IDNMaps[[#This Row],[Type]],RecordCount[],6,0)&amp;"-"&amp;IDNMaps[[#This Row],[Type Count]],"")</f>
        <v/>
      </c>
      <c r="N94" s="6" t="str">
        <f ca="1">IFERROR(VLOOKUP(IDNMaps[[#This Row],[Primary]],INDIRECT(VLOOKUP(IDNMaps[[#This Row],[Type]],RecordCount[],2,0)),VLOOKUP(IDNMaps[[#This Row],[Type]],RecordCount[],7,0),0),"")</f>
        <v/>
      </c>
      <c r="O94" s="6" t="str">
        <f ca="1">IF(IDNMaps[[#This Row],[Name]]="","","("&amp;IDNMaps[[#This Row],[Type]]&amp;") "&amp;IDNMaps[[#This Row],[Name]])</f>
        <v/>
      </c>
      <c r="P94" s="6" t="str">
        <f ca="1">IFERROR(VLOOKUP(IDNMaps[[#This Row],[Primary]],INDIRECT(VLOOKUP(IDNMaps[[#This Row],[Type]],RecordCount[],2,0)),VLOOKUP(IDNMaps[[#This Row],[Type]],RecordCount[],8,0),0),"")</f>
        <v/>
      </c>
    </row>
    <row r="95" spans="10:16" x14ac:dyDescent="0.25">
      <c r="J95" s="11">
        <f t="shared" si="1"/>
        <v>94</v>
      </c>
      <c r="K9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95" s="6" t="str">
        <f ca="1">IF(IDNMaps[[#This Row],[Type]]="","",COUNTIF($K$1:IDNMaps[[#This Row],[Type]],IDNMaps[[#This Row],[Type]]))</f>
        <v/>
      </c>
      <c r="M95" s="6" t="str">
        <f ca="1">IFERROR(VLOOKUP(IDNMaps[[#This Row],[Type]],RecordCount[],6,0)&amp;"-"&amp;IDNMaps[[#This Row],[Type Count]],"")</f>
        <v/>
      </c>
      <c r="N95" s="6" t="str">
        <f ca="1">IFERROR(VLOOKUP(IDNMaps[[#This Row],[Primary]],INDIRECT(VLOOKUP(IDNMaps[[#This Row],[Type]],RecordCount[],2,0)),VLOOKUP(IDNMaps[[#This Row],[Type]],RecordCount[],7,0),0),"")</f>
        <v/>
      </c>
      <c r="O95" s="6" t="str">
        <f ca="1">IF(IDNMaps[[#This Row],[Name]]="","","("&amp;IDNMaps[[#This Row],[Type]]&amp;") "&amp;IDNMaps[[#This Row],[Name]])</f>
        <v/>
      </c>
      <c r="P95" s="6" t="str">
        <f ca="1">IFERROR(VLOOKUP(IDNMaps[[#This Row],[Primary]],INDIRECT(VLOOKUP(IDNMaps[[#This Row],[Type]],RecordCount[],2,0)),VLOOKUP(IDNMaps[[#This Row],[Type]],RecordCount[],8,0),0),"")</f>
        <v/>
      </c>
    </row>
    <row r="96" spans="10:16" x14ac:dyDescent="0.25">
      <c r="J96" s="11">
        <f t="shared" si="1"/>
        <v>95</v>
      </c>
      <c r="K9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96" s="6" t="str">
        <f ca="1">IF(IDNMaps[[#This Row],[Type]]="","",COUNTIF($K$1:IDNMaps[[#This Row],[Type]],IDNMaps[[#This Row],[Type]]))</f>
        <v/>
      </c>
      <c r="M96" s="6" t="str">
        <f ca="1">IFERROR(VLOOKUP(IDNMaps[[#This Row],[Type]],RecordCount[],6,0)&amp;"-"&amp;IDNMaps[[#This Row],[Type Count]],"")</f>
        <v/>
      </c>
      <c r="N96" s="6" t="str">
        <f ca="1">IFERROR(VLOOKUP(IDNMaps[[#This Row],[Primary]],INDIRECT(VLOOKUP(IDNMaps[[#This Row],[Type]],RecordCount[],2,0)),VLOOKUP(IDNMaps[[#This Row],[Type]],RecordCount[],7,0),0),"")</f>
        <v/>
      </c>
      <c r="O96" s="6" t="str">
        <f ca="1">IF(IDNMaps[[#This Row],[Name]]="","","("&amp;IDNMaps[[#This Row],[Type]]&amp;") "&amp;IDNMaps[[#This Row],[Name]])</f>
        <v/>
      </c>
      <c r="P96" s="6" t="str">
        <f ca="1">IFERROR(VLOOKUP(IDNMaps[[#This Row],[Primary]],INDIRECT(VLOOKUP(IDNMaps[[#This Row],[Type]],RecordCount[],2,0)),VLOOKUP(IDNMaps[[#This Row],[Type]],RecordCount[],8,0),0),"")</f>
        <v/>
      </c>
    </row>
    <row r="97" spans="10:16" x14ac:dyDescent="0.25">
      <c r="J97" s="11">
        <f t="shared" si="1"/>
        <v>96</v>
      </c>
      <c r="K9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97" s="6" t="str">
        <f ca="1">IF(IDNMaps[[#This Row],[Type]]="","",COUNTIF($K$1:IDNMaps[[#This Row],[Type]],IDNMaps[[#This Row],[Type]]))</f>
        <v/>
      </c>
      <c r="M97" s="6" t="str">
        <f ca="1">IFERROR(VLOOKUP(IDNMaps[[#This Row],[Type]],RecordCount[],6,0)&amp;"-"&amp;IDNMaps[[#This Row],[Type Count]],"")</f>
        <v/>
      </c>
      <c r="N97" s="6" t="str">
        <f ca="1">IFERROR(VLOOKUP(IDNMaps[[#This Row],[Primary]],INDIRECT(VLOOKUP(IDNMaps[[#This Row],[Type]],RecordCount[],2,0)),VLOOKUP(IDNMaps[[#This Row],[Type]],RecordCount[],7,0),0),"")</f>
        <v/>
      </c>
      <c r="O97" s="6" t="str">
        <f ca="1">IF(IDNMaps[[#This Row],[Name]]="","","("&amp;IDNMaps[[#This Row],[Type]]&amp;") "&amp;IDNMaps[[#This Row],[Name]])</f>
        <v/>
      </c>
      <c r="P97" s="6" t="str">
        <f ca="1">IFERROR(VLOOKUP(IDNMaps[[#This Row],[Primary]],INDIRECT(VLOOKUP(IDNMaps[[#This Row],[Type]],RecordCount[],2,0)),VLOOKUP(IDNMaps[[#This Row],[Type]],RecordCount[],8,0),0),"")</f>
        <v/>
      </c>
    </row>
    <row r="98" spans="10:16" x14ac:dyDescent="0.25">
      <c r="J98" s="11">
        <f t="shared" si="1"/>
        <v>97</v>
      </c>
      <c r="K9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98" s="6" t="str">
        <f ca="1">IF(IDNMaps[[#This Row],[Type]]="","",COUNTIF($K$1:IDNMaps[[#This Row],[Type]],IDNMaps[[#This Row],[Type]]))</f>
        <v/>
      </c>
      <c r="M98" s="6" t="str">
        <f ca="1">IFERROR(VLOOKUP(IDNMaps[[#This Row],[Type]],RecordCount[],6,0)&amp;"-"&amp;IDNMaps[[#This Row],[Type Count]],"")</f>
        <v/>
      </c>
      <c r="N98" s="6" t="str">
        <f ca="1">IFERROR(VLOOKUP(IDNMaps[[#This Row],[Primary]],INDIRECT(VLOOKUP(IDNMaps[[#This Row],[Type]],RecordCount[],2,0)),VLOOKUP(IDNMaps[[#This Row],[Type]],RecordCount[],7,0),0),"")</f>
        <v/>
      </c>
      <c r="O98" s="6" t="str">
        <f ca="1">IF(IDNMaps[[#This Row],[Name]]="","","("&amp;IDNMaps[[#This Row],[Type]]&amp;") "&amp;IDNMaps[[#This Row],[Name]])</f>
        <v/>
      </c>
      <c r="P98" s="6" t="str">
        <f ca="1">IFERROR(VLOOKUP(IDNMaps[[#This Row],[Primary]],INDIRECT(VLOOKUP(IDNMaps[[#This Row],[Type]],RecordCount[],2,0)),VLOOKUP(IDNMaps[[#This Row],[Type]],RecordCount[],8,0),0),"")</f>
        <v/>
      </c>
    </row>
    <row r="99" spans="10:16" x14ac:dyDescent="0.25">
      <c r="J99" s="11">
        <f t="shared" si="1"/>
        <v>98</v>
      </c>
      <c r="K9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99" s="6" t="str">
        <f ca="1">IF(IDNMaps[[#This Row],[Type]]="","",COUNTIF($K$1:IDNMaps[[#This Row],[Type]],IDNMaps[[#This Row],[Type]]))</f>
        <v/>
      </c>
      <c r="M99" s="6" t="str">
        <f ca="1">IFERROR(VLOOKUP(IDNMaps[[#This Row],[Type]],RecordCount[],6,0)&amp;"-"&amp;IDNMaps[[#This Row],[Type Count]],"")</f>
        <v/>
      </c>
      <c r="N99" s="6" t="str">
        <f ca="1">IFERROR(VLOOKUP(IDNMaps[[#This Row],[Primary]],INDIRECT(VLOOKUP(IDNMaps[[#This Row],[Type]],RecordCount[],2,0)),VLOOKUP(IDNMaps[[#This Row],[Type]],RecordCount[],7,0),0),"")</f>
        <v/>
      </c>
      <c r="O99" s="6" t="str">
        <f ca="1">IF(IDNMaps[[#This Row],[Name]]="","","("&amp;IDNMaps[[#This Row],[Type]]&amp;") "&amp;IDNMaps[[#This Row],[Name]])</f>
        <v/>
      </c>
      <c r="P99" s="6" t="str">
        <f ca="1">IFERROR(VLOOKUP(IDNMaps[[#This Row],[Primary]],INDIRECT(VLOOKUP(IDNMaps[[#This Row],[Type]],RecordCount[],2,0)),VLOOKUP(IDNMaps[[#This Row],[Type]],RecordCount[],8,0),0),"")</f>
        <v/>
      </c>
    </row>
    <row r="100" spans="10:16" x14ac:dyDescent="0.25">
      <c r="J100" s="11">
        <f t="shared" si="1"/>
        <v>99</v>
      </c>
      <c r="K10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00" s="6" t="str">
        <f ca="1">IF(IDNMaps[[#This Row],[Type]]="","",COUNTIF($K$1:IDNMaps[[#This Row],[Type]],IDNMaps[[#This Row],[Type]]))</f>
        <v/>
      </c>
      <c r="M100" s="6" t="str">
        <f ca="1">IFERROR(VLOOKUP(IDNMaps[[#This Row],[Type]],RecordCount[],6,0)&amp;"-"&amp;IDNMaps[[#This Row],[Type Count]],"")</f>
        <v/>
      </c>
      <c r="N100" s="6" t="str">
        <f ca="1">IFERROR(VLOOKUP(IDNMaps[[#This Row],[Primary]],INDIRECT(VLOOKUP(IDNMaps[[#This Row],[Type]],RecordCount[],2,0)),VLOOKUP(IDNMaps[[#This Row],[Type]],RecordCount[],7,0),0),"")</f>
        <v/>
      </c>
      <c r="O100" s="6" t="str">
        <f ca="1">IF(IDNMaps[[#This Row],[Name]]="","","("&amp;IDNMaps[[#This Row],[Type]]&amp;") "&amp;IDNMaps[[#This Row],[Name]])</f>
        <v/>
      </c>
      <c r="P100" s="6" t="str">
        <f ca="1">IFERROR(VLOOKUP(IDNMaps[[#This Row],[Primary]],INDIRECT(VLOOKUP(IDNMaps[[#This Row],[Type]],RecordCount[],2,0)),VLOOKUP(IDNMaps[[#This Row],[Type]],RecordCount[],8,0),0),"")</f>
        <v/>
      </c>
    </row>
    <row r="101" spans="10:16" x14ac:dyDescent="0.25">
      <c r="J101" s="11">
        <f t="shared" si="1"/>
        <v>100</v>
      </c>
      <c r="K10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01" s="6" t="str">
        <f ca="1">IF(IDNMaps[[#This Row],[Type]]="","",COUNTIF($K$1:IDNMaps[[#This Row],[Type]],IDNMaps[[#This Row],[Type]]))</f>
        <v/>
      </c>
      <c r="M101" s="6" t="str">
        <f ca="1">IFERROR(VLOOKUP(IDNMaps[[#This Row],[Type]],RecordCount[],6,0)&amp;"-"&amp;IDNMaps[[#This Row],[Type Count]],"")</f>
        <v/>
      </c>
      <c r="N101" s="6" t="str">
        <f ca="1">IFERROR(VLOOKUP(IDNMaps[[#This Row],[Primary]],INDIRECT(VLOOKUP(IDNMaps[[#This Row],[Type]],RecordCount[],2,0)),VLOOKUP(IDNMaps[[#This Row],[Type]],RecordCount[],7,0),0),"")</f>
        <v/>
      </c>
      <c r="O101" s="6" t="str">
        <f ca="1">IF(IDNMaps[[#This Row],[Name]]="","","("&amp;IDNMaps[[#This Row],[Type]]&amp;") "&amp;IDNMaps[[#This Row],[Name]])</f>
        <v/>
      </c>
      <c r="P101" s="6" t="str">
        <f ca="1">IFERROR(VLOOKUP(IDNMaps[[#This Row],[Primary]],INDIRECT(VLOOKUP(IDNMaps[[#This Row],[Type]],RecordCount[],2,0)),VLOOKUP(IDNMaps[[#This Row],[Type]],RecordCount[],8,0),0),"")</f>
        <v/>
      </c>
    </row>
    <row r="102" spans="10:16" x14ac:dyDescent="0.25">
      <c r="J102" s="11">
        <f t="shared" si="1"/>
        <v>101</v>
      </c>
      <c r="K10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02" s="6" t="str">
        <f ca="1">IF(IDNMaps[[#This Row],[Type]]="","",COUNTIF($K$1:IDNMaps[[#This Row],[Type]],IDNMaps[[#This Row],[Type]]))</f>
        <v/>
      </c>
      <c r="M102" s="6" t="str">
        <f ca="1">IFERROR(VLOOKUP(IDNMaps[[#This Row],[Type]],RecordCount[],6,0)&amp;"-"&amp;IDNMaps[[#This Row],[Type Count]],"")</f>
        <v/>
      </c>
      <c r="N102" s="6" t="str">
        <f ca="1">IFERROR(VLOOKUP(IDNMaps[[#This Row],[Primary]],INDIRECT(VLOOKUP(IDNMaps[[#This Row],[Type]],RecordCount[],2,0)),VLOOKUP(IDNMaps[[#This Row],[Type]],RecordCount[],7,0),0),"")</f>
        <v/>
      </c>
      <c r="O102" s="6" t="str">
        <f ca="1">IF(IDNMaps[[#This Row],[Name]]="","","("&amp;IDNMaps[[#This Row],[Type]]&amp;") "&amp;IDNMaps[[#This Row],[Name]])</f>
        <v/>
      </c>
      <c r="P102" s="6" t="str">
        <f ca="1">IFERROR(VLOOKUP(IDNMaps[[#This Row],[Primary]],INDIRECT(VLOOKUP(IDNMaps[[#This Row],[Type]],RecordCount[],2,0)),VLOOKUP(IDNMaps[[#This Row],[Type]],RecordCount[],8,0),0),"")</f>
        <v/>
      </c>
    </row>
    <row r="103" spans="10:16" x14ac:dyDescent="0.25">
      <c r="J103" s="11">
        <f t="shared" si="1"/>
        <v>102</v>
      </c>
      <c r="K10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03" s="6" t="str">
        <f ca="1">IF(IDNMaps[[#This Row],[Type]]="","",COUNTIF($K$1:IDNMaps[[#This Row],[Type]],IDNMaps[[#This Row],[Type]]))</f>
        <v/>
      </c>
      <c r="M103" s="6" t="str">
        <f ca="1">IFERROR(VLOOKUP(IDNMaps[[#This Row],[Type]],RecordCount[],6,0)&amp;"-"&amp;IDNMaps[[#This Row],[Type Count]],"")</f>
        <v/>
      </c>
      <c r="N103" s="6" t="str">
        <f ca="1">IFERROR(VLOOKUP(IDNMaps[[#This Row],[Primary]],INDIRECT(VLOOKUP(IDNMaps[[#This Row],[Type]],RecordCount[],2,0)),VLOOKUP(IDNMaps[[#This Row],[Type]],RecordCount[],7,0),0),"")</f>
        <v/>
      </c>
      <c r="O103" s="6" t="str">
        <f ca="1">IF(IDNMaps[[#This Row],[Name]]="","","("&amp;IDNMaps[[#This Row],[Type]]&amp;") "&amp;IDNMaps[[#This Row],[Name]])</f>
        <v/>
      </c>
      <c r="P103" s="6" t="str">
        <f ca="1">IFERROR(VLOOKUP(IDNMaps[[#This Row],[Primary]],INDIRECT(VLOOKUP(IDNMaps[[#This Row],[Type]],RecordCount[],2,0)),VLOOKUP(IDNMaps[[#This Row],[Type]],RecordCount[],8,0),0),"")</f>
        <v/>
      </c>
    </row>
    <row r="104" spans="10:16" x14ac:dyDescent="0.25">
      <c r="J104" s="11">
        <f t="shared" si="1"/>
        <v>103</v>
      </c>
      <c r="K10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04" s="6" t="str">
        <f ca="1">IF(IDNMaps[[#This Row],[Type]]="","",COUNTIF($K$1:IDNMaps[[#This Row],[Type]],IDNMaps[[#This Row],[Type]]))</f>
        <v/>
      </c>
      <c r="M104" s="6" t="str">
        <f ca="1">IFERROR(VLOOKUP(IDNMaps[[#This Row],[Type]],RecordCount[],6,0)&amp;"-"&amp;IDNMaps[[#This Row],[Type Count]],"")</f>
        <v/>
      </c>
      <c r="N104" s="6" t="str">
        <f ca="1">IFERROR(VLOOKUP(IDNMaps[[#This Row],[Primary]],INDIRECT(VLOOKUP(IDNMaps[[#This Row],[Type]],RecordCount[],2,0)),VLOOKUP(IDNMaps[[#This Row],[Type]],RecordCount[],7,0),0),"")</f>
        <v/>
      </c>
      <c r="O104" s="6" t="str">
        <f ca="1">IF(IDNMaps[[#This Row],[Name]]="","","("&amp;IDNMaps[[#This Row],[Type]]&amp;") "&amp;IDNMaps[[#This Row],[Name]])</f>
        <v/>
      </c>
      <c r="P104" s="6" t="str">
        <f ca="1">IFERROR(VLOOKUP(IDNMaps[[#This Row],[Primary]],INDIRECT(VLOOKUP(IDNMaps[[#This Row],[Type]],RecordCount[],2,0)),VLOOKUP(IDNMaps[[#This Row],[Type]],RecordCount[],8,0),0),"")</f>
        <v/>
      </c>
    </row>
    <row r="105" spans="10:16" x14ac:dyDescent="0.25">
      <c r="J105" s="11">
        <f t="shared" si="1"/>
        <v>104</v>
      </c>
      <c r="K10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05" s="6" t="str">
        <f ca="1">IF(IDNMaps[[#This Row],[Type]]="","",COUNTIF($K$1:IDNMaps[[#This Row],[Type]],IDNMaps[[#This Row],[Type]]))</f>
        <v/>
      </c>
      <c r="M105" s="6" t="str">
        <f ca="1">IFERROR(VLOOKUP(IDNMaps[[#This Row],[Type]],RecordCount[],6,0)&amp;"-"&amp;IDNMaps[[#This Row],[Type Count]],"")</f>
        <v/>
      </c>
      <c r="N105" s="6" t="str">
        <f ca="1">IFERROR(VLOOKUP(IDNMaps[[#This Row],[Primary]],INDIRECT(VLOOKUP(IDNMaps[[#This Row],[Type]],RecordCount[],2,0)),VLOOKUP(IDNMaps[[#This Row],[Type]],RecordCount[],7,0),0),"")</f>
        <v/>
      </c>
      <c r="O105" s="6" t="str">
        <f ca="1">IF(IDNMaps[[#This Row],[Name]]="","","("&amp;IDNMaps[[#This Row],[Type]]&amp;") "&amp;IDNMaps[[#This Row],[Name]])</f>
        <v/>
      </c>
      <c r="P105" s="6" t="str">
        <f ca="1">IFERROR(VLOOKUP(IDNMaps[[#This Row],[Primary]],INDIRECT(VLOOKUP(IDNMaps[[#This Row],[Type]],RecordCount[],2,0)),VLOOKUP(IDNMaps[[#This Row],[Type]],RecordCount[],8,0),0),"")</f>
        <v/>
      </c>
    </row>
    <row r="106" spans="10:16" x14ac:dyDescent="0.25">
      <c r="J106" s="11">
        <f t="shared" si="1"/>
        <v>105</v>
      </c>
      <c r="K10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06" s="6" t="str">
        <f ca="1">IF(IDNMaps[[#This Row],[Type]]="","",COUNTIF($K$1:IDNMaps[[#This Row],[Type]],IDNMaps[[#This Row],[Type]]))</f>
        <v/>
      </c>
      <c r="M106" s="6" t="str">
        <f ca="1">IFERROR(VLOOKUP(IDNMaps[[#This Row],[Type]],RecordCount[],6,0)&amp;"-"&amp;IDNMaps[[#This Row],[Type Count]],"")</f>
        <v/>
      </c>
      <c r="N106" s="6" t="str">
        <f ca="1">IFERROR(VLOOKUP(IDNMaps[[#This Row],[Primary]],INDIRECT(VLOOKUP(IDNMaps[[#This Row],[Type]],RecordCount[],2,0)),VLOOKUP(IDNMaps[[#This Row],[Type]],RecordCount[],7,0),0),"")</f>
        <v/>
      </c>
      <c r="O106" s="6" t="str">
        <f ca="1">IF(IDNMaps[[#This Row],[Name]]="","","("&amp;IDNMaps[[#This Row],[Type]]&amp;") "&amp;IDNMaps[[#This Row],[Name]])</f>
        <v/>
      </c>
      <c r="P106" s="6" t="str">
        <f ca="1">IFERROR(VLOOKUP(IDNMaps[[#This Row],[Primary]],INDIRECT(VLOOKUP(IDNMaps[[#This Row],[Type]],RecordCount[],2,0)),VLOOKUP(IDNMaps[[#This Row],[Type]],RecordCount[],8,0),0),"")</f>
        <v/>
      </c>
    </row>
    <row r="107" spans="10:16" x14ac:dyDescent="0.25">
      <c r="J107" s="11">
        <f t="shared" si="1"/>
        <v>106</v>
      </c>
      <c r="K10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07" s="6" t="str">
        <f ca="1">IF(IDNMaps[[#This Row],[Type]]="","",COUNTIF($K$1:IDNMaps[[#This Row],[Type]],IDNMaps[[#This Row],[Type]]))</f>
        <v/>
      </c>
      <c r="M107" s="6" t="str">
        <f ca="1">IFERROR(VLOOKUP(IDNMaps[[#This Row],[Type]],RecordCount[],6,0)&amp;"-"&amp;IDNMaps[[#This Row],[Type Count]],"")</f>
        <v/>
      </c>
      <c r="N107" s="6" t="str">
        <f ca="1">IFERROR(VLOOKUP(IDNMaps[[#This Row],[Primary]],INDIRECT(VLOOKUP(IDNMaps[[#This Row],[Type]],RecordCount[],2,0)),VLOOKUP(IDNMaps[[#This Row],[Type]],RecordCount[],7,0),0),"")</f>
        <v/>
      </c>
      <c r="O107" s="6" t="str">
        <f ca="1">IF(IDNMaps[[#This Row],[Name]]="","","("&amp;IDNMaps[[#This Row],[Type]]&amp;") "&amp;IDNMaps[[#This Row],[Name]])</f>
        <v/>
      </c>
      <c r="P107" s="6" t="str">
        <f ca="1">IFERROR(VLOOKUP(IDNMaps[[#This Row],[Primary]],INDIRECT(VLOOKUP(IDNMaps[[#This Row],[Type]],RecordCount[],2,0)),VLOOKUP(IDNMaps[[#This Row],[Type]],RecordCount[],8,0),0),"")</f>
        <v/>
      </c>
    </row>
    <row r="108" spans="10:16" x14ac:dyDescent="0.25">
      <c r="J108" s="11">
        <f t="shared" si="1"/>
        <v>107</v>
      </c>
      <c r="K10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08" s="6" t="str">
        <f ca="1">IF(IDNMaps[[#This Row],[Type]]="","",COUNTIF($K$1:IDNMaps[[#This Row],[Type]],IDNMaps[[#This Row],[Type]]))</f>
        <v/>
      </c>
      <c r="M108" s="6" t="str">
        <f ca="1">IFERROR(VLOOKUP(IDNMaps[[#This Row],[Type]],RecordCount[],6,0)&amp;"-"&amp;IDNMaps[[#This Row],[Type Count]],"")</f>
        <v/>
      </c>
      <c r="N108" s="6" t="str">
        <f ca="1">IFERROR(VLOOKUP(IDNMaps[[#This Row],[Primary]],INDIRECT(VLOOKUP(IDNMaps[[#This Row],[Type]],RecordCount[],2,0)),VLOOKUP(IDNMaps[[#This Row],[Type]],RecordCount[],7,0),0),"")</f>
        <v/>
      </c>
      <c r="O108" s="6" t="str">
        <f ca="1">IF(IDNMaps[[#This Row],[Name]]="","","("&amp;IDNMaps[[#This Row],[Type]]&amp;") "&amp;IDNMaps[[#This Row],[Name]])</f>
        <v/>
      </c>
      <c r="P108" s="6" t="str">
        <f ca="1">IFERROR(VLOOKUP(IDNMaps[[#This Row],[Primary]],INDIRECT(VLOOKUP(IDNMaps[[#This Row],[Type]],RecordCount[],2,0)),VLOOKUP(IDNMaps[[#This Row],[Type]],RecordCount[],8,0),0),"")</f>
        <v/>
      </c>
    </row>
    <row r="109" spans="10:16" x14ac:dyDescent="0.25">
      <c r="J109" s="11">
        <f t="shared" si="1"/>
        <v>108</v>
      </c>
      <c r="K10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09" s="6" t="str">
        <f ca="1">IF(IDNMaps[[#This Row],[Type]]="","",COUNTIF($K$1:IDNMaps[[#This Row],[Type]],IDNMaps[[#This Row],[Type]]))</f>
        <v/>
      </c>
      <c r="M109" s="6" t="str">
        <f ca="1">IFERROR(VLOOKUP(IDNMaps[[#This Row],[Type]],RecordCount[],6,0)&amp;"-"&amp;IDNMaps[[#This Row],[Type Count]],"")</f>
        <v/>
      </c>
      <c r="N109" s="6" t="str">
        <f ca="1">IFERROR(VLOOKUP(IDNMaps[[#This Row],[Primary]],INDIRECT(VLOOKUP(IDNMaps[[#This Row],[Type]],RecordCount[],2,0)),VLOOKUP(IDNMaps[[#This Row],[Type]],RecordCount[],7,0),0),"")</f>
        <v/>
      </c>
      <c r="O109" s="6" t="str">
        <f ca="1">IF(IDNMaps[[#This Row],[Name]]="","","("&amp;IDNMaps[[#This Row],[Type]]&amp;") "&amp;IDNMaps[[#This Row],[Name]])</f>
        <v/>
      </c>
      <c r="P109" s="6" t="str">
        <f ca="1">IFERROR(VLOOKUP(IDNMaps[[#This Row],[Primary]],INDIRECT(VLOOKUP(IDNMaps[[#This Row],[Type]],RecordCount[],2,0)),VLOOKUP(IDNMaps[[#This Row],[Type]],RecordCount[],8,0),0),"")</f>
        <v/>
      </c>
    </row>
    <row r="110" spans="10:16" x14ac:dyDescent="0.25">
      <c r="J110" s="11">
        <f t="shared" si="1"/>
        <v>109</v>
      </c>
      <c r="K11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10" s="6" t="str">
        <f ca="1">IF(IDNMaps[[#This Row],[Type]]="","",COUNTIF($K$1:IDNMaps[[#This Row],[Type]],IDNMaps[[#This Row],[Type]]))</f>
        <v/>
      </c>
      <c r="M110" s="6" t="str">
        <f ca="1">IFERROR(VLOOKUP(IDNMaps[[#This Row],[Type]],RecordCount[],6,0)&amp;"-"&amp;IDNMaps[[#This Row],[Type Count]],"")</f>
        <v/>
      </c>
      <c r="N110" s="6" t="str">
        <f ca="1">IFERROR(VLOOKUP(IDNMaps[[#This Row],[Primary]],INDIRECT(VLOOKUP(IDNMaps[[#This Row],[Type]],RecordCount[],2,0)),VLOOKUP(IDNMaps[[#This Row],[Type]],RecordCount[],7,0),0),"")</f>
        <v/>
      </c>
      <c r="O110" s="6" t="str">
        <f ca="1">IF(IDNMaps[[#This Row],[Name]]="","","("&amp;IDNMaps[[#This Row],[Type]]&amp;") "&amp;IDNMaps[[#This Row],[Name]])</f>
        <v/>
      </c>
      <c r="P110" s="6" t="str">
        <f ca="1">IFERROR(VLOOKUP(IDNMaps[[#This Row],[Primary]],INDIRECT(VLOOKUP(IDNMaps[[#This Row],[Type]],RecordCount[],2,0)),VLOOKUP(IDNMaps[[#This Row],[Type]],RecordCount[],8,0),0),"")</f>
        <v/>
      </c>
    </row>
    <row r="111" spans="10:16" x14ac:dyDescent="0.25">
      <c r="J111" s="11">
        <f t="shared" si="1"/>
        <v>110</v>
      </c>
      <c r="K11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11" s="6" t="str">
        <f ca="1">IF(IDNMaps[[#This Row],[Type]]="","",COUNTIF($K$1:IDNMaps[[#This Row],[Type]],IDNMaps[[#This Row],[Type]]))</f>
        <v/>
      </c>
      <c r="M111" s="6" t="str">
        <f ca="1">IFERROR(VLOOKUP(IDNMaps[[#This Row],[Type]],RecordCount[],6,0)&amp;"-"&amp;IDNMaps[[#This Row],[Type Count]],"")</f>
        <v/>
      </c>
      <c r="N111" s="6" t="str">
        <f ca="1">IFERROR(VLOOKUP(IDNMaps[[#This Row],[Primary]],INDIRECT(VLOOKUP(IDNMaps[[#This Row],[Type]],RecordCount[],2,0)),VLOOKUP(IDNMaps[[#This Row],[Type]],RecordCount[],7,0),0),"")</f>
        <v/>
      </c>
      <c r="O111" s="6" t="str">
        <f ca="1">IF(IDNMaps[[#This Row],[Name]]="","","("&amp;IDNMaps[[#This Row],[Type]]&amp;") "&amp;IDNMaps[[#This Row],[Name]])</f>
        <v/>
      </c>
      <c r="P111" s="6" t="str">
        <f ca="1">IFERROR(VLOOKUP(IDNMaps[[#This Row],[Primary]],INDIRECT(VLOOKUP(IDNMaps[[#This Row],[Type]],RecordCount[],2,0)),VLOOKUP(IDNMaps[[#This Row],[Type]],RecordCount[],8,0),0),"")</f>
        <v/>
      </c>
    </row>
    <row r="112" spans="10:16" x14ac:dyDescent="0.25">
      <c r="J112" s="11">
        <f t="shared" si="1"/>
        <v>111</v>
      </c>
      <c r="K11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12" s="6" t="str">
        <f ca="1">IF(IDNMaps[[#This Row],[Type]]="","",COUNTIF($K$1:IDNMaps[[#This Row],[Type]],IDNMaps[[#This Row],[Type]]))</f>
        <v/>
      </c>
      <c r="M112" s="6" t="str">
        <f ca="1">IFERROR(VLOOKUP(IDNMaps[[#This Row],[Type]],RecordCount[],6,0)&amp;"-"&amp;IDNMaps[[#This Row],[Type Count]],"")</f>
        <v/>
      </c>
      <c r="N112" s="6" t="str">
        <f ca="1">IFERROR(VLOOKUP(IDNMaps[[#This Row],[Primary]],INDIRECT(VLOOKUP(IDNMaps[[#This Row],[Type]],RecordCount[],2,0)),VLOOKUP(IDNMaps[[#This Row],[Type]],RecordCount[],7,0),0),"")</f>
        <v/>
      </c>
      <c r="O112" s="6" t="str">
        <f ca="1">IF(IDNMaps[[#This Row],[Name]]="","","("&amp;IDNMaps[[#This Row],[Type]]&amp;") "&amp;IDNMaps[[#This Row],[Name]])</f>
        <v/>
      </c>
      <c r="P112" s="6" t="str">
        <f ca="1">IFERROR(VLOOKUP(IDNMaps[[#This Row],[Primary]],INDIRECT(VLOOKUP(IDNMaps[[#This Row],[Type]],RecordCount[],2,0)),VLOOKUP(IDNMaps[[#This Row],[Type]],RecordCount[],8,0),0),"")</f>
        <v/>
      </c>
    </row>
    <row r="113" spans="10:16" x14ac:dyDescent="0.25">
      <c r="J113" s="11">
        <f t="shared" si="1"/>
        <v>112</v>
      </c>
      <c r="K11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13" s="6" t="str">
        <f ca="1">IF(IDNMaps[[#This Row],[Type]]="","",COUNTIF($K$1:IDNMaps[[#This Row],[Type]],IDNMaps[[#This Row],[Type]]))</f>
        <v/>
      </c>
      <c r="M113" s="6" t="str">
        <f ca="1">IFERROR(VLOOKUP(IDNMaps[[#This Row],[Type]],RecordCount[],6,0)&amp;"-"&amp;IDNMaps[[#This Row],[Type Count]],"")</f>
        <v/>
      </c>
      <c r="N113" s="6" t="str">
        <f ca="1">IFERROR(VLOOKUP(IDNMaps[[#This Row],[Primary]],INDIRECT(VLOOKUP(IDNMaps[[#This Row],[Type]],RecordCount[],2,0)),VLOOKUP(IDNMaps[[#This Row],[Type]],RecordCount[],7,0),0),"")</f>
        <v/>
      </c>
      <c r="O113" s="6" t="str">
        <f ca="1">IF(IDNMaps[[#This Row],[Name]]="","","("&amp;IDNMaps[[#This Row],[Type]]&amp;") "&amp;IDNMaps[[#This Row],[Name]])</f>
        <v/>
      </c>
      <c r="P113" s="6" t="str">
        <f ca="1">IFERROR(VLOOKUP(IDNMaps[[#This Row],[Primary]],INDIRECT(VLOOKUP(IDNMaps[[#This Row],[Type]],RecordCount[],2,0)),VLOOKUP(IDNMaps[[#This Row],[Type]],RecordCount[],8,0),0),"")</f>
        <v/>
      </c>
    </row>
    <row r="114" spans="10:16" x14ac:dyDescent="0.25">
      <c r="J114" s="11">
        <f t="shared" si="1"/>
        <v>113</v>
      </c>
      <c r="K11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14" s="6" t="str">
        <f ca="1">IF(IDNMaps[[#This Row],[Type]]="","",COUNTIF($K$1:IDNMaps[[#This Row],[Type]],IDNMaps[[#This Row],[Type]]))</f>
        <v/>
      </c>
      <c r="M114" s="6" t="str">
        <f ca="1">IFERROR(VLOOKUP(IDNMaps[[#This Row],[Type]],RecordCount[],6,0)&amp;"-"&amp;IDNMaps[[#This Row],[Type Count]],"")</f>
        <v/>
      </c>
      <c r="N114" s="6" t="str">
        <f ca="1">IFERROR(VLOOKUP(IDNMaps[[#This Row],[Primary]],INDIRECT(VLOOKUP(IDNMaps[[#This Row],[Type]],RecordCount[],2,0)),VLOOKUP(IDNMaps[[#This Row],[Type]],RecordCount[],7,0),0),"")</f>
        <v/>
      </c>
      <c r="O114" s="6" t="str">
        <f ca="1">IF(IDNMaps[[#This Row],[Name]]="","","("&amp;IDNMaps[[#This Row],[Type]]&amp;") "&amp;IDNMaps[[#This Row],[Name]])</f>
        <v/>
      </c>
      <c r="P114" s="6" t="str">
        <f ca="1">IFERROR(VLOOKUP(IDNMaps[[#This Row],[Primary]],INDIRECT(VLOOKUP(IDNMaps[[#This Row],[Type]],RecordCount[],2,0)),VLOOKUP(IDNMaps[[#This Row],[Type]],RecordCount[],8,0),0),"")</f>
        <v/>
      </c>
    </row>
    <row r="115" spans="10:16" x14ac:dyDescent="0.25">
      <c r="J115" s="11">
        <f t="shared" si="1"/>
        <v>114</v>
      </c>
      <c r="K11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15" s="6" t="str">
        <f ca="1">IF(IDNMaps[[#This Row],[Type]]="","",COUNTIF($K$1:IDNMaps[[#This Row],[Type]],IDNMaps[[#This Row],[Type]]))</f>
        <v/>
      </c>
      <c r="M115" s="6" t="str">
        <f ca="1">IFERROR(VLOOKUP(IDNMaps[[#This Row],[Type]],RecordCount[],6,0)&amp;"-"&amp;IDNMaps[[#This Row],[Type Count]],"")</f>
        <v/>
      </c>
      <c r="N115" s="6" t="str">
        <f ca="1">IFERROR(VLOOKUP(IDNMaps[[#This Row],[Primary]],INDIRECT(VLOOKUP(IDNMaps[[#This Row],[Type]],RecordCount[],2,0)),VLOOKUP(IDNMaps[[#This Row],[Type]],RecordCount[],7,0),0),"")</f>
        <v/>
      </c>
      <c r="O115" s="6" t="str">
        <f ca="1">IF(IDNMaps[[#This Row],[Name]]="","","("&amp;IDNMaps[[#This Row],[Type]]&amp;") "&amp;IDNMaps[[#This Row],[Name]])</f>
        <v/>
      </c>
      <c r="P115" s="6" t="str">
        <f ca="1">IFERROR(VLOOKUP(IDNMaps[[#This Row],[Primary]],INDIRECT(VLOOKUP(IDNMaps[[#This Row],[Type]],RecordCount[],2,0)),VLOOKUP(IDNMaps[[#This Row],[Type]],RecordCount[],8,0),0),"")</f>
        <v/>
      </c>
    </row>
    <row r="116" spans="10:16" x14ac:dyDescent="0.25">
      <c r="J116" s="11">
        <f t="shared" si="1"/>
        <v>115</v>
      </c>
      <c r="K11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16" s="6" t="str">
        <f ca="1">IF(IDNMaps[[#This Row],[Type]]="","",COUNTIF($K$1:IDNMaps[[#This Row],[Type]],IDNMaps[[#This Row],[Type]]))</f>
        <v/>
      </c>
      <c r="M116" s="6" t="str">
        <f ca="1">IFERROR(VLOOKUP(IDNMaps[[#This Row],[Type]],RecordCount[],6,0)&amp;"-"&amp;IDNMaps[[#This Row],[Type Count]],"")</f>
        <v/>
      </c>
      <c r="N116" s="6" t="str">
        <f ca="1">IFERROR(VLOOKUP(IDNMaps[[#This Row],[Primary]],INDIRECT(VLOOKUP(IDNMaps[[#This Row],[Type]],RecordCount[],2,0)),VLOOKUP(IDNMaps[[#This Row],[Type]],RecordCount[],7,0),0),"")</f>
        <v/>
      </c>
      <c r="O116" s="6" t="str">
        <f ca="1">IF(IDNMaps[[#This Row],[Name]]="","","("&amp;IDNMaps[[#This Row],[Type]]&amp;") "&amp;IDNMaps[[#This Row],[Name]])</f>
        <v/>
      </c>
      <c r="P116" s="6" t="str">
        <f ca="1">IFERROR(VLOOKUP(IDNMaps[[#This Row],[Primary]],INDIRECT(VLOOKUP(IDNMaps[[#This Row],[Type]],RecordCount[],2,0)),VLOOKUP(IDNMaps[[#This Row],[Type]],RecordCount[],8,0),0),"")</f>
        <v/>
      </c>
    </row>
    <row r="117" spans="10:16" x14ac:dyDescent="0.25">
      <c r="J117" s="11">
        <f t="shared" si="1"/>
        <v>116</v>
      </c>
      <c r="K11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17" s="6" t="str">
        <f ca="1">IF(IDNMaps[[#This Row],[Type]]="","",COUNTIF($K$1:IDNMaps[[#This Row],[Type]],IDNMaps[[#This Row],[Type]]))</f>
        <v/>
      </c>
      <c r="M117" s="6" t="str">
        <f ca="1">IFERROR(VLOOKUP(IDNMaps[[#This Row],[Type]],RecordCount[],6,0)&amp;"-"&amp;IDNMaps[[#This Row],[Type Count]],"")</f>
        <v/>
      </c>
      <c r="N117" s="6" t="str">
        <f ca="1">IFERROR(VLOOKUP(IDNMaps[[#This Row],[Primary]],INDIRECT(VLOOKUP(IDNMaps[[#This Row],[Type]],RecordCount[],2,0)),VLOOKUP(IDNMaps[[#This Row],[Type]],RecordCount[],7,0),0),"")</f>
        <v/>
      </c>
      <c r="O117" s="6" t="str">
        <f ca="1">IF(IDNMaps[[#This Row],[Name]]="","","("&amp;IDNMaps[[#This Row],[Type]]&amp;") "&amp;IDNMaps[[#This Row],[Name]])</f>
        <v/>
      </c>
      <c r="P117" s="6" t="str">
        <f ca="1">IFERROR(VLOOKUP(IDNMaps[[#This Row],[Primary]],INDIRECT(VLOOKUP(IDNMaps[[#This Row],[Type]],RecordCount[],2,0)),VLOOKUP(IDNMaps[[#This Row],[Type]],RecordCount[],8,0),0),"")</f>
        <v/>
      </c>
    </row>
    <row r="118" spans="10:16" x14ac:dyDescent="0.25">
      <c r="J118" s="11">
        <f t="shared" si="1"/>
        <v>117</v>
      </c>
      <c r="K11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18" s="6" t="str">
        <f ca="1">IF(IDNMaps[[#This Row],[Type]]="","",COUNTIF($K$1:IDNMaps[[#This Row],[Type]],IDNMaps[[#This Row],[Type]]))</f>
        <v/>
      </c>
      <c r="M118" s="6" t="str">
        <f ca="1">IFERROR(VLOOKUP(IDNMaps[[#This Row],[Type]],RecordCount[],6,0)&amp;"-"&amp;IDNMaps[[#This Row],[Type Count]],"")</f>
        <v/>
      </c>
      <c r="N118" s="6" t="str">
        <f ca="1">IFERROR(VLOOKUP(IDNMaps[[#This Row],[Primary]],INDIRECT(VLOOKUP(IDNMaps[[#This Row],[Type]],RecordCount[],2,0)),VLOOKUP(IDNMaps[[#This Row],[Type]],RecordCount[],7,0),0),"")</f>
        <v/>
      </c>
      <c r="O118" s="6" t="str">
        <f ca="1">IF(IDNMaps[[#This Row],[Name]]="","","("&amp;IDNMaps[[#This Row],[Type]]&amp;") "&amp;IDNMaps[[#This Row],[Name]])</f>
        <v/>
      </c>
      <c r="P118" s="6" t="str">
        <f ca="1">IFERROR(VLOOKUP(IDNMaps[[#This Row],[Primary]],INDIRECT(VLOOKUP(IDNMaps[[#This Row],[Type]],RecordCount[],2,0)),VLOOKUP(IDNMaps[[#This Row],[Type]],RecordCount[],8,0),0),"")</f>
        <v/>
      </c>
    </row>
    <row r="119" spans="10:16" x14ac:dyDescent="0.25">
      <c r="J119" s="11">
        <f t="shared" si="1"/>
        <v>118</v>
      </c>
      <c r="K11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19" s="6" t="str">
        <f ca="1">IF(IDNMaps[[#This Row],[Type]]="","",COUNTIF($K$1:IDNMaps[[#This Row],[Type]],IDNMaps[[#This Row],[Type]]))</f>
        <v/>
      </c>
      <c r="M119" s="6" t="str">
        <f ca="1">IFERROR(VLOOKUP(IDNMaps[[#This Row],[Type]],RecordCount[],6,0)&amp;"-"&amp;IDNMaps[[#This Row],[Type Count]],"")</f>
        <v/>
      </c>
      <c r="N119" s="6" t="str">
        <f ca="1">IFERROR(VLOOKUP(IDNMaps[[#This Row],[Primary]],INDIRECT(VLOOKUP(IDNMaps[[#This Row],[Type]],RecordCount[],2,0)),VLOOKUP(IDNMaps[[#This Row],[Type]],RecordCount[],7,0),0),"")</f>
        <v/>
      </c>
      <c r="O119" s="6" t="str">
        <f ca="1">IF(IDNMaps[[#This Row],[Name]]="","","("&amp;IDNMaps[[#This Row],[Type]]&amp;") "&amp;IDNMaps[[#This Row],[Name]])</f>
        <v/>
      </c>
      <c r="P119" s="6" t="str">
        <f ca="1">IFERROR(VLOOKUP(IDNMaps[[#This Row],[Primary]],INDIRECT(VLOOKUP(IDNMaps[[#This Row],[Type]],RecordCount[],2,0)),VLOOKUP(IDNMaps[[#This Row],[Type]],RecordCount[],8,0),0),"")</f>
        <v/>
      </c>
    </row>
    <row r="120" spans="10:16" x14ac:dyDescent="0.25">
      <c r="J120" s="11">
        <f t="shared" si="1"/>
        <v>119</v>
      </c>
      <c r="K12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20" s="6" t="str">
        <f ca="1">IF(IDNMaps[[#This Row],[Type]]="","",COUNTIF($K$1:IDNMaps[[#This Row],[Type]],IDNMaps[[#This Row],[Type]]))</f>
        <v/>
      </c>
      <c r="M120" s="6" t="str">
        <f ca="1">IFERROR(VLOOKUP(IDNMaps[[#This Row],[Type]],RecordCount[],6,0)&amp;"-"&amp;IDNMaps[[#This Row],[Type Count]],"")</f>
        <v/>
      </c>
      <c r="N120" s="6" t="str">
        <f ca="1">IFERROR(VLOOKUP(IDNMaps[[#This Row],[Primary]],INDIRECT(VLOOKUP(IDNMaps[[#This Row],[Type]],RecordCount[],2,0)),VLOOKUP(IDNMaps[[#This Row],[Type]],RecordCount[],7,0),0),"")</f>
        <v/>
      </c>
      <c r="O120" s="6" t="str">
        <f ca="1">IF(IDNMaps[[#This Row],[Name]]="","","("&amp;IDNMaps[[#This Row],[Type]]&amp;") "&amp;IDNMaps[[#This Row],[Name]])</f>
        <v/>
      </c>
      <c r="P120" s="6" t="str">
        <f ca="1">IFERROR(VLOOKUP(IDNMaps[[#This Row],[Primary]],INDIRECT(VLOOKUP(IDNMaps[[#This Row],[Type]],RecordCount[],2,0)),VLOOKUP(IDNMaps[[#This Row],[Type]],RecordCount[],8,0),0),"")</f>
        <v/>
      </c>
    </row>
    <row r="121" spans="10:16" x14ac:dyDescent="0.25">
      <c r="J121" s="11">
        <f t="shared" si="1"/>
        <v>120</v>
      </c>
      <c r="K12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21" s="6" t="str">
        <f ca="1">IF(IDNMaps[[#This Row],[Type]]="","",COUNTIF($K$1:IDNMaps[[#This Row],[Type]],IDNMaps[[#This Row],[Type]]))</f>
        <v/>
      </c>
      <c r="M121" s="6" t="str">
        <f ca="1">IFERROR(VLOOKUP(IDNMaps[[#This Row],[Type]],RecordCount[],6,0)&amp;"-"&amp;IDNMaps[[#This Row],[Type Count]],"")</f>
        <v/>
      </c>
      <c r="N121" s="6" t="str">
        <f ca="1">IFERROR(VLOOKUP(IDNMaps[[#This Row],[Primary]],INDIRECT(VLOOKUP(IDNMaps[[#This Row],[Type]],RecordCount[],2,0)),VLOOKUP(IDNMaps[[#This Row],[Type]],RecordCount[],7,0),0),"")</f>
        <v/>
      </c>
      <c r="O121" s="6" t="str">
        <f ca="1">IF(IDNMaps[[#This Row],[Name]]="","","("&amp;IDNMaps[[#This Row],[Type]]&amp;") "&amp;IDNMaps[[#This Row],[Name]])</f>
        <v/>
      </c>
      <c r="P121" s="6" t="str">
        <f ca="1">IFERROR(VLOOKUP(IDNMaps[[#This Row],[Primary]],INDIRECT(VLOOKUP(IDNMaps[[#This Row],[Type]],RecordCount[],2,0)),VLOOKUP(IDNMaps[[#This Row],[Type]],RecordCount[],8,0),0),"")</f>
        <v/>
      </c>
    </row>
    <row r="122" spans="10:16" x14ac:dyDescent="0.25">
      <c r="J122" s="11">
        <f t="shared" si="1"/>
        <v>121</v>
      </c>
      <c r="K12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22" s="6" t="str">
        <f ca="1">IF(IDNMaps[[#This Row],[Type]]="","",COUNTIF($K$1:IDNMaps[[#This Row],[Type]],IDNMaps[[#This Row],[Type]]))</f>
        <v/>
      </c>
      <c r="M122" s="6" t="str">
        <f ca="1">IFERROR(VLOOKUP(IDNMaps[[#This Row],[Type]],RecordCount[],6,0)&amp;"-"&amp;IDNMaps[[#This Row],[Type Count]],"")</f>
        <v/>
      </c>
      <c r="N122" s="6" t="str">
        <f ca="1">IFERROR(VLOOKUP(IDNMaps[[#This Row],[Primary]],INDIRECT(VLOOKUP(IDNMaps[[#This Row],[Type]],RecordCount[],2,0)),VLOOKUP(IDNMaps[[#This Row],[Type]],RecordCount[],7,0),0),"")</f>
        <v/>
      </c>
      <c r="O122" s="6" t="str">
        <f ca="1">IF(IDNMaps[[#This Row],[Name]]="","","("&amp;IDNMaps[[#This Row],[Type]]&amp;") "&amp;IDNMaps[[#This Row],[Name]])</f>
        <v/>
      </c>
      <c r="P122" s="6" t="str">
        <f ca="1">IFERROR(VLOOKUP(IDNMaps[[#This Row],[Primary]],INDIRECT(VLOOKUP(IDNMaps[[#This Row],[Type]],RecordCount[],2,0)),VLOOKUP(IDNMaps[[#This Row],[Type]],RecordCount[],8,0),0),"")</f>
        <v/>
      </c>
    </row>
    <row r="123" spans="10:16" x14ac:dyDescent="0.25">
      <c r="J123" s="11">
        <f t="shared" si="1"/>
        <v>122</v>
      </c>
      <c r="K12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23" s="6" t="str">
        <f ca="1">IF(IDNMaps[[#This Row],[Type]]="","",COUNTIF($K$1:IDNMaps[[#This Row],[Type]],IDNMaps[[#This Row],[Type]]))</f>
        <v/>
      </c>
      <c r="M123" s="6" t="str">
        <f ca="1">IFERROR(VLOOKUP(IDNMaps[[#This Row],[Type]],RecordCount[],6,0)&amp;"-"&amp;IDNMaps[[#This Row],[Type Count]],"")</f>
        <v/>
      </c>
      <c r="N123" s="6" t="str">
        <f ca="1">IFERROR(VLOOKUP(IDNMaps[[#This Row],[Primary]],INDIRECT(VLOOKUP(IDNMaps[[#This Row],[Type]],RecordCount[],2,0)),VLOOKUP(IDNMaps[[#This Row],[Type]],RecordCount[],7,0),0),"")</f>
        <v/>
      </c>
      <c r="O123" s="6" t="str">
        <f ca="1">IF(IDNMaps[[#This Row],[Name]]="","","("&amp;IDNMaps[[#This Row],[Type]]&amp;") "&amp;IDNMaps[[#This Row],[Name]])</f>
        <v/>
      </c>
      <c r="P123" s="6" t="str">
        <f ca="1">IFERROR(VLOOKUP(IDNMaps[[#This Row],[Primary]],INDIRECT(VLOOKUP(IDNMaps[[#This Row],[Type]],RecordCount[],2,0)),VLOOKUP(IDNMaps[[#This Row],[Type]],RecordCount[],8,0),0),"")</f>
        <v/>
      </c>
    </row>
    <row r="124" spans="10:16" x14ac:dyDescent="0.25">
      <c r="J124" s="11">
        <f t="shared" si="1"/>
        <v>123</v>
      </c>
      <c r="K12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24" s="6" t="str">
        <f ca="1">IF(IDNMaps[[#This Row],[Type]]="","",COUNTIF($K$1:IDNMaps[[#This Row],[Type]],IDNMaps[[#This Row],[Type]]))</f>
        <v/>
      </c>
      <c r="M124" s="6" t="str">
        <f ca="1">IFERROR(VLOOKUP(IDNMaps[[#This Row],[Type]],RecordCount[],6,0)&amp;"-"&amp;IDNMaps[[#This Row],[Type Count]],"")</f>
        <v/>
      </c>
      <c r="N124" s="6" t="str">
        <f ca="1">IFERROR(VLOOKUP(IDNMaps[[#This Row],[Primary]],INDIRECT(VLOOKUP(IDNMaps[[#This Row],[Type]],RecordCount[],2,0)),VLOOKUP(IDNMaps[[#This Row],[Type]],RecordCount[],7,0),0),"")</f>
        <v/>
      </c>
      <c r="O124" s="6" t="str">
        <f ca="1">IF(IDNMaps[[#This Row],[Name]]="","","("&amp;IDNMaps[[#This Row],[Type]]&amp;") "&amp;IDNMaps[[#This Row],[Name]])</f>
        <v/>
      </c>
      <c r="P124" s="6" t="str">
        <f ca="1">IFERROR(VLOOKUP(IDNMaps[[#This Row],[Primary]],INDIRECT(VLOOKUP(IDNMaps[[#This Row],[Type]],RecordCount[],2,0)),VLOOKUP(IDNMaps[[#This Row],[Type]],RecordCount[],8,0),0),"")</f>
        <v/>
      </c>
    </row>
    <row r="125" spans="10:16" x14ac:dyDescent="0.25">
      <c r="J125" s="11">
        <f t="shared" si="1"/>
        <v>124</v>
      </c>
      <c r="K12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25" s="6" t="str">
        <f ca="1">IF(IDNMaps[[#This Row],[Type]]="","",COUNTIF($K$1:IDNMaps[[#This Row],[Type]],IDNMaps[[#This Row],[Type]]))</f>
        <v/>
      </c>
      <c r="M125" s="6" t="str">
        <f ca="1">IFERROR(VLOOKUP(IDNMaps[[#This Row],[Type]],RecordCount[],6,0)&amp;"-"&amp;IDNMaps[[#This Row],[Type Count]],"")</f>
        <v/>
      </c>
      <c r="N125" s="6" t="str">
        <f ca="1">IFERROR(VLOOKUP(IDNMaps[[#This Row],[Primary]],INDIRECT(VLOOKUP(IDNMaps[[#This Row],[Type]],RecordCount[],2,0)),VLOOKUP(IDNMaps[[#This Row],[Type]],RecordCount[],7,0),0),"")</f>
        <v/>
      </c>
      <c r="O125" s="6" t="str">
        <f ca="1">IF(IDNMaps[[#This Row],[Name]]="","","("&amp;IDNMaps[[#This Row],[Type]]&amp;") "&amp;IDNMaps[[#This Row],[Name]])</f>
        <v/>
      </c>
      <c r="P125" s="6" t="str">
        <f ca="1">IFERROR(VLOOKUP(IDNMaps[[#This Row],[Primary]],INDIRECT(VLOOKUP(IDNMaps[[#This Row],[Type]],RecordCount[],2,0)),VLOOKUP(IDNMaps[[#This Row],[Type]],RecordCount[],8,0),0),"")</f>
        <v/>
      </c>
    </row>
    <row r="126" spans="10:16" x14ac:dyDescent="0.25">
      <c r="J126" s="11">
        <f t="shared" si="1"/>
        <v>125</v>
      </c>
      <c r="K12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26" s="6" t="str">
        <f ca="1">IF(IDNMaps[[#This Row],[Type]]="","",COUNTIF($K$1:IDNMaps[[#This Row],[Type]],IDNMaps[[#This Row],[Type]]))</f>
        <v/>
      </c>
      <c r="M126" s="6" t="str">
        <f ca="1">IFERROR(VLOOKUP(IDNMaps[[#This Row],[Type]],RecordCount[],6,0)&amp;"-"&amp;IDNMaps[[#This Row],[Type Count]],"")</f>
        <v/>
      </c>
      <c r="N126" s="6" t="str">
        <f ca="1">IFERROR(VLOOKUP(IDNMaps[[#This Row],[Primary]],INDIRECT(VLOOKUP(IDNMaps[[#This Row],[Type]],RecordCount[],2,0)),VLOOKUP(IDNMaps[[#This Row],[Type]],RecordCount[],7,0),0),"")</f>
        <v/>
      </c>
      <c r="O126" s="6" t="str">
        <f ca="1">IF(IDNMaps[[#This Row],[Name]]="","","("&amp;IDNMaps[[#This Row],[Type]]&amp;") "&amp;IDNMaps[[#This Row],[Name]])</f>
        <v/>
      </c>
      <c r="P126" s="6" t="str">
        <f ca="1">IFERROR(VLOOKUP(IDNMaps[[#This Row],[Primary]],INDIRECT(VLOOKUP(IDNMaps[[#This Row],[Type]],RecordCount[],2,0)),VLOOKUP(IDNMaps[[#This Row],[Type]],RecordCount[],8,0),0),"")</f>
        <v/>
      </c>
    </row>
    <row r="127" spans="10:16" x14ac:dyDescent="0.25">
      <c r="J127" s="11">
        <f t="shared" si="1"/>
        <v>126</v>
      </c>
      <c r="K12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27" s="6" t="str">
        <f ca="1">IF(IDNMaps[[#This Row],[Type]]="","",COUNTIF($K$1:IDNMaps[[#This Row],[Type]],IDNMaps[[#This Row],[Type]]))</f>
        <v/>
      </c>
      <c r="M127" s="6" t="str">
        <f ca="1">IFERROR(VLOOKUP(IDNMaps[[#This Row],[Type]],RecordCount[],6,0)&amp;"-"&amp;IDNMaps[[#This Row],[Type Count]],"")</f>
        <v/>
      </c>
      <c r="N127" s="6" t="str">
        <f ca="1">IFERROR(VLOOKUP(IDNMaps[[#This Row],[Primary]],INDIRECT(VLOOKUP(IDNMaps[[#This Row],[Type]],RecordCount[],2,0)),VLOOKUP(IDNMaps[[#This Row],[Type]],RecordCount[],7,0),0),"")</f>
        <v/>
      </c>
      <c r="O127" s="6" t="str">
        <f ca="1">IF(IDNMaps[[#This Row],[Name]]="","","("&amp;IDNMaps[[#This Row],[Type]]&amp;") "&amp;IDNMaps[[#This Row],[Name]])</f>
        <v/>
      </c>
      <c r="P127" s="6" t="str">
        <f ca="1">IFERROR(VLOOKUP(IDNMaps[[#This Row],[Primary]],INDIRECT(VLOOKUP(IDNMaps[[#This Row],[Type]],RecordCount[],2,0)),VLOOKUP(IDNMaps[[#This Row],[Type]],RecordCount[],8,0),0),"")</f>
        <v/>
      </c>
    </row>
    <row r="128" spans="10:16" x14ac:dyDescent="0.25">
      <c r="J128" s="11">
        <f t="shared" si="1"/>
        <v>127</v>
      </c>
      <c r="K12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28" s="6" t="str">
        <f ca="1">IF(IDNMaps[[#This Row],[Type]]="","",COUNTIF($K$1:IDNMaps[[#This Row],[Type]],IDNMaps[[#This Row],[Type]]))</f>
        <v/>
      </c>
      <c r="M128" s="6" t="str">
        <f ca="1">IFERROR(VLOOKUP(IDNMaps[[#This Row],[Type]],RecordCount[],6,0)&amp;"-"&amp;IDNMaps[[#This Row],[Type Count]],"")</f>
        <v/>
      </c>
      <c r="N128" s="6" t="str">
        <f ca="1">IFERROR(VLOOKUP(IDNMaps[[#This Row],[Primary]],INDIRECT(VLOOKUP(IDNMaps[[#This Row],[Type]],RecordCount[],2,0)),VLOOKUP(IDNMaps[[#This Row],[Type]],RecordCount[],7,0),0),"")</f>
        <v/>
      </c>
      <c r="O128" s="6" t="str">
        <f ca="1">IF(IDNMaps[[#This Row],[Name]]="","","("&amp;IDNMaps[[#This Row],[Type]]&amp;") "&amp;IDNMaps[[#This Row],[Name]])</f>
        <v/>
      </c>
      <c r="P128" s="6" t="str">
        <f ca="1">IFERROR(VLOOKUP(IDNMaps[[#This Row],[Primary]],INDIRECT(VLOOKUP(IDNMaps[[#This Row],[Type]],RecordCount[],2,0)),VLOOKUP(IDNMaps[[#This Row],[Type]],RecordCount[],8,0),0),"")</f>
        <v/>
      </c>
    </row>
    <row r="129" spans="10:16" x14ac:dyDescent="0.25">
      <c r="J129" s="11">
        <f t="shared" si="1"/>
        <v>128</v>
      </c>
      <c r="K12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29" s="6" t="str">
        <f ca="1">IF(IDNMaps[[#This Row],[Type]]="","",COUNTIF($K$1:IDNMaps[[#This Row],[Type]],IDNMaps[[#This Row],[Type]]))</f>
        <v/>
      </c>
      <c r="M129" s="6" t="str">
        <f ca="1">IFERROR(VLOOKUP(IDNMaps[[#This Row],[Type]],RecordCount[],6,0)&amp;"-"&amp;IDNMaps[[#This Row],[Type Count]],"")</f>
        <v/>
      </c>
      <c r="N129" s="6" t="str">
        <f ca="1">IFERROR(VLOOKUP(IDNMaps[[#This Row],[Primary]],INDIRECT(VLOOKUP(IDNMaps[[#This Row],[Type]],RecordCount[],2,0)),VLOOKUP(IDNMaps[[#This Row],[Type]],RecordCount[],7,0),0),"")</f>
        <v/>
      </c>
      <c r="O129" s="6" t="str">
        <f ca="1">IF(IDNMaps[[#This Row],[Name]]="","","("&amp;IDNMaps[[#This Row],[Type]]&amp;") "&amp;IDNMaps[[#This Row],[Name]])</f>
        <v/>
      </c>
      <c r="P129" s="6" t="str">
        <f ca="1">IFERROR(VLOOKUP(IDNMaps[[#This Row],[Primary]],INDIRECT(VLOOKUP(IDNMaps[[#This Row],[Type]],RecordCount[],2,0)),VLOOKUP(IDNMaps[[#This Row],[Type]],RecordCount[],8,0),0),"")</f>
        <v/>
      </c>
    </row>
    <row r="130" spans="10:16" x14ac:dyDescent="0.25">
      <c r="J130" s="11">
        <f t="shared" ref="J130:J193" si="2">IFERROR($J129+1,1)</f>
        <v>129</v>
      </c>
      <c r="K13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30" s="6" t="str">
        <f ca="1">IF(IDNMaps[[#This Row],[Type]]="","",COUNTIF($K$1:IDNMaps[[#This Row],[Type]],IDNMaps[[#This Row],[Type]]))</f>
        <v/>
      </c>
      <c r="M130" s="6" t="str">
        <f ca="1">IFERROR(VLOOKUP(IDNMaps[[#This Row],[Type]],RecordCount[],6,0)&amp;"-"&amp;IDNMaps[[#This Row],[Type Count]],"")</f>
        <v/>
      </c>
      <c r="N130" s="6" t="str">
        <f ca="1">IFERROR(VLOOKUP(IDNMaps[[#This Row],[Primary]],INDIRECT(VLOOKUP(IDNMaps[[#This Row],[Type]],RecordCount[],2,0)),VLOOKUP(IDNMaps[[#This Row],[Type]],RecordCount[],7,0),0),"")</f>
        <v/>
      </c>
      <c r="O130" s="6" t="str">
        <f ca="1">IF(IDNMaps[[#This Row],[Name]]="","","("&amp;IDNMaps[[#This Row],[Type]]&amp;") "&amp;IDNMaps[[#This Row],[Name]])</f>
        <v/>
      </c>
      <c r="P130" s="6" t="str">
        <f ca="1">IFERROR(VLOOKUP(IDNMaps[[#This Row],[Primary]],INDIRECT(VLOOKUP(IDNMaps[[#This Row],[Type]],RecordCount[],2,0)),VLOOKUP(IDNMaps[[#This Row],[Type]],RecordCount[],8,0),0),"")</f>
        <v/>
      </c>
    </row>
    <row r="131" spans="10:16" x14ac:dyDescent="0.25">
      <c r="J131" s="11">
        <f t="shared" si="2"/>
        <v>130</v>
      </c>
      <c r="K13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31" s="6" t="str">
        <f ca="1">IF(IDNMaps[[#This Row],[Type]]="","",COUNTIF($K$1:IDNMaps[[#This Row],[Type]],IDNMaps[[#This Row],[Type]]))</f>
        <v/>
      </c>
      <c r="M131" s="6" t="str">
        <f ca="1">IFERROR(VLOOKUP(IDNMaps[[#This Row],[Type]],RecordCount[],6,0)&amp;"-"&amp;IDNMaps[[#This Row],[Type Count]],"")</f>
        <v/>
      </c>
      <c r="N131" s="6" t="str">
        <f ca="1">IFERROR(VLOOKUP(IDNMaps[[#This Row],[Primary]],INDIRECT(VLOOKUP(IDNMaps[[#This Row],[Type]],RecordCount[],2,0)),VLOOKUP(IDNMaps[[#This Row],[Type]],RecordCount[],7,0),0),"")</f>
        <v/>
      </c>
      <c r="O131" s="6" t="str">
        <f ca="1">IF(IDNMaps[[#This Row],[Name]]="","","("&amp;IDNMaps[[#This Row],[Type]]&amp;") "&amp;IDNMaps[[#This Row],[Name]])</f>
        <v/>
      </c>
      <c r="P131" s="6" t="str">
        <f ca="1">IFERROR(VLOOKUP(IDNMaps[[#This Row],[Primary]],INDIRECT(VLOOKUP(IDNMaps[[#This Row],[Type]],RecordCount[],2,0)),VLOOKUP(IDNMaps[[#This Row],[Type]],RecordCount[],8,0),0),"")</f>
        <v/>
      </c>
    </row>
    <row r="132" spans="10:16" x14ac:dyDescent="0.25">
      <c r="J132" s="11">
        <f t="shared" si="2"/>
        <v>131</v>
      </c>
      <c r="K13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32" s="6" t="str">
        <f ca="1">IF(IDNMaps[[#This Row],[Type]]="","",COUNTIF($K$1:IDNMaps[[#This Row],[Type]],IDNMaps[[#This Row],[Type]]))</f>
        <v/>
      </c>
      <c r="M132" s="6" t="str">
        <f ca="1">IFERROR(VLOOKUP(IDNMaps[[#This Row],[Type]],RecordCount[],6,0)&amp;"-"&amp;IDNMaps[[#This Row],[Type Count]],"")</f>
        <v/>
      </c>
      <c r="N132" s="6" t="str">
        <f ca="1">IFERROR(VLOOKUP(IDNMaps[[#This Row],[Primary]],INDIRECT(VLOOKUP(IDNMaps[[#This Row],[Type]],RecordCount[],2,0)),VLOOKUP(IDNMaps[[#This Row],[Type]],RecordCount[],7,0),0),"")</f>
        <v/>
      </c>
      <c r="O132" s="6" t="str">
        <f ca="1">IF(IDNMaps[[#This Row],[Name]]="","","("&amp;IDNMaps[[#This Row],[Type]]&amp;") "&amp;IDNMaps[[#This Row],[Name]])</f>
        <v/>
      </c>
      <c r="P132" s="6" t="str">
        <f ca="1">IFERROR(VLOOKUP(IDNMaps[[#This Row],[Primary]],INDIRECT(VLOOKUP(IDNMaps[[#This Row],[Type]],RecordCount[],2,0)),VLOOKUP(IDNMaps[[#This Row],[Type]],RecordCount[],8,0),0),"")</f>
        <v/>
      </c>
    </row>
    <row r="133" spans="10:16" x14ac:dyDescent="0.25">
      <c r="J133" s="11">
        <f t="shared" si="2"/>
        <v>132</v>
      </c>
      <c r="K13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33" s="6" t="str">
        <f ca="1">IF(IDNMaps[[#This Row],[Type]]="","",COUNTIF($K$1:IDNMaps[[#This Row],[Type]],IDNMaps[[#This Row],[Type]]))</f>
        <v/>
      </c>
      <c r="M133" s="6" t="str">
        <f ca="1">IFERROR(VLOOKUP(IDNMaps[[#This Row],[Type]],RecordCount[],6,0)&amp;"-"&amp;IDNMaps[[#This Row],[Type Count]],"")</f>
        <v/>
      </c>
      <c r="N133" s="6" t="str">
        <f ca="1">IFERROR(VLOOKUP(IDNMaps[[#This Row],[Primary]],INDIRECT(VLOOKUP(IDNMaps[[#This Row],[Type]],RecordCount[],2,0)),VLOOKUP(IDNMaps[[#This Row],[Type]],RecordCount[],7,0),0),"")</f>
        <v/>
      </c>
      <c r="O133" s="6" t="str">
        <f ca="1">IF(IDNMaps[[#This Row],[Name]]="","","("&amp;IDNMaps[[#This Row],[Type]]&amp;") "&amp;IDNMaps[[#This Row],[Name]])</f>
        <v/>
      </c>
      <c r="P133" s="6" t="str">
        <f ca="1">IFERROR(VLOOKUP(IDNMaps[[#This Row],[Primary]],INDIRECT(VLOOKUP(IDNMaps[[#This Row],[Type]],RecordCount[],2,0)),VLOOKUP(IDNMaps[[#This Row],[Type]],RecordCount[],8,0),0),"")</f>
        <v/>
      </c>
    </row>
    <row r="134" spans="10:16" x14ac:dyDescent="0.25">
      <c r="J134" s="11">
        <f t="shared" si="2"/>
        <v>133</v>
      </c>
      <c r="K13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34" s="6" t="str">
        <f ca="1">IF(IDNMaps[[#This Row],[Type]]="","",COUNTIF($K$1:IDNMaps[[#This Row],[Type]],IDNMaps[[#This Row],[Type]]))</f>
        <v/>
      </c>
      <c r="M134" s="6" t="str">
        <f ca="1">IFERROR(VLOOKUP(IDNMaps[[#This Row],[Type]],RecordCount[],6,0)&amp;"-"&amp;IDNMaps[[#This Row],[Type Count]],"")</f>
        <v/>
      </c>
      <c r="N134" s="6" t="str">
        <f ca="1">IFERROR(VLOOKUP(IDNMaps[[#This Row],[Primary]],INDIRECT(VLOOKUP(IDNMaps[[#This Row],[Type]],RecordCount[],2,0)),VLOOKUP(IDNMaps[[#This Row],[Type]],RecordCount[],7,0),0),"")</f>
        <v/>
      </c>
      <c r="O134" s="6" t="str">
        <f ca="1">IF(IDNMaps[[#This Row],[Name]]="","","("&amp;IDNMaps[[#This Row],[Type]]&amp;") "&amp;IDNMaps[[#This Row],[Name]])</f>
        <v/>
      </c>
      <c r="P134" s="6" t="str">
        <f ca="1">IFERROR(VLOOKUP(IDNMaps[[#This Row],[Primary]],INDIRECT(VLOOKUP(IDNMaps[[#This Row],[Type]],RecordCount[],2,0)),VLOOKUP(IDNMaps[[#This Row],[Type]],RecordCount[],8,0),0),"")</f>
        <v/>
      </c>
    </row>
    <row r="135" spans="10:16" x14ac:dyDescent="0.25">
      <c r="J135" s="11">
        <f t="shared" si="2"/>
        <v>134</v>
      </c>
      <c r="K13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35" s="6" t="str">
        <f ca="1">IF(IDNMaps[[#This Row],[Type]]="","",COUNTIF($K$1:IDNMaps[[#This Row],[Type]],IDNMaps[[#This Row],[Type]]))</f>
        <v/>
      </c>
      <c r="M135" s="6" t="str">
        <f ca="1">IFERROR(VLOOKUP(IDNMaps[[#This Row],[Type]],RecordCount[],6,0)&amp;"-"&amp;IDNMaps[[#This Row],[Type Count]],"")</f>
        <v/>
      </c>
      <c r="N135" s="6" t="str">
        <f ca="1">IFERROR(VLOOKUP(IDNMaps[[#This Row],[Primary]],INDIRECT(VLOOKUP(IDNMaps[[#This Row],[Type]],RecordCount[],2,0)),VLOOKUP(IDNMaps[[#This Row],[Type]],RecordCount[],7,0),0),"")</f>
        <v/>
      </c>
      <c r="O135" s="6" t="str">
        <f ca="1">IF(IDNMaps[[#This Row],[Name]]="","","("&amp;IDNMaps[[#This Row],[Type]]&amp;") "&amp;IDNMaps[[#This Row],[Name]])</f>
        <v/>
      </c>
      <c r="P135" s="6" t="str">
        <f ca="1">IFERROR(VLOOKUP(IDNMaps[[#This Row],[Primary]],INDIRECT(VLOOKUP(IDNMaps[[#This Row],[Type]],RecordCount[],2,0)),VLOOKUP(IDNMaps[[#This Row],[Type]],RecordCount[],8,0),0),"")</f>
        <v/>
      </c>
    </row>
    <row r="136" spans="10:16" x14ac:dyDescent="0.25">
      <c r="J136" s="11">
        <f t="shared" si="2"/>
        <v>135</v>
      </c>
      <c r="K13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36" s="6" t="str">
        <f ca="1">IF(IDNMaps[[#This Row],[Type]]="","",COUNTIF($K$1:IDNMaps[[#This Row],[Type]],IDNMaps[[#This Row],[Type]]))</f>
        <v/>
      </c>
      <c r="M136" s="6" t="str">
        <f ca="1">IFERROR(VLOOKUP(IDNMaps[[#This Row],[Type]],RecordCount[],6,0)&amp;"-"&amp;IDNMaps[[#This Row],[Type Count]],"")</f>
        <v/>
      </c>
      <c r="N136" s="6" t="str">
        <f ca="1">IFERROR(VLOOKUP(IDNMaps[[#This Row],[Primary]],INDIRECT(VLOOKUP(IDNMaps[[#This Row],[Type]],RecordCount[],2,0)),VLOOKUP(IDNMaps[[#This Row],[Type]],RecordCount[],7,0),0),"")</f>
        <v/>
      </c>
      <c r="O136" s="6" t="str">
        <f ca="1">IF(IDNMaps[[#This Row],[Name]]="","","("&amp;IDNMaps[[#This Row],[Type]]&amp;") "&amp;IDNMaps[[#This Row],[Name]])</f>
        <v/>
      </c>
      <c r="P136" s="6" t="str">
        <f ca="1">IFERROR(VLOOKUP(IDNMaps[[#This Row],[Primary]],INDIRECT(VLOOKUP(IDNMaps[[#This Row],[Type]],RecordCount[],2,0)),VLOOKUP(IDNMaps[[#This Row],[Type]],RecordCount[],8,0),0),"")</f>
        <v/>
      </c>
    </row>
    <row r="137" spans="10:16" x14ac:dyDescent="0.25">
      <c r="J137" s="11">
        <f t="shared" si="2"/>
        <v>136</v>
      </c>
      <c r="K13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37" s="6" t="str">
        <f ca="1">IF(IDNMaps[[#This Row],[Type]]="","",COUNTIF($K$1:IDNMaps[[#This Row],[Type]],IDNMaps[[#This Row],[Type]]))</f>
        <v/>
      </c>
      <c r="M137" s="6" t="str">
        <f ca="1">IFERROR(VLOOKUP(IDNMaps[[#This Row],[Type]],RecordCount[],6,0)&amp;"-"&amp;IDNMaps[[#This Row],[Type Count]],"")</f>
        <v/>
      </c>
      <c r="N137" s="6" t="str">
        <f ca="1">IFERROR(VLOOKUP(IDNMaps[[#This Row],[Primary]],INDIRECT(VLOOKUP(IDNMaps[[#This Row],[Type]],RecordCount[],2,0)),VLOOKUP(IDNMaps[[#This Row],[Type]],RecordCount[],7,0),0),"")</f>
        <v/>
      </c>
      <c r="O137" s="6" t="str">
        <f ca="1">IF(IDNMaps[[#This Row],[Name]]="","","("&amp;IDNMaps[[#This Row],[Type]]&amp;") "&amp;IDNMaps[[#This Row],[Name]])</f>
        <v/>
      </c>
      <c r="P137" s="6" t="str">
        <f ca="1">IFERROR(VLOOKUP(IDNMaps[[#This Row],[Primary]],INDIRECT(VLOOKUP(IDNMaps[[#This Row],[Type]],RecordCount[],2,0)),VLOOKUP(IDNMaps[[#This Row],[Type]],RecordCount[],8,0),0),"")</f>
        <v/>
      </c>
    </row>
    <row r="138" spans="10:16" x14ac:dyDescent="0.25">
      <c r="J138" s="11">
        <f t="shared" si="2"/>
        <v>137</v>
      </c>
      <c r="K13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38" s="6" t="str">
        <f ca="1">IF(IDNMaps[[#This Row],[Type]]="","",COUNTIF($K$1:IDNMaps[[#This Row],[Type]],IDNMaps[[#This Row],[Type]]))</f>
        <v/>
      </c>
      <c r="M138" s="6" t="str">
        <f ca="1">IFERROR(VLOOKUP(IDNMaps[[#This Row],[Type]],RecordCount[],6,0)&amp;"-"&amp;IDNMaps[[#This Row],[Type Count]],"")</f>
        <v/>
      </c>
      <c r="N138" s="6" t="str">
        <f ca="1">IFERROR(VLOOKUP(IDNMaps[[#This Row],[Primary]],INDIRECT(VLOOKUP(IDNMaps[[#This Row],[Type]],RecordCount[],2,0)),VLOOKUP(IDNMaps[[#This Row],[Type]],RecordCount[],7,0),0),"")</f>
        <v/>
      </c>
      <c r="O138" s="6" t="str">
        <f ca="1">IF(IDNMaps[[#This Row],[Name]]="","","("&amp;IDNMaps[[#This Row],[Type]]&amp;") "&amp;IDNMaps[[#This Row],[Name]])</f>
        <v/>
      </c>
      <c r="P138" s="6" t="str">
        <f ca="1">IFERROR(VLOOKUP(IDNMaps[[#This Row],[Primary]],INDIRECT(VLOOKUP(IDNMaps[[#This Row],[Type]],RecordCount[],2,0)),VLOOKUP(IDNMaps[[#This Row],[Type]],RecordCount[],8,0),0),"")</f>
        <v/>
      </c>
    </row>
    <row r="139" spans="10:16" x14ac:dyDescent="0.25">
      <c r="J139" s="11">
        <f t="shared" si="2"/>
        <v>138</v>
      </c>
      <c r="K13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39" s="6" t="str">
        <f ca="1">IF(IDNMaps[[#This Row],[Type]]="","",COUNTIF($K$1:IDNMaps[[#This Row],[Type]],IDNMaps[[#This Row],[Type]]))</f>
        <v/>
      </c>
      <c r="M139" s="6" t="str">
        <f ca="1">IFERROR(VLOOKUP(IDNMaps[[#This Row],[Type]],RecordCount[],6,0)&amp;"-"&amp;IDNMaps[[#This Row],[Type Count]],"")</f>
        <v/>
      </c>
      <c r="N139" s="6" t="str">
        <f ca="1">IFERROR(VLOOKUP(IDNMaps[[#This Row],[Primary]],INDIRECT(VLOOKUP(IDNMaps[[#This Row],[Type]],RecordCount[],2,0)),VLOOKUP(IDNMaps[[#This Row],[Type]],RecordCount[],7,0),0),"")</f>
        <v/>
      </c>
      <c r="O139" s="6" t="str">
        <f ca="1">IF(IDNMaps[[#This Row],[Name]]="","","("&amp;IDNMaps[[#This Row],[Type]]&amp;") "&amp;IDNMaps[[#This Row],[Name]])</f>
        <v/>
      </c>
      <c r="P139" s="6" t="str">
        <f ca="1">IFERROR(VLOOKUP(IDNMaps[[#This Row],[Primary]],INDIRECT(VLOOKUP(IDNMaps[[#This Row],[Type]],RecordCount[],2,0)),VLOOKUP(IDNMaps[[#This Row],[Type]],RecordCount[],8,0),0),"")</f>
        <v/>
      </c>
    </row>
    <row r="140" spans="10:16" x14ac:dyDescent="0.25">
      <c r="J140" s="11">
        <f t="shared" si="2"/>
        <v>139</v>
      </c>
      <c r="K14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0" s="6" t="str">
        <f ca="1">IF(IDNMaps[[#This Row],[Type]]="","",COUNTIF($K$1:IDNMaps[[#This Row],[Type]],IDNMaps[[#This Row],[Type]]))</f>
        <v/>
      </c>
      <c r="M140" s="6" t="str">
        <f ca="1">IFERROR(VLOOKUP(IDNMaps[[#This Row],[Type]],RecordCount[],6,0)&amp;"-"&amp;IDNMaps[[#This Row],[Type Count]],"")</f>
        <v/>
      </c>
      <c r="N140" s="6" t="str">
        <f ca="1">IFERROR(VLOOKUP(IDNMaps[[#This Row],[Primary]],INDIRECT(VLOOKUP(IDNMaps[[#This Row],[Type]],RecordCount[],2,0)),VLOOKUP(IDNMaps[[#This Row],[Type]],RecordCount[],7,0),0),"")</f>
        <v/>
      </c>
      <c r="O140" s="6" t="str">
        <f ca="1">IF(IDNMaps[[#This Row],[Name]]="","","("&amp;IDNMaps[[#This Row],[Type]]&amp;") "&amp;IDNMaps[[#This Row],[Name]])</f>
        <v/>
      </c>
      <c r="P140" s="6" t="str">
        <f ca="1">IFERROR(VLOOKUP(IDNMaps[[#This Row],[Primary]],INDIRECT(VLOOKUP(IDNMaps[[#This Row],[Type]],RecordCount[],2,0)),VLOOKUP(IDNMaps[[#This Row],[Type]],RecordCount[],8,0),0),"")</f>
        <v/>
      </c>
    </row>
    <row r="141" spans="10:16" x14ac:dyDescent="0.25">
      <c r="J141" s="11">
        <f t="shared" si="2"/>
        <v>140</v>
      </c>
      <c r="K14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1" s="6" t="str">
        <f ca="1">IF(IDNMaps[[#This Row],[Type]]="","",COUNTIF($K$1:IDNMaps[[#This Row],[Type]],IDNMaps[[#This Row],[Type]]))</f>
        <v/>
      </c>
      <c r="M141" s="6" t="str">
        <f ca="1">IFERROR(VLOOKUP(IDNMaps[[#This Row],[Type]],RecordCount[],6,0)&amp;"-"&amp;IDNMaps[[#This Row],[Type Count]],"")</f>
        <v/>
      </c>
      <c r="N141" s="6" t="str">
        <f ca="1">IFERROR(VLOOKUP(IDNMaps[[#This Row],[Primary]],INDIRECT(VLOOKUP(IDNMaps[[#This Row],[Type]],RecordCount[],2,0)),VLOOKUP(IDNMaps[[#This Row],[Type]],RecordCount[],7,0),0),"")</f>
        <v/>
      </c>
      <c r="O141" s="6" t="str">
        <f ca="1">IF(IDNMaps[[#This Row],[Name]]="","","("&amp;IDNMaps[[#This Row],[Type]]&amp;") "&amp;IDNMaps[[#This Row],[Name]])</f>
        <v/>
      </c>
      <c r="P141" s="6" t="str">
        <f ca="1">IFERROR(VLOOKUP(IDNMaps[[#This Row],[Primary]],INDIRECT(VLOOKUP(IDNMaps[[#This Row],[Type]],RecordCount[],2,0)),VLOOKUP(IDNMaps[[#This Row],[Type]],RecordCount[],8,0),0),"")</f>
        <v/>
      </c>
    </row>
    <row r="142" spans="10:16" x14ac:dyDescent="0.25">
      <c r="J142" s="11">
        <f t="shared" si="2"/>
        <v>141</v>
      </c>
      <c r="K14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2" s="6" t="str">
        <f ca="1">IF(IDNMaps[[#This Row],[Type]]="","",COUNTIF($K$1:IDNMaps[[#This Row],[Type]],IDNMaps[[#This Row],[Type]]))</f>
        <v/>
      </c>
      <c r="M142" s="6" t="str">
        <f ca="1">IFERROR(VLOOKUP(IDNMaps[[#This Row],[Type]],RecordCount[],6,0)&amp;"-"&amp;IDNMaps[[#This Row],[Type Count]],"")</f>
        <v/>
      </c>
      <c r="N142" s="6" t="str">
        <f ca="1">IFERROR(VLOOKUP(IDNMaps[[#This Row],[Primary]],INDIRECT(VLOOKUP(IDNMaps[[#This Row],[Type]],RecordCount[],2,0)),VLOOKUP(IDNMaps[[#This Row],[Type]],RecordCount[],7,0),0),"")</f>
        <v/>
      </c>
      <c r="O142" s="6" t="str">
        <f ca="1">IF(IDNMaps[[#This Row],[Name]]="","","("&amp;IDNMaps[[#This Row],[Type]]&amp;") "&amp;IDNMaps[[#This Row],[Name]])</f>
        <v/>
      </c>
      <c r="P142" s="6" t="str">
        <f ca="1">IFERROR(VLOOKUP(IDNMaps[[#This Row],[Primary]],INDIRECT(VLOOKUP(IDNMaps[[#This Row],[Type]],RecordCount[],2,0)),VLOOKUP(IDNMaps[[#This Row],[Type]],RecordCount[],8,0),0),"")</f>
        <v/>
      </c>
    </row>
    <row r="143" spans="10:16" x14ac:dyDescent="0.25">
      <c r="J143" s="11">
        <f t="shared" si="2"/>
        <v>142</v>
      </c>
      <c r="K14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3" s="6" t="str">
        <f ca="1">IF(IDNMaps[[#This Row],[Type]]="","",COUNTIF($K$1:IDNMaps[[#This Row],[Type]],IDNMaps[[#This Row],[Type]]))</f>
        <v/>
      </c>
      <c r="M143" s="6" t="str">
        <f ca="1">IFERROR(VLOOKUP(IDNMaps[[#This Row],[Type]],RecordCount[],6,0)&amp;"-"&amp;IDNMaps[[#This Row],[Type Count]],"")</f>
        <v/>
      </c>
      <c r="N143" s="6" t="str">
        <f ca="1">IFERROR(VLOOKUP(IDNMaps[[#This Row],[Primary]],INDIRECT(VLOOKUP(IDNMaps[[#This Row],[Type]],RecordCount[],2,0)),VLOOKUP(IDNMaps[[#This Row],[Type]],RecordCount[],7,0),0),"")</f>
        <v/>
      </c>
      <c r="O143" s="6" t="str">
        <f ca="1">IF(IDNMaps[[#This Row],[Name]]="","","("&amp;IDNMaps[[#This Row],[Type]]&amp;") "&amp;IDNMaps[[#This Row],[Name]])</f>
        <v/>
      </c>
      <c r="P143" s="6" t="str">
        <f ca="1">IFERROR(VLOOKUP(IDNMaps[[#This Row],[Primary]],INDIRECT(VLOOKUP(IDNMaps[[#This Row],[Type]],RecordCount[],2,0)),VLOOKUP(IDNMaps[[#This Row],[Type]],RecordCount[],8,0),0),"")</f>
        <v/>
      </c>
    </row>
    <row r="144" spans="10:16" x14ac:dyDescent="0.25">
      <c r="J144" s="11">
        <f t="shared" si="2"/>
        <v>143</v>
      </c>
      <c r="K14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4" s="6" t="str">
        <f ca="1">IF(IDNMaps[[#This Row],[Type]]="","",COUNTIF($K$1:IDNMaps[[#This Row],[Type]],IDNMaps[[#This Row],[Type]]))</f>
        <v/>
      </c>
      <c r="M144" s="6" t="str">
        <f ca="1">IFERROR(VLOOKUP(IDNMaps[[#This Row],[Type]],RecordCount[],6,0)&amp;"-"&amp;IDNMaps[[#This Row],[Type Count]],"")</f>
        <v/>
      </c>
      <c r="N144" s="6" t="str">
        <f ca="1">IFERROR(VLOOKUP(IDNMaps[[#This Row],[Primary]],INDIRECT(VLOOKUP(IDNMaps[[#This Row],[Type]],RecordCount[],2,0)),VLOOKUP(IDNMaps[[#This Row],[Type]],RecordCount[],7,0),0),"")</f>
        <v/>
      </c>
      <c r="O144" s="6" t="str">
        <f ca="1">IF(IDNMaps[[#This Row],[Name]]="","","("&amp;IDNMaps[[#This Row],[Type]]&amp;") "&amp;IDNMaps[[#This Row],[Name]])</f>
        <v/>
      </c>
      <c r="P144" s="6" t="str">
        <f ca="1">IFERROR(VLOOKUP(IDNMaps[[#This Row],[Primary]],INDIRECT(VLOOKUP(IDNMaps[[#This Row],[Type]],RecordCount[],2,0)),VLOOKUP(IDNMaps[[#This Row],[Type]],RecordCount[],8,0),0),"")</f>
        <v/>
      </c>
    </row>
    <row r="145" spans="10:16" x14ac:dyDescent="0.25">
      <c r="J145" s="11">
        <f t="shared" si="2"/>
        <v>144</v>
      </c>
      <c r="K14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5" s="6" t="str">
        <f ca="1">IF(IDNMaps[[#This Row],[Type]]="","",COUNTIF($K$1:IDNMaps[[#This Row],[Type]],IDNMaps[[#This Row],[Type]]))</f>
        <v/>
      </c>
      <c r="M145" s="6" t="str">
        <f ca="1">IFERROR(VLOOKUP(IDNMaps[[#This Row],[Type]],RecordCount[],6,0)&amp;"-"&amp;IDNMaps[[#This Row],[Type Count]],"")</f>
        <v/>
      </c>
      <c r="N145" s="6" t="str">
        <f ca="1">IFERROR(VLOOKUP(IDNMaps[[#This Row],[Primary]],INDIRECT(VLOOKUP(IDNMaps[[#This Row],[Type]],RecordCount[],2,0)),VLOOKUP(IDNMaps[[#This Row],[Type]],RecordCount[],7,0),0),"")</f>
        <v/>
      </c>
      <c r="O145" s="6" t="str">
        <f ca="1">IF(IDNMaps[[#This Row],[Name]]="","","("&amp;IDNMaps[[#This Row],[Type]]&amp;") "&amp;IDNMaps[[#This Row],[Name]])</f>
        <v/>
      </c>
      <c r="P145" s="6" t="str">
        <f ca="1">IFERROR(VLOOKUP(IDNMaps[[#This Row],[Primary]],INDIRECT(VLOOKUP(IDNMaps[[#This Row],[Type]],RecordCount[],2,0)),VLOOKUP(IDNMaps[[#This Row],[Type]],RecordCount[],8,0),0),"")</f>
        <v/>
      </c>
    </row>
    <row r="146" spans="10:16" x14ac:dyDescent="0.25">
      <c r="J146" s="11">
        <f t="shared" si="2"/>
        <v>145</v>
      </c>
      <c r="K14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6" s="6" t="str">
        <f ca="1">IF(IDNMaps[[#This Row],[Type]]="","",COUNTIF($K$1:IDNMaps[[#This Row],[Type]],IDNMaps[[#This Row],[Type]]))</f>
        <v/>
      </c>
      <c r="M146" s="6" t="str">
        <f ca="1">IFERROR(VLOOKUP(IDNMaps[[#This Row],[Type]],RecordCount[],6,0)&amp;"-"&amp;IDNMaps[[#This Row],[Type Count]],"")</f>
        <v/>
      </c>
      <c r="N146" s="6" t="str">
        <f ca="1">IFERROR(VLOOKUP(IDNMaps[[#This Row],[Primary]],INDIRECT(VLOOKUP(IDNMaps[[#This Row],[Type]],RecordCount[],2,0)),VLOOKUP(IDNMaps[[#This Row],[Type]],RecordCount[],7,0),0),"")</f>
        <v/>
      </c>
      <c r="O146" s="6" t="str">
        <f ca="1">IF(IDNMaps[[#This Row],[Name]]="","","("&amp;IDNMaps[[#This Row],[Type]]&amp;") "&amp;IDNMaps[[#This Row],[Name]])</f>
        <v/>
      </c>
      <c r="P146" s="6" t="str">
        <f ca="1">IFERROR(VLOOKUP(IDNMaps[[#This Row],[Primary]],INDIRECT(VLOOKUP(IDNMaps[[#This Row],[Type]],RecordCount[],2,0)),VLOOKUP(IDNMaps[[#This Row],[Type]],RecordCount[],8,0),0),"")</f>
        <v/>
      </c>
    </row>
    <row r="147" spans="10:16" x14ac:dyDescent="0.25">
      <c r="J147" s="11">
        <f t="shared" si="2"/>
        <v>146</v>
      </c>
      <c r="K14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7" s="6" t="str">
        <f ca="1">IF(IDNMaps[[#This Row],[Type]]="","",COUNTIF($K$1:IDNMaps[[#This Row],[Type]],IDNMaps[[#This Row],[Type]]))</f>
        <v/>
      </c>
      <c r="M147" s="6" t="str">
        <f ca="1">IFERROR(VLOOKUP(IDNMaps[[#This Row],[Type]],RecordCount[],6,0)&amp;"-"&amp;IDNMaps[[#This Row],[Type Count]],"")</f>
        <v/>
      </c>
      <c r="N147" s="6" t="str">
        <f ca="1">IFERROR(VLOOKUP(IDNMaps[[#This Row],[Primary]],INDIRECT(VLOOKUP(IDNMaps[[#This Row],[Type]],RecordCount[],2,0)),VLOOKUP(IDNMaps[[#This Row],[Type]],RecordCount[],7,0),0),"")</f>
        <v/>
      </c>
      <c r="O147" s="6" t="str">
        <f ca="1">IF(IDNMaps[[#This Row],[Name]]="","","("&amp;IDNMaps[[#This Row],[Type]]&amp;") "&amp;IDNMaps[[#This Row],[Name]])</f>
        <v/>
      </c>
      <c r="P147" s="6" t="str">
        <f ca="1">IFERROR(VLOOKUP(IDNMaps[[#This Row],[Primary]],INDIRECT(VLOOKUP(IDNMaps[[#This Row],[Type]],RecordCount[],2,0)),VLOOKUP(IDNMaps[[#This Row],[Type]],RecordCount[],8,0),0),"")</f>
        <v/>
      </c>
    </row>
    <row r="148" spans="10:16" x14ac:dyDescent="0.25">
      <c r="J148" s="11">
        <f t="shared" si="2"/>
        <v>147</v>
      </c>
      <c r="K14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8" s="6" t="str">
        <f ca="1">IF(IDNMaps[[#This Row],[Type]]="","",COUNTIF($K$1:IDNMaps[[#This Row],[Type]],IDNMaps[[#This Row],[Type]]))</f>
        <v/>
      </c>
      <c r="M148" s="6" t="str">
        <f ca="1">IFERROR(VLOOKUP(IDNMaps[[#This Row],[Type]],RecordCount[],6,0)&amp;"-"&amp;IDNMaps[[#This Row],[Type Count]],"")</f>
        <v/>
      </c>
      <c r="N148" s="6" t="str">
        <f ca="1">IFERROR(VLOOKUP(IDNMaps[[#This Row],[Primary]],INDIRECT(VLOOKUP(IDNMaps[[#This Row],[Type]],RecordCount[],2,0)),VLOOKUP(IDNMaps[[#This Row],[Type]],RecordCount[],7,0),0),"")</f>
        <v/>
      </c>
      <c r="O148" s="6" t="str">
        <f ca="1">IF(IDNMaps[[#This Row],[Name]]="","","("&amp;IDNMaps[[#This Row],[Type]]&amp;") "&amp;IDNMaps[[#This Row],[Name]])</f>
        <v/>
      </c>
      <c r="P148" s="6" t="str">
        <f ca="1">IFERROR(VLOOKUP(IDNMaps[[#This Row],[Primary]],INDIRECT(VLOOKUP(IDNMaps[[#This Row],[Type]],RecordCount[],2,0)),VLOOKUP(IDNMaps[[#This Row],[Type]],RecordCount[],8,0),0),"")</f>
        <v/>
      </c>
    </row>
    <row r="149" spans="10:16" x14ac:dyDescent="0.25">
      <c r="J149" s="11">
        <f t="shared" si="2"/>
        <v>148</v>
      </c>
      <c r="K14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9" s="6" t="str">
        <f ca="1">IF(IDNMaps[[#This Row],[Type]]="","",COUNTIF($K$1:IDNMaps[[#This Row],[Type]],IDNMaps[[#This Row],[Type]]))</f>
        <v/>
      </c>
      <c r="M149" s="6" t="str">
        <f ca="1">IFERROR(VLOOKUP(IDNMaps[[#This Row],[Type]],RecordCount[],6,0)&amp;"-"&amp;IDNMaps[[#This Row],[Type Count]],"")</f>
        <v/>
      </c>
      <c r="N149" s="6" t="str">
        <f ca="1">IFERROR(VLOOKUP(IDNMaps[[#This Row],[Primary]],INDIRECT(VLOOKUP(IDNMaps[[#This Row],[Type]],RecordCount[],2,0)),VLOOKUP(IDNMaps[[#This Row],[Type]],RecordCount[],7,0),0),"")</f>
        <v/>
      </c>
      <c r="O149" s="6" t="str">
        <f ca="1">IF(IDNMaps[[#This Row],[Name]]="","","("&amp;IDNMaps[[#This Row],[Type]]&amp;") "&amp;IDNMaps[[#This Row],[Name]])</f>
        <v/>
      </c>
      <c r="P149" s="6" t="str">
        <f ca="1">IFERROR(VLOOKUP(IDNMaps[[#This Row],[Primary]],INDIRECT(VLOOKUP(IDNMaps[[#This Row],[Type]],RecordCount[],2,0)),VLOOKUP(IDNMaps[[#This Row],[Type]],RecordCount[],8,0),0),"")</f>
        <v/>
      </c>
    </row>
    <row r="150" spans="10:16" x14ac:dyDescent="0.25">
      <c r="J150" s="11">
        <f t="shared" si="2"/>
        <v>149</v>
      </c>
      <c r="K15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0" s="6" t="str">
        <f ca="1">IF(IDNMaps[[#This Row],[Type]]="","",COUNTIF($K$1:IDNMaps[[#This Row],[Type]],IDNMaps[[#This Row],[Type]]))</f>
        <v/>
      </c>
      <c r="M150" s="6" t="str">
        <f ca="1">IFERROR(VLOOKUP(IDNMaps[[#This Row],[Type]],RecordCount[],6,0)&amp;"-"&amp;IDNMaps[[#This Row],[Type Count]],"")</f>
        <v/>
      </c>
      <c r="N150" s="6" t="str">
        <f ca="1">IFERROR(VLOOKUP(IDNMaps[[#This Row],[Primary]],INDIRECT(VLOOKUP(IDNMaps[[#This Row],[Type]],RecordCount[],2,0)),VLOOKUP(IDNMaps[[#This Row],[Type]],RecordCount[],7,0),0),"")</f>
        <v/>
      </c>
      <c r="O150" s="6" t="str">
        <f ca="1">IF(IDNMaps[[#This Row],[Name]]="","","("&amp;IDNMaps[[#This Row],[Type]]&amp;") "&amp;IDNMaps[[#This Row],[Name]])</f>
        <v/>
      </c>
      <c r="P150" s="6" t="str">
        <f ca="1">IFERROR(VLOOKUP(IDNMaps[[#This Row],[Primary]],INDIRECT(VLOOKUP(IDNMaps[[#This Row],[Type]],RecordCount[],2,0)),VLOOKUP(IDNMaps[[#This Row],[Type]],RecordCount[],8,0),0),"")</f>
        <v/>
      </c>
    </row>
    <row r="151" spans="10:16" x14ac:dyDescent="0.25">
      <c r="J151" s="11">
        <f t="shared" si="2"/>
        <v>150</v>
      </c>
      <c r="K15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1" s="6" t="str">
        <f ca="1">IF(IDNMaps[[#This Row],[Type]]="","",COUNTIF($K$1:IDNMaps[[#This Row],[Type]],IDNMaps[[#This Row],[Type]]))</f>
        <v/>
      </c>
      <c r="M151" s="6" t="str">
        <f ca="1">IFERROR(VLOOKUP(IDNMaps[[#This Row],[Type]],RecordCount[],6,0)&amp;"-"&amp;IDNMaps[[#This Row],[Type Count]],"")</f>
        <v/>
      </c>
      <c r="N151" s="6" t="str">
        <f ca="1">IFERROR(VLOOKUP(IDNMaps[[#This Row],[Primary]],INDIRECT(VLOOKUP(IDNMaps[[#This Row],[Type]],RecordCount[],2,0)),VLOOKUP(IDNMaps[[#This Row],[Type]],RecordCount[],7,0),0),"")</f>
        <v/>
      </c>
      <c r="O151" s="6" t="str">
        <f ca="1">IF(IDNMaps[[#This Row],[Name]]="","","("&amp;IDNMaps[[#This Row],[Type]]&amp;") "&amp;IDNMaps[[#This Row],[Name]])</f>
        <v/>
      </c>
      <c r="P151" s="6" t="str">
        <f ca="1">IFERROR(VLOOKUP(IDNMaps[[#This Row],[Primary]],INDIRECT(VLOOKUP(IDNMaps[[#This Row],[Type]],RecordCount[],2,0)),VLOOKUP(IDNMaps[[#This Row],[Type]],RecordCount[],8,0),0),"")</f>
        <v/>
      </c>
    </row>
    <row r="152" spans="10:16" x14ac:dyDescent="0.25">
      <c r="J152" s="11">
        <f t="shared" si="2"/>
        <v>151</v>
      </c>
      <c r="K15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2" s="6" t="str">
        <f ca="1">IF(IDNMaps[[#This Row],[Type]]="","",COUNTIF($K$1:IDNMaps[[#This Row],[Type]],IDNMaps[[#This Row],[Type]]))</f>
        <v/>
      </c>
      <c r="M152" s="6" t="str">
        <f ca="1">IFERROR(VLOOKUP(IDNMaps[[#This Row],[Type]],RecordCount[],6,0)&amp;"-"&amp;IDNMaps[[#This Row],[Type Count]],"")</f>
        <v/>
      </c>
      <c r="N152" s="6" t="str">
        <f ca="1">IFERROR(VLOOKUP(IDNMaps[[#This Row],[Primary]],INDIRECT(VLOOKUP(IDNMaps[[#This Row],[Type]],RecordCount[],2,0)),VLOOKUP(IDNMaps[[#This Row],[Type]],RecordCount[],7,0),0),"")</f>
        <v/>
      </c>
      <c r="O152" s="6" t="str">
        <f ca="1">IF(IDNMaps[[#This Row],[Name]]="","","("&amp;IDNMaps[[#This Row],[Type]]&amp;") "&amp;IDNMaps[[#This Row],[Name]])</f>
        <v/>
      </c>
      <c r="P152" s="6" t="str">
        <f ca="1">IFERROR(VLOOKUP(IDNMaps[[#This Row],[Primary]],INDIRECT(VLOOKUP(IDNMaps[[#This Row],[Type]],RecordCount[],2,0)),VLOOKUP(IDNMaps[[#This Row],[Type]],RecordCount[],8,0),0),"")</f>
        <v/>
      </c>
    </row>
    <row r="153" spans="10:16" x14ac:dyDescent="0.25">
      <c r="J153" s="11">
        <f t="shared" si="2"/>
        <v>152</v>
      </c>
      <c r="K15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3" s="6" t="str">
        <f ca="1">IF(IDNMaps[[#This Row],[Type]]="","",COUNTIF($K$1:IDNMaps[[#This Row],[Type]],IDNMaps[[#This Row],[Type]]))</f>
        <v/>
      </c>
      <c r="M153" s="6" t="str">
        <f ca="1">IFERROR(VLOOKUP(IDNMaps[[#This Row],[Type]],RecordCount[],6,0)&amp;"-"&amp;IDNMaps[[#This Row],[Type Count]],"")</f>
        <v/>
      </c>
      <c r="N153" s="6" t="str">
        <f ca="1">IFERROR(VLOOKUP(IDNMaps[[#This Row],[Primary]],INDIRECT(VLOOKUP(IDNMaps[[#This Row],[Type]],RecordCount[],2,0)),VLOOKUP(IDNMaps[[#This Row],[Type]],RecordCount[],7,0),0),"")</f>
        <v/>
      </c>
      <c r="O153" s="6" t="str">
        <f ca="1">IF(IDNMaps[[#This Row],[Name]]="","","("&amp;IDNMaps[[#This Row],[Type]]&amp;") "&amp;IDNMaps[[#This Row],[Name]])</f>
        <v/>
      </c>
      <c r="P153" s="6" t="str">
        <f ca="1">IFERROR(VLOOKUP(IDNMaps[[#This Row],[Primary]],INDIRECT(VLOOKUP(IDNMaps[[#This Row],[Type]],RecordCount[],2,0)),VLOOKUP(IDNMaps[[#This Row],[Type]],RecordCount[],8,0),0),"")</f>
        <v/>
      </c>
    </row>
    <row r="154" spans="10:16" x14ac:dyDescent="0.25">
      <c r="J154" s="11">
        <f t="shared" si="2"/>
        <v>153</v>
      </c>
      <c r="K15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4" s="6" t="str">
        <f ca="1">IF(IDNMaps[[#This Row],[Type]]="","",COUNTIF($K$1:IDNMaps[[#This Row],[Type]],IDNMaps[[#This Row],[Type]]))</f>
        <v/>
      </c>
      <c r="M154" s="6" t="str">
        <f ca="1">IFERROR(VLOOKUP(IDNMaps[[#This Row],[Type]],RecordCount[],6,0)&amp;"-"&amp;IDNMaps[[#This Row],[Type Count]],"")</f>
        <v/>
      </c>
      <c r="N154" s="6" t="str">
        <f ca="1">IFERROR(VLOOKUP(IDNMaps[[#This Row],[Primary]],INDIRECT(VLOOKUP(IDNMaps[[#This Row],[Type]],RecordCount[],2,0)),VLOOKUP(IDNMaps[[#This Row],[Type]],RecordCount[],7,0),0),"")</f>
        <v/>
      </c>
      <c r="O154" s="6" t="str">
        <f ca="1">IF(IDNMaps[[#This Row],[Name]]="","","("&amp;IDNMaps[[#This Row],[Type]]&amp;") "&amp;IDNMaps[[#This Row],[Name]])</f>
        <v/>
      </c>
      <c r="P154" s="6" t="str">
        <f ca="1">IFERROR(VLOOKUP(IDNMaps[[#This Row],[Primary]],INDIRECT(VLOOKUP(IDNMaps[[#This Row],[Type]],RecordCount[],2,0)),VLOOKUP(IDNMaps[[#This Row],[Type]],RecordCount[],8,0),0),"")</f>
        <v/>
      </c>
    </row>
    <row r="155" spans="10:16" x14ac:dyDescent="0.25">
      <c r="J155" s="11">
        <f t="shared" si="2"/>
        <v>154</v>
      </c>
      <c r="K15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5" s="6" t="str">
        <f ca="1">IF(IDNMaps[[#This Row],[Type]]="","",COUNTIF($K$1:IDNMaps[[#This Row],[Type]],IDNMaps[[#This Row],[Type]]))</f>
        <v/>
      </c>
      <c r="M155" s="6" t="str">
        <f ca="1">IFERROR(VLOOKUP(IDNMaps[[#This Row],[Type]],RecordCount[],6,0)&amp;"-"&amp;IDNMaps[[#This Row],[Type Count]],"")</f>
        <v/>
      </c>
      <c r="N155" s="6" t="str">
        <f ca="1">IFERROR(VLOOKUP(IDNMaps[[#This Row],[Primary]],INDIRECT(VLOOKUP(IDNMaps[[#This Row],[Type]],RecordCount[],2,0)),VLOOKUP(IDNMaps[[#This Row],[Type]],RecordCount[],7,0),0),"")</f>
        <v/>
      </c>
      <c r="O155" s="6" t="str">
        <f ca="1">IF(IDNMaps[[#This Row],[Name]]="","","("&amp;IDNMaps[[#This Row],[Type]]&amp;") "&amp;IDNMaps[[#This Row],[Name]])</f>
        <v/>
      </c>
      <c r="P155" s="6" t="str">
        <f ca="1">IFERROR(VLOOKUP(IDNMaps[[#This Row],[Primary]],INDIRECT(VLOOKUP(IDNMaps[[#This Row],[Type]],RecordCount[],2,0)),VLOOKUP(IDNMaps[[#This Row],[Type]],RecordCount[],8,0),0),"")</f>
        <v/>
      </c>
    </row>
    <row r="156" spans="10:16" x14ac:dyDescent="0.25">
      <c r="J156" s="11">
        <f t="shared" si="2"/>
        <v>155</v>
      </c>
      <c r="K15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6" s="6" t="str">
        <f ca="1">IF(IDNMaps[[#This Row],[Type]]="","",COUNTIF($K$1:IDNMaps[[#This Row],[Type]],IDNMaps[[#This Row],[Type]]))</f>
        <v/>
      </c>
      <c r="M156" s="6" t="str">
        <f ca="1">IFERROR(VLOOKUP(IDNMaps[[#This Row],[Type]],RecordCount[],6,0)&amp;"-"&amp;IDNMaps[[#This Row],[Type Count]],"")</f>
        <v/>
      </c>
      <c r="N156" s="6" t="str">
        <f ca="1">IFERROR(VLOOKUP(IDNMaps[[#This Row],[Primary]],INDIRECT(VLOOKUP(IDNMaps[[#This Row],[Type]],RecordCount[],2,0)),VLOOKUP(IDNMaps[[#This Row],[Type]],RecordCount[],7,0),0),"")</f>
        <v/>
      </c>
      <c r="O156" s="6" t="str">
        <f ca="1">IF(IDNMaps[[#This Row],[Name]]="","","("&amp;IDNMaps[[#This Row],[Type]]&amp;") "&amp;IDNMaps[[#This Row],[Name]])</f>
        <v/>
      </c>
      <c r="P156" s="6" t="str">
        <f ca="1">IFERROR(VLOOKUP(IDNMaps[[#This Row],[Primary]],INDIRECT(VLOOKUP(IDNMaps[[#This Row],[Type]],RecordCount[],2,0)),VLOOKUP(IDNMaps[[#This Row],[Type]],RecordCount[],8,0),0),"")</f>
        <v/>
      </c>
    </row>
    <row r="157" spans="10:16" x14ac:dyDescent="0.25">
      <c r="J157" s="11">
        <f t="shared" si="2"/>
        <v>156</v>
      </c>
      <c r="K15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7" s="6" t="str">
        <f ca="1">IF(IDNMaps[[#This Row],[Type]]="","",COUNTIF($K$1:IDNMaps[[#This Row],[Type]],IDNMaps[[#This Row],[Type]]))</f>
        <v/>
      </c>
      <c r="M157" s="6" t="str">
        <f ca="1">IFERROR(VLOOKUP(IDNMaps[[#This Row],[Type]],RecordCount[],6,0)&amp;"-"&amp;IDNMaps[[#This Row],[Type Count]],"")</f>
        <v/>
      </c>
      <c r="N157" s="6" t="str">
        <f ca="1">IFERROR(VLOOKUP(IDNMaps[[#This Row],[Primary]],INDIRECT(VLOOKUP(IDNMaps[[#This Row],[Type]],RecordCount[],2,0)),VLOOKUP(IDNMaps[[#This Row],[Type]],RecordCount[],7,0),0),"")</f>
        <v/>
      </c>
      <c r="O157" s="6" t="str">
        <f ca="1">IF(IDNMaps[[#This Row],[Name]]="","","("&amp;IDNMaps[[#This Row],[Type]]&amp;") "&amp;IDNMaps[[#This Row],[Name]])</f>
        <v/>
      </c>
      <c r="P157" s="6" t="str">
        <f ca="1">IFERROR(VLOOKUP(IDNMaps[[#This Row],[Primary]],INDIRECT(VLOOKUP(IDNMaps[[#This Row],[Type]],RecordCount[],2,0)),VLOOKUP(IDNMaps[[#This Row],[Type]],RecordCount[],8,0),0),"")</f>
        <v/>
      </c>
    </row>
    <row r="158" spans="10:16" x14ac:dyDescent="0.25">
      <c r="J158" s="11">
        <f t="shared" si="2"/>
        <v>157</v>
      </c>
      <c r="K15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8" s="6" t="str">
        <f ca="1">IF(IDNMaps[[#This Row],[Type]]="","",COUNTIF($K$1:IDNMaps[[#This Row],[Type]],IDNMaps[[#This Row],[Type]]))</f>
        <v/>
      </c>
      <c r="M158" s="6" t="str">
        <f ca="1">IFERROR(VLOOKUP(IDNMaps[[#This Row],[Type]],RecordCount[],6,0)&amp;"-"&amp;IDNMaps[[#This Row],[Type Count]],"")</f>
        <v/>
      </c>
      <c r="N158" s="6" t="str">
        <f ca="1">IFERROR(VLOOKUP(IDNMaps[[#This Row],[Primary]],INDIRECT(VLOOKUP(IDNMaps[[#This Row],[Type]],RecordCount[],2,0)),VLOOKUP(IDNMaps[[#This Row],[Type]],RecordCount[],7,0),0),"")</f>
        <v/>
      </c>
      <c r="O158" s="6" t="str">
        <f ca="1">IF(IDNMaps[[#This Row],[Name]]="","","("&amp;IDNMaps[[#This Row],[Type]]&amp;") "&amp;IDNMaps[[#This Row],[Name]])</f>
        <v/>
      </c>
      <c r="P158" s="6" t="str">
        <f ca="1">IFERROR(VLOOKUP(IDNMaps[[#This Row],[Primary]],INDIRECT(VLOOKUP(IDNMaps[[#This Row],[Type]],RecordCount[],2,0)),VLOOKUP(IDNMaps[[#This Row],[Type]],RecordCount[],8,0),0),"")</f>
        <v/>
      </c>
    </row>
    <row r="159" spans="10:16" x14ac:dyDescent="0.25">
      <c r="J159" s="11">
        <f t="shared" si="2"/>
        <v>158</v>
      </c>
      <c r="K15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9" s="6" t="str">
        <f ca="1">IF(IDNMaps[[#This Row],[Type]]="","",COUNTIF($K$1:IDNMaps[[#This Row],[Type]],IDNMaps[[#This Row],[Type]]))</f>
        <v/>
      </c>
      <c r="M159" s="6" t="str">
        <f ca="1">IFERROR(VLOOKUP(IDNMaps[[#This Row],[Type]],RecordCount[],6,0)&amp;"-"&amp;IDNMaps[[#This Row],[Type Count]],"")</f>
        <v/>
      </c>
      <c r="N159" s="6" t="str">
        <f ca="1">IFERROR(VLOOKUP(IDNMaps[[#This Row],[Primary]],INDIRECT(VLOOKUP(IDNMaps[[#This Row],[Type]],RecordCount[],2,0)),VLOOKUP(IDNMaps[[#This Row],[Type]],RecordCount[],7,0),0),"")</f>
        <v/>
      </c>
      <c r="O159" s="6" t="str">
        <f ca="1">IF(IDNMaps[[#This Row],[Name]]="","","("&amp;IDNMaps[[#This Row],[Type]]&amp;") "&amp;IDNMaps[[#This Row],[Name]])</f>
        <v/>
      </c>
      <c r="P159" s="6" t="str">
        <f ca="1">IFERROR(VLOOKUP(IDNMaps[[#This Row],[Primary]],INDIRECT(VLOOKUP(IDNMaps[[#This Row],[Type]],RecordCount[],2,0)),VLOOKUP(IDNMaps[[#This Row],[Type]],RecordCount[],8,0),0),"")</f>
        <v/>
      </c>
    </row>
    <row r="160" spans="10:16" x14ac:dyDescent="0.25">
      <c r="J160" s="11">
        <f t="shared" si="2"/>
        <v>159</v>
      </c>
      <c r="K16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0" s="6" t="str">
        <f ca="1">IF(IDNMaps[[#This Row],[Type]]="","",COUNTIF($K$1:IDNMaps[[#This Row],[Type]],IDNMaps[[#This Row],[Type]]))</f>
        <v/>
      </c>
      <c r="M160" s="6" t="str">
        <f ca="1">IFERROR(VLOOKUP(IDNMaps[[#This Row],[Type]],RecordCount[],6,0)&amp;"-"&amp;IDNMaps[[#This Row],[Type Count]],"")</f>
        <v/>
      </c>
      <c r="N160" s="6" t="str">
        <f ca="1">IFERROR(VLOOKUP(IDNMaps[[#This Row],[Primary]],INDIRECT(VLOOKUP(IDNMaps[[#This Row],[Type]],RecordCount[],2,0)),VLOOKUP(IDNMaps[[#This Row],[Type]],RecordCount[],7,0),0),"")</f>
        <v/>
      </c>
      <c r="O160" s="6" t="str">
        <f ca="1">IF(IDNMaps[[#This Row],[Name]]="","","("&amp;IDNMaps[[#This Row],[Type]]&amp;") "&amp;IDNMaps[[#This Row],[Name]])</f>
        <v/>
      </c>
      <c r="P160" s="6" t="str">
        <f ca="1">IFERROR(VLOOKUP(IDNMaps[[#This Row],[Primary]],INDIRECT(VLOOKUP(IDNMaps[[#This Row],[Type]],RecordCount[],2,0)),VLOOKUP(IDNMaps[[#This Row],[Type]],RecordCount[],8,0),0),"")</f>
        <v/>
      </c>
    </row>
    <row r="161" spans="10:16" x14ac:dyDescent="0.25">
      <c r="J161" s="11">
        <f t="shared" si="2"/>
        <v>160</v>
      </c>
      <c r="K16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1" s="6" t="str">
        <f ca="1">IF(IDNMaps[[#This Row],[Type]]="","",COUNTIF($K$1:IDNMaps[[#This Row],[Type]],IDNMaps[[#This Row],[Type]]))</f>
        <v/>
      </c>
      <c r="M161" s="6" t="str">
        <f ca="1">IFERROR(VLOOKUP(IDNMaps[[#This Row],[Type]],RecordCount[],6,0)&amp;"-"&amp;IDNMaps[[#This Row],[Type Count]],"")</f>
        <v/>
      </c>
      <c r="N161" s="6" t="str">
        <f ca="1">IFERROR(VLOOKUP(IDNMaps[[#This Row],[Primary]],INDIRECT(VLOOKUP(IDNMaps[[#This Row],[Type]],RecordCount[],2,0)),VLOOKUP(IDNMaps[[#This Row],[Type]],RecordCount[],7,0),0),"")</f>
        <v/>
      </c>
      <c r="O161" s="6" t="str">
        <f ca="1">IF(IDNMaps[[#This Row],[Name]]="","","("&amp;IDNMaps[[#This Row],[Type]]&amp;") "&amp;IDNMaps[[#This Row],[Name]])</f>
        <v/>
      </c>
      <c r="P161" s="6" t="str">
        <f ca="1">IFERROR(VLOOKUP(IDNMaps[[#This Row],[Primary]],INDIRECT(VLOOKUP(IDNMaps[[#This Row],[Type]],RecordCount[],2,0)),VLOOKUP(IDNMaps[[#This Row],[Type]],RecordCount[],8,0),0),"")</f>
        <v/>
      </c>
    </row>
    <row r="162" spans="10:16" x14ac:dyDescent="0.25">
      <c r="J162" s="11">
        <f t="shared" si="2"/>
        <v>161</v>
      </c>
      <c r="K16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2" s="6" t="str">
        <f ca="1">IF(IDNMaps[[#This Row],[Type]]="","",COUNTIF($K$1:IDNMaps[[#This Row],[Type]],IDNMaps[[#This Row],[Type]]))</f>
        <v/>
      </c>
      <c r="M162" s="6" t="str">
        <f ca="1">IFERROR(VLOOKUP(IDNMaps[[#This Row],[Type]],RecordCount[],6,0)&amp;"-"&amp;IDNMaps[[#This Row],[Type Count]],"")</f>
        <v/>
      </c>
      <c r="N162" s="6" t="str">
        <f ca="1">IFERROR(VLOOKUP(IDNMaps[[#This Row],[Primary]],INDIRECT(VLOOKUP(IDNMaps[[#This Row],[Type]],RecordCount[],2,0)),VLOOKUP(IDNMaps[[#This Row],[Type]],RecordCount[],7,0),0),"")</f>
        <v/>
      </c>
      <c r="O162" s="6" t="str">
        <f ca="1">IF(IDNMaps[[#This Row],[Name]]="","","("&amp;IDNMaps[[#This Row],[Type]]&amp;") "&amp;IDNMaps[[#This Row],[Name]])</f>
        <v/>
      </c>
      <c r="P162" s="6" t="str">
        <f ca="1">IFERROR(VLOOKUP(IDNMaps[[#This Row],[Primary]],INDIRECT(VLOOKUP(IDNMaps[[#This Row],[Type]],RecordCount[],2,0)),VLOOKUP(IDNMaps[[#This Row],[Type]],RecordCount[],8,0),0),"")</f>
        <v/>
      </c>
    </row>
    <row r="163" spans="10:16" x14ac:dyDescent="0.25">
      <c r="J163" s="11">
        <f t="shared" si="2"/>
        <v>162</v>
      </c>
      <c r="K16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3" s="6" t="str">
        <f ca="1">IF(IDNMaps[[#This Row],[Type]]="","",COUNTIF($K$1:IDNMaps[[#This Row],[Type]],IDNMaps[[#This Row],[Type]]))</f>
        <v/>
      </c>
      <c r="M163" s="6" t="str">
        <f ca="1">IFERROR(VLOOKUP(IDNMaps[[#This Row],[Type]],RecordCount[],6,0)&amp;"-"&amp;IDNMaps[[#This Row],[Type Count]],"")</f>
        <v/>
      </c>
      <c r="N163" s="6" t="str">
        <f ca="1">IFERROR(VLOOKUP(IDNMaps[[#This Row],[Primary]],INDIRECT(VLOOKUP(IDNMaps[[#This Row],[Type]],RecordCount[],2,0)),VLOOKUP(IDNMaps[[#This Row],[Type]],RecordCount[],7,0),0),"")</f>
        <v/>
      </c>
      <c r="O163" s="6" t="str">
        <f ca="1">IF(IDNMaps[[#This Row],[Name]]="","","("&amp;IDNMaps[[#This Row],[Type]]&amp;") "&amp;IDNMaps[[#This Row],[Name]])</f>
        <v/>
      </c>
      <c r="P163" s="6" t="str">
        <f ca="1">IFERROR(VLOOKUP(IDNMaps[[#This Row],[Primary]],INDIRECT(VLOOKUP(IDNMaps[[#This Row],[Type]],RecordCount[],2,0)),VLOOKUP(IDNMaps[[#This Row],[Type]],RecordCount[],8,0),0),"")</f>
        <v/>
      </c>
    </row>
    <row r="164" spans="10:16" x14ac:dyDescent="0.25">
      <c r="J164" s="11">
        <f t="shared" si="2"/>
        <v>163</v>
      </c>
      <c r="K16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4" s="6" t="str">
        <f ca="1">IF(IDNMaps[[#This Row],[Type]]="","",COUNTIF($K$1:IDNMaps[[#This Row],[Type]],IDNMaps[[#This Row],[Type]]))</f>
        <v/>
      </c>
      <c r="M164" s="6" t="str">
        <f ca="1">IFERROR(VLOOKUP(IDNMaps[[#This Row],[Type]],RecordCount[],6,0)&amp;"-"&amp;IDNMaps[[#This Row],[Type Count]],"")</f>
        <v/>
      </c>
      <c r="N164" s="6" t="str">
        <f ca="1">IFERROR(VLOOKUP(IDNMaps[[#This Row],[Primary]],INDIRECT(VLOOKUP(IDNMaps[[#This Row],[Type]],RecordCount[],2,0)),VLOOKUP(IDNMaps[[#This Row],[Type]],RecordCount[],7,0),0),"")</f>
        <v/>
      </c>
      <c r="O164" s="6" t="str">
        <f ca="1">IF(IDNMaps[[#This Row],[Name]]="","","("&amp;IDNMaps[[#This Row],[Type]]&amp;") "&amp;IDNMaps[[#This Row],[Name]])</f>
        <v/>
      </c>
      <c r="P164" s="6" t="str">
        <f ca="1">IFERROR(VLOOKUP(IDNMaps[[#This Row],[Primary]],INDIRECT(VLOOKUP(IDNMaps[[#This Row],[Type]],RecordCount[],2,0)),VLOOKUP(IDNMaps[[#This Row],[Type]],RecordCount[],8,0),0),"")</f>
        <v/>
      </c>
    </row>
    <row r="165" spans="10:16" x14ac:dyDescent="0.25">
      <c r="J165" s="11">
        <f t="shared" si="2"/>
        <v>164</v>
      </c>
      <c r="K16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5" s="6" t="str">
        <f ca="1">IF(IDNMaps[[#This Row],[Type]]="","",COUNTIF($K$1:IDNMaps[[#This Row],[Type]],IDNMaps[[#This Row],[Type]]))</f>
        <v/>
      </c>
      <c r="M165" s="6" t="str">
        <f ca="1">IFERROR(VLOOKUP(IDNMaps[[#This Row],[Type]],RecordCount[],6,0)&amp;"-"&amp;IDNMaps[[#This Row],[Type Count]],"")</f>
        <v/>
      </c>
      <c r="N165" s="6" t="str">
        <f ca="1">IFERROR(VLOOKUP(IDNMaps[[#This Row],[Primary]],INDIRECT(VLOOKUP(IDNMaps[[#This Row],[Type]],RecordCount[],2,0)),VLOOKUP(IDNMaps[[#This Row],[Type]],RecordCount[],7,0),0),"")</f>
        <v/>
      </c>
      <c r="O165" s="6" t="str">
        <f ca="1">IF(IDNMaps[[#This Row],[Name]]="","","("&amp;IDNMaps[[#This Row],[Type]]&amp;") "&amp;IDNMaps[[#This Row],[Name]])</f>
        <v/>
      </c>
      <c r="P165" s="6" t="str">
        <f ca="1">IFERROR(VLOOKUP(IDNMaps[[#This Row],[Primary]],INDIRECT(VLOOKUP(IDNMaps[[#This Row],[Type]],RecordCount[],2,0)),VLOOKUP(IDNMaps[[#This Row],[Type]],RecordCount[],8,0),0),"")</f>
        <v/>
      </c>
    </row>
    <row r="166" spans="10:16" x14ac:dyDescent="0.25">
      <c r="J166" s="11">
        <f t="shared" si="2"/>
        <v>165</v>
      </c>
      <c r="K16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6" s="6" t="str">
        <f ca="1">IF(IDNMaps[[#This Row],[Type]]="","",COUNTIF($K$1:IDNMaps[[#This Row],[Type]],IDNMaps[[#This Row],[Type]]))</f>
        <v/>
      </c>
      <c r="M166" s="6" t="str">
        <f ca="1">IFERROR(VLOOKUP(IDNMaps[[#This Row],[Type]],RecordCount[],6,0)&amp;"-"&amp;IDNMaps[[#This Row],[Type Count]],"")</f>
        <v/>
      </c>
      <c r="N166" s="6" t="str">
        <f ca="1">IFERROR(VLOOKUP(IDNMaps[[#This Row],[Primary]],INDIRECT(VLOOKUP(IDNMaps[[#This Row],[Type]],RecordCount[],2,0)),VLOOKUP(IDNMaps[[#This Row],[Type]],RecordCount[],7,0),0),"")</f>
        <v/>
      </c>
      <c r="O166" s="6" t="str">
        <f ca="1">IF(IDNMaps[[#This Row],[Name]]="","","("&amp;IDNMaps[[#This Row],[Type]]&amp;") "&amp;IDNMaps[[#This Row],[Name]])</f>
        <v/>
      </c>
      <c r="P166" s="6" t="str">
        <f ca="1">IFERROR(VLOOKUP(IDNMaps[[#This Row],[Primary]],INDIRECT(VLOOKUP(IDNMaps[[#This Row],[Type]],RecordCount[],2,0)),VLOOKUP(IDNMaps[[#This Row],[Type]],RecordCount[],8,0),0),"")</f>
        <v/>
      </c>
    </row>
    <row r="167" spans="10:16" x14ac:dyDescent="0.25">
      <c r="J167" s="11">
        <f t="shared" si="2"/>
        <v>166</v>
      </c>
      <c r="K16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7" s="6" t="str">
        <f ca="1">IF(IDNMaps[[#This Row],[Type]]="","",COUNTIF($K$1:IDNMaps[[#This Row],[Type]],IDNMaps[[#This Row],[Type]]))</f>
        <v/>
      </c>
      <c r="M167" s="6" t="str">
        <f ca="1">IFERROR(VLOOKUP(IDNMaps[[#This Row],[Type]],RecordCount[],6,0)&amp;"-"&amp;IDNMaps[[#This Row],[Type Count]],"")</f>
        <v/>
      </c>
      <c r="N167" s="6" t="str">
        <f ca="1">IFERROR(VLOOKUP(IDNMaps[[#This Row],[Primary]],INDIRECT(VLOOKUP(IDNMaps[[#This Row],[Type]],RecordCount[],2,0)),VLOOKUP(IDNMaps[[#This Row],[Type]],RecordCount[],7,0),0),"")</f>
        <v/>
      </c>
      <c r="O167" s="6" t="str">
        <f ca="1">IF(IDNMaps[[#This Row],[Name]]="","","("&amp;IDNMaps[[#This Row],[Type]]&amp;") "&amp;IDNMaps[[#This Row],[Name]])</f>
        <v/>
      </c>
      <c r="P167" s="6" t="str">
        <f ca="1">IFERROR(VLOOKUP(IDNMaps[[#This Row],[Primary]],INDIRECT(VLOOKUP(IDNMaps[[#This Row],[Type]],RecordCount[],2,0)),VLOOKUP(IDNMaps[[#This Row],[Type]],RecordCount[],8,0),0),"")</f>
        <v/>
      </c>
    </row>
    <row r="168" spans="10:16" x14ac:dyDescent="0.25">
      <c r="J168" s="11">
        <f t="shared" si="2"/>
        <v>167</v>
      </c>
      <c r="K16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8" s="6" t="str">
        <f ca="1">IF(IDNMaps[[#This Row],[Type]]="","",COUNTIF($K$1:IDNMaps[[#This Row],[Type]],IDNMaps[[#This Row],[Type]]))</f>
        <v/>
      </c>
      <c r="M168" s="6" t="str">
        <f ca="1">IFERROR(VLOOKUP(IDNMaps[[#This Row],[Type]],RecordCount[],6,0)&amp;"-"&amp;IDNMaps[[#This Row],[Type Count]],"")</f>
        <v/>
      </c>
      <c r="N168" s="6" t="str">
        <f ca="1">IFERROR(VLOOKUP(IDNMaps[[#This Row],[Primary]],INDIRECT(VLOOKUP(IDNMaps[[#This Row],[Type]],RecordCount[],2,0)),VLOOKUP(IDNMaps[[#This Row],[Type]],RecordCount[],7,0),0),"")</f>
        <v/>
      </c>
      <c r="O168" s="6" t="str">
        <f ca="1">IF(IDNMaps[[#This Row],[Name]]="","","("&amp;IDNMaps[[#This Row],[Type]]&amp;") "&amp;IDNMaps[[#This Row],[Name]])</f>
        <v/>
      </c>
      <c r="P168" s="6" t="str">
        <f ca="1">IFERROR(VLOOKUP(IDNMaps[[#This Row],[Primary]],INDIRECT(VLOOKUP(IDNMaps[[#This Row],[Type]],RecordCount[],2,0)),VLOOKUP(IDNMaps[[#This Row],[Type]],RecordCount[],8,0),0),"")</f>
        <v/>
      </c>
    </row>
    <row r="169" spans="10:16" x14ac:dyDescent="0.25">
      <c r="J169" s="11">
        <f t="shared" si="2"/>
        <v>168</v>
      </c>
      <c r="K16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9" s="6" t="str">
        <f ca="1">IF(IDNMaps[[#This Row],[Type]]="","",COUNTIF($K$1:IDNMaps[[#This Row],[Type]],IDNMaps[[#This Row],[Type]]))</f>
        <v/>
      </c>
      <c r="M169" s="6" t="str">
        <f ca="1">IFERROR(VLOOKUP(IDNMaps[[#This Row],[Type]],RecordCount[],6,0)&amp;"-"&amp;IDNMaps[[#This Row],[Type Count]],"")</f>
        <v/>
      </c>
      <c r="N169" s="6" t="str">
        <f ca="1">IFERROR(VLOOKUP(IDNMaps[[#This Row],[Primary]],INDIRECT(VLOOKUP(IDNMaps[[#This Row],[Type]],RecordCount[],2,0)),VLOOKUP(IDNMaps[[#This Row],[Type]],RecordCount[],7,0),0),"")</f>
        <v/>
      </c>
      <c r="O169" s="6" t="str">
        <f ca="1">IF(IDNMaps[[#This Row],[Name]]="","","("&amp;IDNMaps[[#This Row],[Type]]&amp;") "&amp;IDNMaps[[#This Row],[Name]])</f>
        <v/>
      </c>
      <c r="P169" s="6" t="str">
        <f ca="1">IFERROR(VLOOKUP(IDNMaps[[#This Row],[Primary]],INDIRECT(VLOOKUP(IDNMaps[[#This Row],[Type]],RecordCount[],2,0)),VLOOKUP(IDNMaps[[#This Row],[Type]],RecordCount[],8,0),0),"")</f>
        <v/>
      </c>
    </row>
    <row r="170" spans="10:16" x14ac:dyDescent="0.25">
      <c r="J170" s="11">
        <f t="shared" si="2"/>
        <v>169</v>
      </c>
      <c r="K17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0" s="6" t="str">
        <f ca="1">IF(IDNMaps[[#This Row],[Type]]="","",COUNTIF($K$1:IDNMaps[[#This Row],[Type]],IDNMaps[[#This Row],[Type]]))</f>
        <v/>
      </c>
      <c r="M170" s="6" t="str">
        <f ca="1">IFERROR(VLOOKUP(IDNMaps[[#This Row],[Type]],RecordCount[],6,0)&amp;"-"&amp;IDNMaps[[#This Row],[Type Count]],"")</f>
        <v/>
      </c>
      <c r="N170" s="6" t="str">
        <f ca="1">IFERROR(VLOOKUP(IDNMaps[[#This Row],[Primary]],INDIRECT(VLOOKUP(IDNMaps[[#This Row],[Type]],RecordCount[],2,0)),VLOOKUP(IDNMaps[[#This Row],[Type]],RecordCount[],7,0),0),"")</f>
        <v/>
      </c>
      <c r="O170" s="6" t="str">
        <f ca="1">IF(IDNMaps[[#This Row],[Name]]="","","("&amp;IDNMaps[[#This Row],[Type]]&amp;") "&amp;IDNMaps[[#This Row],[Name]])</f>
        <v/>
      </c>
      <c r="P170" s="6" t="str">
        <f ca="1">IFERROR(VLOOKUP(IDNMaps[[#This Row],[Primary]],INDIRECT(VLOOKUP(IDNMaps[[#This Row],[Type]],RecordCount[],2,0)),VLOOKUP(IDNMaps[[#This Row],[Type]],RecordCount[],8,0),0),"")</f>
        <v/>
      </c>
    </row>
    <row r="171" spans="10:16" x14ac:dyDescent="0.25">
      <c r="J171" s="11">
        <f t="shared" si="2"/>
        <v>170</v>
      </c>
      <c r="K17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1" s="6" t="str">
        <f ca="1">IF(IDNMaps[[#This Row],[Type]]="","",COUNTIF($K$1:IDNMaps[[#This Row],[Type]],IDNMaps[[#This Row],[Type]]))</f>
        <v/>
      </c>
      <c r="M171" s="6" t="str">
        <f ca="1">IFERROR(VLOOKUP(IDNMaps[[#This Row],[Type]],RecordCount[],6,0)&amp;"-"&amp;IDNMaps[[#This Row],[Type Count]],"")</f>
        <v/>
      </c>
      <c r="N171" s="6" t="str">
        <f ca="1">IFERROR(VLOOKUP(IDNMaps[[#This Row],[Primary]],INDIRECT(VLOOKUP(IDNMaps[[#This Row],[Type]],RecordCount[],2,0)),VLOOKUP(IDNMaps[[#This Row],[Type]],RecordCount[],7,0),0),"")</f>
        <v/>
      </c>
      <c r="O171" s="6" t="str">
        <f ca="1">IF(IDNMaps[[#This Row],[Name]]="","","("&amp;IDNMaps[[#This Row],[Type]]&amp;") "&amp;IDNMaps[[#This Row],[Name]])</f>
        <v/>
      </c>
      <c r="P171" s="6" t="str">
        <f ca="1">IFERROR(VLOOKUP(IDNMaps[[#This Row],[Primary]],INDIRECT(VLOOKUP(IDNMaps[[#This Row],[Type]],RecordCount[],2,0)),VLOOKUP(IDNMaps[[#This Row],[Type]],RecordCount[],8,0),0),"")</f>
        <v/>
      </c>
    </row>
    <row r="172" spans="10:16" x14ac:dyDescent="0.25">
      <c r="J172" s="11">
        <f t="shared" si="2"/>
        <v>171</v>
      </c>
      <c r="K17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2" s="6" t="str">
        <f ca="1">IF(IDNMaps[[#This Row],[Type]]="","",COUNTIF($K$1:IDNMaps[[#This Row],[Type]],IDNMaps[[#This Row],[Type]]))</f>
        <v/>
      </c>
      <c r="M172" s="6" t="str">
        <f ca="1">IFERROR(VLOOKUP(IDNMaps[[#This Row],[Type]],RecordCount[],6,0)&amp;"-"&amp;IDNMaps[[#This Row],[Type Count]],"")</f>
        <v/>
      </c>
      <c r="N172" s="6" t="str">
        <f ca="1">IFERROR(VLOOKUP(IDNMaps[[#This Row],[Primary]],INDIRECT(VLOOKUP(IDNMaps[[#This Row],[Type]],RecordCount[],2,0)),VLOOKUP(IDNMaps[[#This Row],[Type]],RecordCount[],7,0),0),"")</f>
        <v/>
      </c>
      <c r="O172" s="6" t="str">
        <f ca="1">IF(IDNMaps[[#This Row],[Name]]="","","("&amp;IDNMaps[[#This Row],[Type]]&amp;") "&amp;IDNMaps[[#This Row],[Name]])</f>
        <v/>
      </c>
      <c r="P172" s="6" t="str">
        <f ca="1">IFERROR(VLOOKUP(IDNMaps[[#This Row],[Primary]],INDIRECT(VLOOKUP(IDNMaps[[#This Row],[Type]],RecordCount[],2,0)),VLOOKUP(IDNMaps[[#This Row],[Type]],RecordCount[],8,0),0),"")</f>
        <v/>
      </c>
    </row>
    <row r="173" spans="10:16" x14ac:dyDescent="0.25">
      <c r="J173" s="11">
        <f t="shared" si="2"/>
        <v>172</v>
      </c>
      <c r="K17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3" s="6" t="str">
        <f ca="1">IF(IDNMaps[[#This Row],[Type]]="","",COUNTIF($K$1:IDNMaps[[#This Row],[Type]],IDNMaps[[#This Row],[Type]]))</f>
        <v/>
      </c>
      <c r="M173" s="6" t="str">
        <f ca="1">IFERROR(VLOOKUP(IDNMaps[[#This Row],[Type]],RecordCount[],6,0)&amp;"-"&amp;IDNMaps[[#This Row],[Type Count]],"")</f>
        <v/>
      </c>
      <c r="N173" s="6" t="str">
        <f ca="1">IFERROR(VLOOKUP(IDNMaps[[#This Row],[Primary]],INDIRECT(VLOOKUP(IDNMaps[[#This Row],[Type]],RecordCount[],2,0)),VLOOKUP(IDNMaps[[#This Row],[Type]],RecordCount[],7,0),0),"")</f>
        <v/>
      </c>
      <c r="O173" s="6" t="str">
        <f ca="1">IF(IDNMaps[[#This Row],[Name]]="","","("&amp;IDNMaps[[#This Row],[Type]]&amp;") "&amp;IDNMaps[[#This Row],[Name]])</f>
        <v/>
      </c>
      <c r="P173" s="6" t="str">
        <f ca="1">IFERROR(VLOOKUP(IDNMaps[[#This Row],[Primary]],INDIRECT(VLOOKUP(IDNMaps[[#This Row],[Type]],RecordCount[],2,0)),VLOOKUP(IDNMaps[[#This Row],[Type]],RecordCount[],8,0),0),"")</f>
        <v/>
      </c>
    </row>
    <row r="174" spans="10:16" x14ac:dyDescent="0.25">
      <c r="J174" s="11">
        <f t="shared" si="2"/>
        <v>173</v>
      </c>
      <c r="K17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4" s="6" t="str">
        <f ca="1">IF(IDNMaps[[#This Row],[Type]]="","",COUNTIF($K$1:IDNMaps[[#This Row],[Type]],IDNMaps[[#This Row],[Type]]))</f>
        <v/>
      </c>
      <c r="M174" s="6" t="str">
        <f ca="1">IFERROR(VLOOKUP(IDNMaps[[#This Row],[Type]],RecordCount[],6,0)&amp;"-"&amp;IDNMaps[[#This Row],[Type Count]],"")</f>
        <v/>
      </c>
      <c r="N174" s="6" t="str">
        <f ca="1">IFERROR(VLOOKUP(IDNMaps[[#This Row],[Primary]],INDIRECT(VLOOKUP(IDNMaps[[#This Row],[Type]],RecordCount[],2,0)),VLOOKUP(IDNMaps[[#This Row],[Type]],RecordCount[],7,0),0),"")</f>
        <v/>
      </c>
      <c r="O174" s="6" t="str">
        <f ca="1">IF(IDNMaps[[#This Row],[Name]]="","","("&amp;IDNMaps[[#This Row],[Type]]&amp;") "&amp;IDNMaps[[#This Row],[Name]])</f>
        <v/>
      </c>
      <c r="P174" s="6" t="str">
        <f ca="1">IFERROR(VLOOKUP(IDNMaps[[#This Row],[Primary]],INDIRECT(VLOOKUP(IDNMaps[[#This Row],[Type]],RecordCount[],2,0)),VLOOKUP(IDNMaps[[#This Row],[Type]],RecordCount[],8,0),0),"")</f>
        <v/>
      </c>
    </row>
    <row r="175" spans="10:16" x14ac:dyDescent="0.25">
      <c r="J175" s="11">
        <f t="shared" si="2"/>
        <v>174</v>
      </c>
      <c r="K17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5" s="6" t="str">
        <f ca="1">IF(IDNMaps[[#This Row],[Type]]="","",COUNTIF($K$1:IDNMaps[[#This Row],[Type]],IDNMaps[[#This Row],[Type]]))</f>
        <v/>
      </c>
      <c r="M175" s="6" t="str">
        <f ca="1">IFERROR(VLOOKUP(IDNMaps[[#This Row],[Type]],RecordCount[],6,0)&amp;"-"&amp;IDNMaps[[#This Row],[Type Count]],"")</f>
        <v/>
      </c>
      <c r="N175" s="6" t="str">
        <f ca="1">IFERROR(VLOOKUP(IDNMaps[[#This Row],[Primary]],INDIRECT(VLOOKUP(IDNMaps[[#This Row],[Type]],RecordCount[],2,0)),VLOOKUP(IDNMaps[[#This Row],[Type]],RecordCount[],7,0),0),"")</f>
        <v/>
      </c>
      <c r="O175" s="6" t="str">
        <f ca="1">IF(IDNMaps[[#This Row],[Name]]="","","("&amp;IDNMaps[[#This Row],[Type]]&amp;") "&amp;IDNMaps[[#This Row],[Name]])</f>
        <v/>
      </c>
      <c r="P175" s="6" t="str">
        <f ca="1">IFERROR(VLOOKUP(IDNMaps[[#This Row],[Primary]],INDIRECT(VLOOKUP(IDNMaps[[#This Row],[Type]],RecordCount[],2,0)),VLOOKUP(IDNMaps[[#This Row],[Type]],RecordCount[],8,0),0),"")</f>
        <v/>
      </c>
    </row>
    <row r="176" spans="10:16" x14ac:dyDescent="0.25">
      <c r="J176" s="11">
        <f t="shared" si="2"/>
        <v>175</v>
      </c>
      <c r="K17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6" s="6" t="str">
        <f ca="1">IF(IDNMaps[[#This Row],[Type]]="","",COUNTIF($K$1:IDNMaps[[#This Row],[Type]],IDNMaps[[#This Row],[Type]]))</f>
        <v/>
      </c>
      <c r="M176" s="6" t="str">
        <f ca="1">IFERROR(VLOOKUP(IDNMaps[[#This Row],[Type]],RecordCount[],6,0)&amp;"-"&amp;IDNMaps[[#This Row],[Type Count]],"")</f>
        <v/>
      </c>
      <c r="N176" s="6" t="str">
        <f ca="1">IFERROR(VLOOKUP(IDNMaps[[#This Row],[Primary]],INDIRECT(VLOOKUP(IDNMaps[[#This Row],[Type]],RecordCount[],2,0)),VLOOKUP(IDNMaps[[#This Row],[Type]],RecordCount[],7,0),0),"")</f>
        <v/>
      </c>
      <c r="O176" s="6" t="str">
        <f ca="1">IF(IDNMaps[[#This Row],[Name]]="","","("&amp;IDNMaps[[#This Row],[Type]]&amp;") "&amp;IDNMaps[[#This Row],[Name]])</f>
        <v/>
      </c>
      <c r="P176" s="6" t="str">
        <f ca="1">IFERROR(VLOOKUP(IDNMaps[[#This Row],[Primary]],INDIRECT(VLOOKUP(IDNMaps[[#This Row],[Type]],RecordCount[],2,0)),VLOOKUP(IDNMaps[[#This Row],[Type]],RecordCount[],8,0),0),"")</f>
        <v/>
      </c>
    </row>
    <row r="177" spans="10:16" x14ac:dyDescent="0.25">
      <c r="J177" s="11">
        <f t="shared" si="2"/>
        <v>176</v>
      </c>
      <c r="K17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7" s="6" t="str">
        <f ca="1">IF(IDNMaps[[#This Row],[Type]]="","",COUNTIF($K$1:IDNMaps[[#This Row],[Type]],IDNMaps[[#This Row],[Type]]))</f>
        <v/>
      </c>
      <c r="M177" s="6" t="str">
        <f ca="1">IFERROR(VLOOKUP(IDNMaps[[#This Row],[Type]],RecordCount[],6,0)&amp;"-"&amp;IDNMaps[[#This Row],[Type Count]],"")</f>
        <v/>
      </c>
      <c r="N177" s="6" t="str">
        <f ca="1">IFERROR(VLOOKUP(IDNMaps[[#This Row],[Primary]],INDIRECT(VLOOKUP(IDNMaps[[#This Row],[Type]],RecordCount[],2,0)),VLOOKUP(IDNMaps[[#This Row],[Type]],RecordCount[],7,0),0),"")</f>
        <v/>
      </c>
      <c r="O177" s="6" t="str">
        <f ca="1">IF(IDNMaps[[#This Row],[Name]]="","","("&amp;IDNMaps[[#This Row],[Type]]&amp;") "&amp;IDNMaps[[#This Row],[Name]])</f>
        <v/>
      </c>
      <c r="P177" s="6" t="str">
        <f ca="1">IFERROR(VLOOKUP(IDNMaps[[#This Row],[Primary]],INDIRECT(VLOOKUP(IDNMaps[[#This Row],[Type]],RecordCount[],2,0)),VLOOKUP(IDNMaps[[#This Row],[Type]],RecordCount[],8,0),0),"")</f>
        <v/>
      </c>
    </row>
    <row r="178" spans="10:16" x14ac:dyDescent="0.25">
      <c r="J178" s="11">
        <f t="shared" si="2"/>
        <v>177</v>
      </c>
      <c r="K17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8" s="6" t="str">
        <f ca="1">IF(IDNMaps[[#This Row],[Type]]="","",COUNTIF($K$1:IDNMaps[[#This Row],[Type]],IDNMaps[[#This Row],[Type]]))</f>
        <v/>
      </c>
      <c r="M178" s="6" t="str">
        <f ca="1">IFERROR(VLOOKUP(IDNMaps[[#This Row],[Type]],RecordCount[],6,0)&amp;"-"&amp;IDNMaps[[#This Row],[Type Count]],"")</f>
        <v/>
      </c>
      <c r="N178" s="6" t="str">
        <f ca="1">IFERROR(VLOOKUP(IDNMaps[[#This Row],[Primary]],INDIRECT(VLOOKUP(IDNMaps[[#This Row],[Type]],RecordCount[],2,0)),VLOOKUP(IDNMaps[[#This Row],[Type]],RecordCount[],7,0),0),"")</f>
        <v/>
      </c>
      <c r="O178" s="6" t="str">
        <f ca="1">IF(IDNMaps[[#This Row],[Name]]="","","("&amp;IDNMaps[[#This Row],[Type]]&amp;") "&amp;IDNMaps[[#This Row],[Name]])</f>
        <v/>
      </c>
      <c r="P178" s="6" t="str">
        <f ca="1">IFERROR(VLOOKUP(IDNMaps[[#This Row],[Primary]],INDIRECT(VLOOKUP(IDNMaps[[#This Row],[Type]],RecordCount[],2,0)),VLOOKUP(IDNMaps[[#This Row],[Type]],RecordCount[],8,0),0),"")</f>
        <v/>
      </c>
    </row>
    <row r="179" spans="10:16" x14ac:dyDescent="0.25">
      <c r="J179" s="11">
        <f t="shared" si="2"/>
        <v>178</v>
      </c>
      <c r="K17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9" s="6" t="str">
        <f ca="1">IF(IDNMaps[[#This Row],[Type]]="","",COUNTIF($K$1:IDNMaps[[#This Row],[Type]],IDNMaps[[#This Row],[Type]]))</f>
        <v/>
      </c>
      <c r="M179" s="6" t="str">
        <f ca="1">IFERROR(VLOOKUP(IDNMaps[[#This Row],[Type]],RecordCount[],6,0)&amp;"-"&amp;IDNMaps[[#This Row],[Type Count]],"")</f>
        <v/>
      </c>
      <c r="N179" s="6" t="str">
        <f ca="1">IFERROR(VLOOKUP(IDNMaps[[#This Row],[Primary]],INDIRECT(VLOOKUP(IDNMaps[[#This Row],[Type]],RecordCount[],2,0)),VLOOKUP(IDNMaps[[#This Row],[Type]],RecordCount[],7,0),0),"")</f>
        <v/>
      </c>
      <c r="O179" s="6" t="str">
        <f ca="1">IF(IDNMaps[[#This Row],[Name]]="","","("&amp;IDNMaps[[#This Row],[Type]]&amp;") "&amp;IDNMaps[[#This Row],[Name]])</f>
        <v/>
      </c>
      <c r="P179" s="6" t="str">
        <f ca="1">IFERROR(VLOOKUP(IDNMaps[[#This Row],[Primary]],INDIRECT(VLOOKUP(IDNMaps[[#This Row],[Type]],RecordCount[],2,0)),VLOOKUP(IDNMaps[[#This Row],[Type]],RecordCount[],8,0),0),"")</f>
        <v/>
      </c>
    </row>
    <row r="180" spans="10:16" x14ac:dyDescent="0.25">
      <c r="J180" s="11">
        <f t="shared" si="2"/>
        <v>179</v>
      </c>
      <c r="K18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0" s="6" t="str">
        <f ca="1">IF(IDNMaps[[#This Row],[Type]]="","",COUNTIF($K$1:IDNMaps[[#This Row],[Type]],IDNMaps[[#This Row],[Type]]))</f>
        <v/>
      </c>
      <c r="M180" s="6" t="str">
        <f ca="1">IFERROR(VLOOKUP(IDNMaps[[#This Row],[Type]],RecordCount[],6,0)&amp;"-"&amp;IDNMaps[[#This Row],[Type Count]],"")</f>
        <v/>
      </c>
      <c r="N180" s="6" t="str">
        <f ca="1">IFERROR(VLOOKUP(IDNMaps[[#This Row],[Primary]],INDIRECT(VLOOKUP(IDNMaps[[#This Row],[Type]],RecordCount[],2,0)),VLOOKUP(IDNMaps[[#This Row],[Type]],RecordCount[],7,0),0),"")</f>
        <v/>
      </c>
      <c r="O180" s="6" t="str">
        <f ca="1">IF(IDNMaps[[#This Row],[Name]]="","","("&amp;IDNMaps[[#This Row],[Type]]&amp;") "&amp;IDNMaps[[#This Row],[Name]])</f>
        <v/>
      </c>
      <c r="P180" s="6" t="str">
        <f ca="1">IFERROR(VLOOKUP(IDNMaps[[#This Row],[Primary]],INDIRECT(VLOOKUP(IDNMaps[[#This Row],[Type]],RecordCount[],2,0)),VLOOKUP(IDNMaps[[#This Row],[Type]],RecordCount[],8,0),0),"")</f>
        <v/>
      </c>
    </row>
    <row r="181" spans="10:16" x14ac:dyDescent="0.25">
      <c r="J181" s="11">
        <f t="shared" si="2"/>
        <v>180</v>
      </c>
      <c r="K18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1" s="6" t="str">
        <f ca="1">IF(IDNMaps[[#This Row],[Type]]="","",COUNTIF($K$1:IDNMaps[[#This Row],[Type]],IDNMaps[[#This Row],[Type]]))</f>
        <v/>
      </c>
      <c r="M181" s="6" t="str">
        <f ca="1">IFERROR(VLOOKUP(IDNMaps[[#This Row],[Type]],RecordCount[],6,0)&amp;"-"&amp;IDNMaps[[#This Row],[Type Count]],"")</f>
        <v/>
      </c>
      <c r="N181" s="6" t="str">
        <f ca="1">IFERROR(VLOOKUP(IDNMaps[[#This Row],[Primary]],INDIRECT(VLOOKUP(IDNMaps[[#This Row],[Type]],RecordCount[],2,0)),VLOOKUP(IDNMaps[[#This Row],[Type]],RecordCount[],7,0),0),"")</f>
        <v/>
      </c>
      <c r="O181" s="6" t="str">
        <f ca="1">IF(IDNMaps[[#This Row],[Name]]="","","("&amp;IDNMaps[[#This Row],[Type]]&amp;") "&amp;IDNMaps[[#This Row],[Name]])</f>
        <v/>
      </c>
      <c r="P181" s="6" t="str">
        <f ca="1">IFERROR(VLOOKUP(IDNMaps[[#This Row],[Primary]],INDIRECT(VLOOKUP(IDNMaps[[#This Row],[Type]],RecordCount[],2,0)),VLOOKUP(IDNMaps[[#This Row],[Type]],RecordCount[],8,0),0),"")</f>
        <v/>
      </c>
    </row>
    <row r="182" spans="10:16" x14ac:dyDescent="0.25">
      <c r="J182" s="11">
        <f t="shared" si="2"/>
        <v>181</v>
      </c>
      <c r="K18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2" s="6" t="str">
        <f ca="1">IF(IDNMaps[[#This Row],[Type]]="","",COUNTIF($K$1:IDNMaps[[#This Row],[Type]],IDNMaps[[#This Row],[Type]]))</f>
        <v/>
      </c>
      <c r="M182" s="6" t="str">
        <f ca="1">IFERROR(VLOOKUP(IDNMaps[[#This Row],[Type]],RecordCount[],6,0)&amp;"-"&amp;IDNMaps[[#This Row],[Type Count]],"")</f>
        <v/>
      </c>
      <c r="N182" s="6" t="str">
        <f ca="1">IFERROR(VLOOKUP(IDNMaps[[#This Row],[Primary]],INDIRECT(VLOOKUP(IDNMaps[[#This Row],[Type]],RecordCount[],2,0)),VLOOKUP(IDNMaps[[#This Row],[Type]],RecordCount[],7,0),0),"")</f>
        <v/>
      </c>
      <c r="O182" s="6" t="str">
        <f ca="1">IF(IDNMaps[[#This Row],[Name]]="","","("&amp;IDNMaps[[#This Row],[Type]]&amp;") "&amp;IDNMaps[[#This Row],[Name]])</f>
        <v/>
      </c>
      <c r="P182" s="6" t="str">
        <f ca="1">IFERROR(VLOOKUP(IDNMaps[[#This Row],[Primary]],INDIRECT(VLOOKUP(IDNMaps[[#This Row],[Type]],RecordCount[],2,0)),VLOOKUP(IDNMaps[[#This Row],[Type]],RecordCount[],8,0),0),"")</f>
        <v/>
      </c>
    </row>
    <row r="183" spans="10:16" x14ac:dyDescent="0.25">
      <c r="J183" s="11">
        <f t="shared" si="2"/>
        <v>182</v>
      </c>
      <c r="K18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3" s="6" t="str">
        <f ca="1">IF(IDNMaps[[#This Row],[Type]]="","",COUNTIF($K$1:IDNMaps[[#This Row],[Type]],IDNMaps[[#This Row],[Type]]))</f>
        <v/>
      </c>
      <c r="M183" s="6" t="str">
        <f ca="1">IFERROR(VLOOKUP(IDNMaps[[#This Row],[Type]],RecordCount[],6,0)&amp;"-"&amp;IDNMaps[[#This Row],[Type Count]],"")</f>
        <v/>
      </c>
      <c r="N183" s="6" t="str">
        <f ca="1">IFERROR(VLOOKUP(IDNMaps[[#This Row],[Primary]],INDIRECT(VLOOKUP(IDNMaps[[#This Row],[Type]],RecordCount[],2,0)),VLOOKUP(IDNMaps[[#This Row],[Type]],RecordCount[],7,0),0),"")</f>
        <v/>
      </c>
      <c r="O183" s="6" t="str">
        <f ca="1">IF(IDNMaps[[#This Row],[Name]]="","","("&amp;IDNMaps[[#This Row],[Type]]&amp;") "&amp;IDNMaps[[#This Row],[Name]])</f>
        <v/>
      </c>
      <c r="P183" s="6" t="str">
        <f ca="1">IFERROR(VLOOKUP(IDNMaps[[#This Row],[Primary]],INDIRECT(VLOOKUP(IDNMaps[[#This Row],[Type]],RecordCount[],2,0)),VLOOKUP(IDNMaps[[#This Row],[Type]],RecordCount[],8,0),0),"")</f>
        <v/>
      </c>
    </row>
    <row r="184" spans="10:16" x14ac:dyDescent="0.25">
      <c r="J184" s="11">
        <f t="shared" si="2"/>
        <v>183</v>
      </c>
      <c r="K18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4" s="6" t="str">
        <f ca="1">IF(IDNMaps[[#This Row],[Type]]="","",COUNTIF($K$1:IDNMaps[[#This Row],[Type]],IDNMaps[[#This Row],[Type]]))</f>
        <v/>
      </c>
      <c r="M184" s="6" t="str">
        <f ca="1">IFERROR(VLOOKUP(IDNMaps[[#This Row],[Type]],RecordCount[],6,0)&amp;"-"&amp;IDNMaps[[#This Row],[Type Count]],"")</f>
        <v/>
      </c>
      <c r="N184" s="6" t="str">
        <f ca="1">IFERROR(VLOOKUP(IDNMaps[[#This Row],[Primary]],INDIRECT(VLOOKUP(IDNMaps[[#This Row],[Type]],RecordCount[],2,0)),VLOOKUP(IDNMaps[[#This Row],[Type]],RecordCount[],7,0),0),"")</f>
        <v/>
      </c>
      <c r="O184" s="6" t="str">
        <f ca="1">IF(IDNMaps[[#This Row],[Name]]="","","("&amp;IDNMaps[[#This Row],[Type]]&amp;") "&amp;IDNMaps[[#This Row],[Name]])</f>
        <v/>
      </c>
      <c r="P184" s="6" t="str">
        <f ca="1">IFERROR(VLOOKUP(IDNMaps[[#This Row],[Primary]],INDIRECT(VLOOKUP(IDNMaps[[#This Row],[Type]],RecordCount[],2,0)),VLOOKUP(IDNMaps[[#This Row],[Type]],RecordCount[],8,0),0),"")</f>
        <v/>
      </c>
    </row>
    <row r="185" spans="10:16" x14ac:dyDescent="0.25">
      <c r="J185" s="11">
        <f t="shared" si="2"/>
        <v>184</v>
      </c>
      <c r="K18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5" s="6" t="str">
        <f ca="1">IF(IDNMaps[[#This Row],[Type]]="","",COUNTIF($K$1:IDNMaps[[#This Row],[Type]],IDNMaps[[#This Row],[Type]]))</f>
        <v/>
      </c>
      <c r="M185" s="6" t="str">
        <f ca="1">IFERROR(VLOOKUP(IDNMaps[[#This Row],[Type]],RecordCount[],6,0)&amp;"-"&amp;IDNMaps[[#This Row],[Type Count]],"")</f>
        <v/>
      </c>
      <c r="N185" s="6" t="str">
        <f ca="1">IFERROR(VLOOKUP(IDNMaps[[#This Row],[Primary]],INDIRECT(VLOOKUP(IDNMaps[[#This Row],[Type]],RecordCount[],2,0)),VLOOKUP(IDNMaps[[#This Row],[Type]],RecordCount[],7,0),0),"")</f>
        <v/>
      </c>
      <c r="O185" s="6" t="str">
        <f ca="1">IF(IDNMaps[[#This Row],[Name]]="","","("&amp;IDNMaps[[#This Row],[Type]]&amp;") "&amp;IDNMaps[[#This Row],[Name]])</f>
        <v/>
      </c>
      <c r="P185" s="6" t="str">
        <f ca="1">IFERROR(VLOOKUP(IDNMaps[[#This Row],[Primary]],INDIRECT(VLOOKUP(IDNMaps[[#This Row],[Type]],RecordCount[],2,0)),VLOOKUP(IDNMaps[[#This Row],[Type]],RecordCount[],8,0),0),"")</f>
        <v/>
      </c>
    </row>
    <row r="186" spans="10:16" x14ac:dyDescent="0.25">
      <c r="J186" s="11">
        <f t="shared" si="2"/>
        <v>185</v>
      </c>
      <c r="K18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6" s="6" t="str">
        <f ca="1">IF(IDNMaps[[#This Row],[Type]]="","",COUNTIF($K$1:IDNMaps[[#This Row],[Type]],IDNMaps[[#This Row],[Type]]))</f>
        <v/>
      </c>
      <c r="M186" s="6" t="str">
        <f ca="1">IFERROR(VLOOKUP(IDNMaps[[#This Row],[Type]],RecordCount[],6,0)&amp;"-"&amp;IDNMaps[[#This Row],[Type Count]],"")</f>
        <v/>
      </c>
      <c r="N186" s="6" t="str">
        <f ca="1">IFERROR(VLOOKUP(IDNMaps[[#This Row],[Primary]],INDIRECT(VLOOKUP(IDNMaps[[#This Row],[Type]],RecordCount[],2,0)),VLOOKUP(IDNMaps[[#This Row],[Type]],RecordCount[],7,0),0),"")</f>
        <v/>
      </c>
      <c r="O186" s="6" t="str">
        <f ca="1">IF(IDNMaps[[#This Row],[Name]]="","","("&amp;IDNMaps[[#This Row],[Type]]&amp;") "&amp;IDNMaps[[#This Row],[Name]])</f>
        <v/>
      </c>
      <c r="P186" s="6" t="str">
        <f ca="1">IFERROR(VLOOKUP(IDNMaps[[#This Row],[Primary]],INDIRECT(VLOOKUP(IDNMaps[[#This Row],[Type]],RecordCount[],2,0)),VLOOKUP(IDNMaps[[#This Row],[Type]],RecordCount[],8,0),0),"")</f>
        <v/>
      </c>
    </row>
    <row r="187" spans="10:16" x14ac:dyDescent="0.25">
      <c r="J187" s="11">
        <f t="shared" si="2"/>
        <v>186</v>
      </c>
      <c r="K18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7" s="6" t="str">
        <f ca="1">IF(IDNMaps[[#This Row],[Type]]="","",COUNTIF($K$1:IDNMaps[[#This Row],[Type]],IDNMaps[[#This Row],[Type]]))</f>
        <v/>
      </c>
      <c r="M187" s="6" t="str">
        <f ca="1">IFERROR(VLOOKUP(IDNMaps[[#This Row],[Type]],RecordCount[],6,0)&amp;"-"&amp;IDNMaps[[#This Row],[Type Count]],"")</f>
        <v/>
      </c>
      <c r="N187" s="6" t="str">
        <f ca="1">IFERROR(VLOOKUP(IDNMaps[[#This Row],[Primary]],INDIRECT(VLOOKUP(IDNMaps[[#This Row],[Type]],RecordCount[],2,0)),VLOOKUP(IDNMaps[[#This Row],[Type]],RecordCount[],7,0),0),"")</f>
        <v/>
      </c>
      <c r="O187" s="6" t="str">
        <f ca="1">IF(IDNMaps[[#This Row],[Name]]="","","("&amp;IDNMaps[[#This Row],[Type]]&amp;") "&amp;IDNMaps[[#This Row],[Name]])</f>
        <v/>
      </c>
      <c r="P187" s="6" t="str">
        <f ca="1">IFERROR(VLOOKUP(IDNMaps[[#This Row],[Primary]],INDIRECT(VLOOKUP(IDNMaps[[#This Row],[Type]],RecordCount[],2,0)),VLOOKUP(IDNMaps[[#This Row],[Type]],RecordCount[],8,0),0),"")</f>
        <v/>
      </c>
    </row>
    <row r="188" spans="10:16" x14ac:dyDescent="0.25">
      <c r="J188" s="11">
        <f t="shared" si="2"/>
        <v>187</v>
      </c>
      <c r="K18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8" s="6" t="str">
        <f ca="1">IF(IDNMaps[[#This Row],[Type]]="","",COUNTIF($K$1:IDNMaps[[#This Row],[Type]],IDNMaps[[#This Row],[Type]]))</f>
        <v/>
      </c>
      <c r="M188" s="6" t="str">
        <f ca="1">IFERROR(VLOOKUP(IDNMaps[[#This Row],[Type]],RecordCount[],6,0)&amp;"-"&amp;IDNMaps[[#This Row],[Type Count]],"")</f>
        <v/>
      </c>
      <c r="N188" s="6" t="str">
        <f ca="1">IFERROR(VLOOKUP(IDNMaps[[#This Row],[Primary]],INDIRECT(VLOOKUP(IDNMaps[[#This Row],[Type]],RecordCount[],2,0)),VLOOKUP(IDNMaps[[#This Row],[Type]],RecordCount[],7,0),0),"")</f>
        <v/>
      </c>
      <c r="O188" s="6" t="str">
        <f ca="1">IF(IDNMaps[[#This Row],[Name]]="","","("&amp;IDNMaps[[#This Row],[Type]]&amp;") "&amp;IDNMaps[[#This Row],[Name]])</f>
        <v/>
      </c>
      <c r="P188" s="6" t="str">
        <f ca="1">IFERROR(VLOOKUP(IDNMaps[[#This Row],[Primary]],INDIRECT(VLOOKUP(IDNMaps[[#This Row],[Type]],RecordCount[],2,0)),VLOOKUP(IDNMaps[[#This Row],[Type]],RecordCount[],8,0),0),"")</f>
        <v/>
      </c>
    </row>
    <row r="189" spans="10:16" x14ac:dyDescent="0.25">
      <c r="J189" s="11">
        <f t="shared" si="2"/>
        <v>188</v>
      </c>
      <c r="K18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9" s="6" t="str">
        <f ca="1">IF(IDNMaps[[#This Row],[Type]]="","",COUNTIF($K$1:IDNMaps[[#This Row],[Type]],IDNMaps[[#This Row],[Type]]))</f>
        <v/>
      </c>
      <c r="M189" s="6" t="str">
        <f ca="1">IFERROR(VLOOKUP(IDNMaps[[#This Row],[Type]],RecordCount[],6,0)&amp;"-"&amp;IDNMaps[[#This Row],[Type Count]],"")</f>
        <v/>
      </c>
      <c r="N189" s="6" t="str">
        <f ca="1">IFERROR(VLOOKUP(IDNMaps[[#This Row],[Primary]],INDIRECT(VLOOKUP(IDNMaps[[#This Row],[Type]],RecordCount[],2,0)),VLOOKUP(IDNMaps[[#This Row],[Type]],RecordCount[],7,0),0),"")</f>
        <v/>
      </c>
      <c r="O189" s="6" t="str">
        <f ca="1">IF(IDNMaps[[#This Row],[Name]]="","","("&amp;IDNMaps[[#This Row],[Type]]&amp;") "&amp;IDNMaps[[#This Row],[Name]])</f>
        <v/>
      </c>
      <c r="P189" s="6" t="str">
        <f ca="1">IFERROR(VLOOKUP(IDNMaps[[#This Row],[Primary]],INDIRECT(VLOOKUP(IDNMaps[[#This Row],[Type]],RecordCount[],2,0)),VLOOKUP(IDNMaps[[#This Row],[Type]],RecordCount[],8,0),0),"")</f>
        <v/>
      </c>
    </row>
    <row r="190" spans="10:16" x14ac:dyDescent="0.25">
      <c r="J190" s="11">
        <f t="shared" si="2"/>
        <v>189</v>
      </c>
      <c r="K19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0" s="6" t="str">
        <f ca="1">IF(IDNMaps[[#This Row],[Type]]="","",COUNTIF($K$1:IDNMaps[[#This Row],[Type]],IDNMaps[[#This Row],[Type]]))</f>
        <v/>
      </c>
      <c r="M190" s="6" t="str">
        <f ca="1">IFERROR(VLOOKUP(IDNMaps[[#This Row],[Type]],RecordCount[],6,0)&amp;"-"&amp;IDNMaps[[#This Row],[Type Count]],"")</f>
        <v/>
      </c>
      <c r="N190" s="6" t="str">
        <f ca="1">IFERROR(VLOOKUP(IDNMaps[[#This Row],[Primary]],INDIRECT(VLOOKUP(IDNMaps[[#This Row],[Type]],RecordCount[],2,0)),VLOOKUP(IDNMaps[[#This Row],[Type]],RecordCount[],7,0),0),"")</f>
        <v/>
      </c>
      <c r="O190" s="6" t="str">
        <f ca="1">IF(IDNMaps[[#This Row],[Name]]="","","("&amp;IDNMaps[[#This Row],[Type]]&amp;") "&amp;IDNMaps[[#This Row],[Name]])</f>
        <v/>
      </c>
      <c r="P190" s="6" t="str">
        <f ca="1">IFERROR(VLOOKUP(IDNMaps[[#This Row],[Primary]],INDIRECT(VLOOKUP(IDNMaps[[#This Row],[Type]],RecordCount[],2,0)),VLOOKUP(IDNMaps[[#This Row],[Type]],RecordCount[],8,0),0),"")</f>
        <v/>
      </c>
    </row>
    <row r="191" spans="10:16" x14ac:dyDescent="0.25">
      <c r="J191" s="11">
        <f t="shared" si="2"/>
        <v>190</v>
      </c>
      <c r="K19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1" s="6" t="str">
        <f ca="1">IF(IDNMaps[[#This Row],[Type]]="","",COUNTIF($K$1:IDNMaps[[#This Row],[Type]],IDNMaps[[#This Row],[Type]]))</f>
        <v/>
      </c>
      <c r="M191" s="6" t="str">
        <f ca="1">IFERROR(VLOOKUP(IDNMaps[[#This Row],[Type]],RecordCount[],6,0)&amp;"-"&amp;IDNMaps[[#This Row],[Type Count]],"")</f>
        <v/>
      </c>
      <c r="N191" s="6" t="str">
        <f ca="1">IFERROR(VLOOKUP(IDNMaps[[#This Row],[Primary]],INDIRECT(VLOOKUP(IDNMaps[[#This Row],[Type]],RecordCount[],2,0)),VLOOKUP(IDNMaps[[#This Row],[Type]],RecordCount[],7,0),0),"")</f>
        <v/>
      </c>
      <c r="O191" s="6" t="str">
        <f ca="1">IF(IDNMaps[[#This Row],[Name]]="","","("&amp;IDNMaps[[#This Row],[Type]]&amp;") "&amp;IDNMaps[[#This Row],[Name]])</f>
        <v/>
      </c>
      <c r="P191" s="6" t="str">
        <f ca="1">IFERROR(VLOOKUP(IDNMaps[[#This Row],[Primary]],INDIRECT(VLOOKUP(IDNMaps[[#This Row],[Type]],RecordCount[],2,0)),VLOOKUP(IDNMaps[[#This Row],[Type]],RecordCount[],8,0),0),"")</f>
        <v/>
      </c>
    </row>
    <row r="192" spans="10:16" x14ac:dyDescent="0.25">
      <c r="J192" s="11">
        <f t="shared" si="2"/>
        <v>191</v>
      </c>
      <c r="K19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2" s="6" t="str">
        <f ca="1">IF(IDNMaps[[#This Row],[Type]]="","",COUNTIF($K$1:IDNMaps[[#This Row],[Type]],IDNMaps[[#This Row],[Type]]))</f>
        <v/>
      </c>
      <c r="M192" s="6" t="str">
        <f ca="1">IFERROR(VLOOKUP(IDNMaps[[#This Row],[Type]],RecordCount[],6,0)&amp;"-"&amp;IDNMaps[[#This Row],[Type Count]],"")</f>
        <v/>
      </c>
      <c r="N192" s="6" t="str">
        <f ca="1">IFERROR(VLOOKUP(IDNMaps[[#This Row],[Primary]],INDIRECT(VLOOKUP(IDNMaps[[#This Row],[Type]],RecordCount[],2,0)),VLOOKUP(IDNMaps[[#This Row],[Type]],RecordCount[],7,0),0),"")</f>
        <v/>
      </c>
      <c r="O192" s="6" t="str">
        <f ca="1">IF(IDNMaps[[#This Row],[Name]]="","","("&amp;IDNMaps[[#This Row],[Type]]&amp;") "&amp;IDNMaps[[#This Row],[Name]])</f>
        <v/>
      </c>
      <c r="P192" s="6" t="str">
        <f ca="1">IFERROR(VLOOKUP(IDNMaps[[#This Row],[Primary]],INDIRECT(VLOOKUP(IDNMaps[[#This Row],[Type]],RecordCount[],2,0)),VLOOKUP(IDNMaps[[#This Row],[Type]],RecordCount[],8,0),0),"")</f>
        <v/>
      </c>
    </row>
    <row r="193" spans="10:16" x14ac:dyDescent="0.25">
      <c r="J193" s="11">
        <f t="shared" si="2"/>
        <v>192</v>
      </c>
      <c r="K19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3" s="6" t="str">
        <f ca="1">IF(IDNMaps[[#This Row],[Type]]="","",COUNTIF($K$1:IDNMaps[[#This Row],[Type]],IDNMaps[[#This Row],[Type]]))</f>
        <v/>
      </c>
      <c r="M193" s="6" t="str">
        <f ca="1">IFERROR(VLOOKUP(IDNMaps[[#This Row],[Type]],RecordCount[],6,0)&amp;"-"&amp;IDNMaps[[#This Row],[Type Count]],"")</f>
        <v/>
      </c>
      <c r="N193" s="6" t="str">
        <f ca="1">IFERROR(VLOOKUP(IDNMaps[[#This Row],[Primary]],INDIRECT(VLOOKUP(IDNMaps[[#This Row],[Type]],RecordCount[],2,0)),VLOOKUP(IDNMaps[[#This Row],[Type]],RecordCount[],7,0),0),"")</f>
        <v/>
      </c>
      <c r="O193" s="6" t="str">
        <f ca="1">IF(IDNMaps[[#This Row],[Name]]="","","("&amp;IDNMaps[[#This Row],[Type]]&amp;") "&amp;IDNMaps[[#This Row],[Name]])</f>
        <v/>
      </c>
      <c r="P193" s="6" t="str">
        <f ca="1">IFERROR(VLOOKUP(IDNMaps[[#This Row],[Primary]],INDIRECT(VLOOKUP(IDNMaps[[#This Row],[Type]],RecordCount[],2,0)),VLOOKUP(IDNMaps[[#This Row],[Type]],RecordCount[],8,0),0),"")</f>
        <v/>
      </c>
    </row>
    <row r="194" spans="10:16" x14ac:dyDescent="0.25">
      <c r="J194" s="11">
        <f t="shared" ref="J194:J257" si="3">IFERROR($J193+1,1)</f>
        <v>193</v>
      </c>
      <c r="K19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4" s="6" t="str">
        <f ca="1">IF(IDNMaps[[#This Row],[Type]]="","",COUNTIF($K$1:IDNMaps[[#This Row],[Type]],IDNMaps[[#This Row],[Type]]))</f>
        <v/>
      </c>
      <c r="M194" s="6" t="str">
        <f ca="1">IFERROR(VLOOKUP(IDNMaps[[#This Row],[Type]],RecordCount[],6,0)&amp;"-"&amp;IDNMaps[[#This Row],[Type Count]],"")</f>
        <v/>
      </c>
      <c r="N194" s="6" t="str">
        <f ca="1">IFERROR(VLOOKUP(IDNMaps[[#This Row],[Primary]],INDIRECT(VLOOKUP(IDNMaps[[#This Row],[Type]],RecordCount[],2,0)),VLOOKUP(IDNMaps[[#This Row],[Type]],RecordCount[],7,0),0),"")</f>
        <v/>
      </c>
      <c r="O194" s="6" t="str">
        <f ca="1">IF(IDNMaps[[#This Row],[Name]]="","","("&amp;IDNMaps[[#This Row],[Type]]&amp;") "&amp;IDNMaps[[#This Row],[Name]])</f>
        <v/>
      </c>
      <c r="P194" s="6" t="str">
        <f ca="1">IFERROR(VLOOKUP(IDNMaps[[#This Row],[Primary]],INDIRECT(VLOOKUP(IDNMaps[[#This Row],[Type]],RecordCount[],2,0)),VLOOKUP(IDNMaps[[#This Row],[Type]],RecordCount[],8,0),0),"")</f>
        <v/>
      </c>
    </row>
    <row r="195" spans="10:16" x14ac:dyDescent="0.25">
      <c r="J195" s="11">
        <f t="shared" si="3"/>
        <v>194</v>
      </c>
      <c r="K19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5" s="6" t="str">
        <f ca="1">IF(IDNMaps[[#This Row],[Type]]="","",COUNTIF($K$1:IDNMaps[[#This Row],[Type]],IDNMaps[[#This Row],[Type]]))</f>
        <v/>
      </c>
      <c r="M195" s="6" t="str">
        <f ca="1">IFERROR(VLOOKUP(IDNMaps[[#This Row],[Type]],RecordCount[],6,0)&amp;"-"&amp;IDNMaps[[#This Row],[Type Count]],"")</f>
        <v/>
      </c>
      <c r="N195" s="6" t="str">
        <f ca="1">IFERROR(VLOOKUP(IDNMaps[[#This Row],[Primary]],INDIRECT(VLOOKUP(IDNMaps[[#This Row],[Type]],RecordCount[],2,0)),VLOOKUP(IDNMaps[[#This Row],[Type]],RecordCount[],7,0),0),"")</f>
        <v/>
      </c>
      <c r="O195" s="6" t="str">
        <f ca="1">IF(IDNMaps[[#This Row],[Name]]="","","("&amp;IDNMaps[[#This Row],[Type]]&amp;") "&amp;IDNMaps[[#This Row],[Name]])</f>
        <v/>
      </c>
      <c r="P195" s="6" t="str">
        <f ca="1">IFERROR(VLOOKUP(IDNMaps[[#This Row],[Primary]],INDIRECT(VLOOKUP(IDNMaps[[#This Row],[Type]],RecordCount[],2,0)),VLOOKUP(IDNMaps[[#This Row],[Type]],RecordCount[],8,0),0),"")</f>
        <v/>
      </c>
    </row>
    <row r="196" spans="10:16" x14ac:dyDescent="0.25">
      <c r="J196" s="11">
        <f t="shared" si="3"/>
        <v>195</v>
      </c>
      <c r="K19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6" s="6" t="str">
        <f ca="1">IF(IDNMaps[[#This Row],[Type]]="","",COUNTIF($K$1:IDNMaps[[#This Row],[Type]],IDNMaps[[#This Row],[Type]]))</f>
        <v/>
      </c>
      <c r="M196" s="6" t="str">
        <f ca="1">IFERROR(VLOOKUP(IDNMaps[[#This Row],[Type]],RecordCount[],6,0)&amp;"-"&amp;IDNMaps[[#This Row],[Type Count]],"")</f>
        <v/>
      </c>
      <c r="N196" s="6" t="str">
        <f ca="1">IFERROR(VLOOKUP(IDNMaps[[#This Row],[Primary]],INDIRECT(VLOOKUP(IDNMaps[[#This Row],[Type]],RecordCount[],2,0)),VLOOKUP(IDNMaps[[#This Row],[Type]],RecordCount[],7,0),0),"")</f>
        <v/>
      </c>
      <c r="O196" s="6" t="str">
        <f ca="1">IF(IDNMaps[[#This Row],[Name]]="","","("&amp;IDNMaps[[#This Row],[Type]]&amp;") "&amp;IDNMaps[[#This Row],[Name]])</f>
        <v/>
      </c>
      <c r="P196" s="6" t="str">
        <f ca="1">IFERROR(VLOOKUP(IDNMaps[[#This Row],[Primary]],INDIRECT(VLOOKUP(IDNMaps[[#This Row],[Type]],RecordCount[],2,0)),VLOOKUP(IDNMaps[[#This Row],[Type]],RecordCount[],8,0),0),"")</f>
        <v/>
      </c>
    </row>
    <row r="197" spans="10:16" x14ac:dyDescent="0.25">
      <c r="J197" s="11">
        <f t="shared" si="3"/>
        <v>196</v>
      </c>
      <c r="K19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7" s="6" t="str">
        <f ca="1">IF(IDNMaps[[#This Row],[Type]]="","",COUNTIF($K$1:IDNMaps[[#This Row],[Type]],IDNMaps[[#This Row],[Type]]))</f>
        <v/>
      </c>
      <c r="M197" s="6" t="str">
        <f ca="1">IFERROR(VLOOKUP(IDNMaps[[#This Row],[Type]],RecordCount[],6,0)&amp;"-"&amp;IDNMaps[[#This Row],[Type Count]],"")</f>
        <v/>
      </c>
      <c r="N197" s="6" t="str">
        <f ca="1">IFERROR(VLOOKUP(IDNMaps[[#This Row],[Primary]],INDIRECT(VLOOKUP(IDNMaps[[#This Row],[Type]],RecordCount[],2,0)),VLOOKUP(IDNMaps[[#This Row],[Type]],RecordCount[],7,0),0),"")</f>
        <v/>
      </c>
      <c r="O197" s="6" t="str">
        <f ca="1">IF(IDNMaps[[#This Row],[Name]]="","","("&amp;IDNMaps[[#This Row],[Type]]&amp;") "&amp;IDNMaps[[#This Row],[Name]])</f>
        <v/>
      </c>
      <c r="P197" s="6" t="str">
        <f ca="1">IFERROR(VLOOKUP(IDNMaps[[#This Row],[Primary]],INDIRECT(VLOOKUP(IDNMaps[[#This Row],[Type]],RecordCount[],2,0)),VLOOKUP(IDNMaps[[#This Row],[Type]],RecordCount[],8,0),0),"")</f>
        <v/>
      </c>
    </row>
    <row r="198" spans="10:16" x14ac:dyDescent="0.25">
      <c r="J198" s="11">
        <f t="shared" si="3"/>
        <v>197</v>
      </c>
      <c r="K19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8" s="6" t="str">
        <f ca="1">IF(IDNMaps[[#This Row],[Type]]="","",COUNTIF($K$1:IDNMaps[[#This Row],[Type]],IDNMaps[[#This Row],[Type]]))</f>
        <v/>
      </c>
      <c r="M198" s="6" t="str">
        <f ca="1">IFERROR(VLOOKUP(IDNMaps[[#This Row],[Type]],RecordCount[],6,0)&amp;"-"&amp;IDNMaps[[#This Row],[Type Count]],"")</f>
        <v/>
      </c>
      <c r="N198" s="6" t="str">
        <f ca="1">IFERROR(VLOOKUP(IDNMaps[[#This Row],[Primary]],INDIRECT(VLOOKUP(IDNMaps[[#This Row],[Type]],RecordCount[],2,0)),VLOOKUP(IDNMaps[[#This Row],[Type]],RecordCount[],7,0),0),"")</f>
        <v/>
      </c>
      <c r="O198" s="6" t="str">
        <f ca="1">IF(IDNMaps[[#This Row],[Name]]="","","("&amp;IDNMaps[[#This Row],[Type]]&amp;") "&amp;IDNMaps[[#This Row],[Name]])</f>
        <v/>
      </c>
      <c r="P198" s="6" t="str">
        <f ca="1">IFERROR(VLOOKUP(IDNMaps[[#This Row],[Primary]],INDIRECT(VLOOKUP(IDNMaps[[#This Row],[Type]],RecordCount[],2,0)),VLOOKUP(IDNMaps[[#This Row],[Type]],RecordCount[],8,0),0),"")</f>
        <v/>
      </c>
    </row>
    <row r="199" spans="10:16" x14ac:dyDescent="0.25">
      <c r="J199" s="11">
        <f t="shared" si="3"/>
        <v>198</v>
      </c>
      <c r="K19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9" s="6" t="str">
        <f ca="1">IF(IDNMaps[[#This Row],[Type]]="","",COUNTIF($K$1:IDNMaps[[#This Row],[Type]],IDNMaps[[#This Row],[Type]]))</f>
        <v/>
      </c>
      <c r="M199" s="6" t="str">
        <f ca="1">IFERROR(VLOOKUP(IDNMaps[[#This Row],[Type]],RecordCount[],6,0)&amp;"-"&amp;IDNMaps[[#This Row],[Type Count]],"")</f>
        <v/>
      </c>
      <c r="N199" s="6" t="str">
        <f ca="1">IFERROR(VLOOKUP(IDNMaps[[#This Row],[Primary]],INDIRECT(VLOOKUP(IDNMaps[[#This Row],[Type]],RecordCount[],2,0)),VLOOKUP(IDNMaps[[#This Row],[Type]],RecordCount[],7,0),0),"")</f>
        <v/>
      </c>
      <c r="O199" s="6" t="str">
        <f ca="1">IF(IDNMaps[[#This Row],[Name]]="","","("&amp;IDNMaps[[#This Row],[Type]]&amp;") "&amp;IDNMaps[[#This Row],[Name]])</f>
        <v/>
      </c>
      <c r="P199" s="6" t="str">
        <f ca="1">IFERROR(VLOOKUP(IDNMaps[[#This Row],[Primary]],INDIRECT(VLOOKUP(IDNMaps[[#This Row],[Type]],RecordCount[],2,0)),VLOOKUP(IDNMaps[[#This Row],[Type]],RecordCount[],8,0),0),"")</f>
        <v/>
      </c>
    </row>
    <row r="200" spans="10:16" x14ac:dyDescent="0.25">
      <c r="J200" s="11">
        <f t="shared" si="3"/>
        <v>199</v>
      </c>
      <c r="K20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0" s="6" t="str">
        <f ca="1">IF(IDNMaps[[#This Row],[Type]]="","",COUNTIF($K$1:IDNMaps[[#This Row],[Type]],IDNMaps[[#This Row],[Type]]))</f>
        <v/>
      </c>
      <c r="M200" s="6" t="str">
        <f ca="1">IFERROR(VLOOKUP(IDNMaps[[#This Row],[Type]],RecordCount[],6,0)&amp;"-"&amp;IDNMaps[[#This Row],[Type Count]],"")</f>
        <v/>
      </c>
      <c r="N200" s="6" t="str">
        <f ca="1">IFERROR(VLOOKUP(IDNMaps[[#This Row],[Primary]],INDIRECT(VLOOKUP(IDNMaps[[#This Row],[Type]],RecordCount[],2,0)),VLOOKUP(IDNMaps[[#This Row],[Type]],RecordCount[],7,0),0),"")</f>
        <v/>
      </c>
      <c r="O200" s="6" t="str">
        <f ca="1">IF(IDNMaps[[#This Row],[Name]]="","","("&amp;IDNMaps[[#This Row],[Type]]&amp;") "&amp;IDNMaps[[#This Row],[Name]])</f>
        <v/>
      </c>
      <c r="P200" s="6" t="str">
        <f ca="1">IFERROR(VLOOKUP(IDNMaps[[#This Row],[Primary]],INDIRECT(VLOOKUP(IDNMaps[[#This Row],[Type]],RecordCount[],2,0)),VLOOKUP(IDNMaps[[#This Row],[Type]],RecordCount[],8,0),0),"")</f>
        <v/>
      </c>
    </row>
    <row r="201" spans="10:16" x14ac:dyDescent="0.25">
      <c r="J201" s="11">
        <f t="shared" si="3"/>
        <v>200</v>
      </c>
      <c r="K20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1" s="6" t="str">
        <f ca="1">IF(IDNMaps[[#This Row],[Type]]="","",COUNTIF($K$1:IDNMaps[[#This Row],[Type]],IDNMaps[[#This Row],[Type]]))</f>
        <v/>
      </c>
      <c r="M201" s="6" t="str">
        <f ca="1">IFERROR(VLOOKUP(IDNMaps[[#This Row],[Type]],RecordCount[],6,0)&amp;"-"&amp;IDNMaps[[#This Row],[Type Count]],"")</f>
        <v/>
      </c>
      <c r="N201" s="6" t="str">
        <f ca="1">IFERROR(VLOOKUP(IDNMaps[[#This Row],[Primary]],INDIRECT(VLOOKUP(IDNMaps[[#This Row],[Type]],RecordCount[],2,0)),VLOOKUP(IDNMaps[[#This Row],[Type]],RecordCount[],7,0),0),"")</f>
        <v/>
      </c>
      <c r="O201" s="6" t="str">
        <f ca="1">IF(IDNMaps[[#This Row],[Name]]="","","("&amp;IDNMaps[[#This Row],[Type]]&amp;") "&amp;IDNMaps[[#This Row],[Name]])</f>
        <v/>
      </c>
      <c r="P201" s="6" t="str">
        <f ca="1">IFERROR(VLOOKUP(IDNMaps[[#This Row],[Primary]],INDIRECT(VLOOKUP(IDNMaps[[#This Row],[Type]],RecordCount[],2,0)),VLOOKUP(IDNMaps[[#This Row],[Type]],RecordCount[],8,0),0),"")</f>
        <v/>
      </c>
    </row>
    <row r="202" spans="10:16" x14ac:dyDescent="0.25">
      <c r="J202" s="11">
        <f t="shared" si="3"/>
        <v>201</v>
      </c>
      <c r="K20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2" s="6" t="str">
        <f ca="1">IF(IDNMaps[[#This Row],[Type]]="","",COUNTIF($K$1:IDNMaps[[#This Row],[Type]],IDNMaps[[#This Row],[Type]]))</f>
        <v/>
      </c>
      <c r="M202" s="6" t="str">
        <f ca="1">IFERROR(VLOOKUP(IDNMaps[[#This Row],[Type]],RecordCount[],6,0)&amp;"-"&amp;IDNMaps[[#This Row],[Type Count]],"")</f>
        <v/>
      </c>
      <c r="N202" s="6" t="str">
        <f ca="1">IFERROR(VLOOKUP(IDNMaps[[#This Row],[Primary]],INDIRECT(VLOOKUP(IDNMaps[[#This Row],[Type]],RecordCount[],2,0)),VLOOKUP(IDNMaps[[#This Row],[Type]],RecordCount[],7,0),0),"")</f>
        <v/>
      </c>
      <c r="O202" s="6" t="str">
        <f ca="1">IF(IDNMaps[[#This Row],[Name]]="","","("&amp;IDNMaps[[#This Row],[Type]]&amp;") "&amp;IDNMaps[[#This Row],[Name]])</f>
        <v/>
      </c>
      <c r="P202" s="6" t="str">
        <f ca="1">IFERROR(VLOOKUP(IDNMaps[[#This Row],[Primary]],INDIRECT(VLOOKUP(IDNMaps[[#This Row],[Type]],RecordCount[],2,0)),VLOOKUP(IDNMaps[[#This Row],[Type]],RecordCount[],8,0),0),"")</f>
        <v/>
      </c>
    </row>
    <row r="203" spans="10:16" x14ac:dyDescent="0.25">
      <c r="J203" s="11">
        <f t="shared" si="3"/>
        <v>202</v>
      </c>
      <c r="K20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3" s="6" t="str">
        <f ca="1">IF(IDNMaps[[#This Row],[Type]]="","",COUNTIF($K$1:IDNMaps[[#This Row],[Type]],IDNMaps[[#This Row],[Type]]))</f>
        <v/>
      </c>
      <c r="M203" s="6" t="str">
        <f ca="1">IFERROR(VLOOKUP(IDNMaps[[#This Row],[Type]],RecordCount[],6,0)&amp;"-"&amp;IDNMaps[[#This Row],[Type Count]],"")</f>
        <v/>
      </c>
      <c r="N203" s="6" t="str">
        <f ca="1">IFERROR(VLOOKUP(IDNMaps[[#This Row],[Primary]],INDIRECT(VLOOKUP(IDNMaps[[#This Row],[Type]],RecordCount[],2,0)),VLOOKUP(IDNMaps[[#This Row],[Type]],RecordCount[],7,0),0),"")</f>
        <v/>
      </c>
      <c r="O203" s="6" t="str">
        <f ca="1">IF(IDNMaps[[#This Row],[Name]]="","","("&amp;IDNMaps[[#This Row],[Type]]&amp;") "&amp;IDNMaps[[#This Row],[Name]])</f>
        <v/>
      </c>
      <c r="P203" s="6" t="str">
        <f ca="1">IFERROR(VLOOKUP(IDNMaps[[#This Row],[Primary]],INDIRECT(VLOOKUP(IDNMaps[[#This Row],[Type]],RecordCount[],2,0)),VLOOKUP(IDNMaps[[#This Row],[Type]],RecordCount[],8,0),0),"")</f>
        <v/>
      </c>
    </row>
    <row r="204" spans="10:16" x14ac:dyDescent="0.25">
      <c r="J204" s="11">
        <f t="shared" si="3"/>
        <v>203</v>
      </c>
      <c r="K20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4" s="6" t="str">
        <f ca="1">IF(IDNMaps[[#This Row],[Type]]="","",COUNTIF($K$1:IDNMaps[[#This Row],[Type]],IDNMaps[[#This Row],[Type]]))</f>
        <v/>
      </c>
      <c r="M204" s="6" t="str">
        <f ca="1">IFERROR(VLOOKUP(IDNMaps[[#This Row],[Type]],RecordCount[],6,0)&amp;"-"&amp;IDNMaps[[#This Row],[Type Count]],"")</f>
        <v/>
      </c>
      <c r="N204" s="6" t="str">
        <f ca="1">IFERROR(VLOOKUP(IDNMaps[[#This Row],[Primary]],INDIRECT(VLOOKUP(IDNMaps[[#This Row],[Type]],RecordCount[],2,0)),VLOOKUP(IDNMaps[[#This Row],[Type]],RecordCount[],7,0),0),"")</f>
        <v/>
      </c>
      <c r="O204" s="6" t="str">
        <f ca="1">IF(IDNMaps[[#This Row],[Name]]="","","("&amp;IDNMaps[[#This Row],[Type]]&amp;") "&amp;IDNMaps[[#This Row],[Name]])</f>
        <v/>
      </c>
      <c r="P204" s="6" t="str">
        <f ca="1">IFERROR(VLOOKUP(IDNMaps[[#This Row],[Primary]],INDIRECT(VLOOKUP(IDNMaps[[#This Row],[Type]],RecordCount[],2,0)),VLOOKUP(IDNMaps[[#This Row],[Type]],RecordCount[],8,0),0),"")</f>
        <v/>
      </c>
    </row>
    <row r="205" spans="10:16" x14ac:dyDescent="0.25">
      <c r="J205" s="11">
        <f t="shared" si="3"/>
        <v>204</v>
      </c>
      <c r="K20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5" s="6" t="str">
        <f ca="1">IF(IDNMaps[[#This Row],[Type]]="","",COUNTIF($K$1:IDNMaps[[#This Row],[Type]],IDNMaps[[#This Row],[Type]]))</f>
        <v/>
      </c>
      <c r="M205" s="6" t="str">
        <f ca="1">IFERROR(VLOOKUP(IDNMaps[[#This Row],[Type]],RecordCount[],6,0)&amp;"-"&amp;IDNMaps[[#This Row],[Type Count]],"")</f>
        <v/>
      </c>
      <c r="N205" s="6" t="str">
        <f ca="1">IFERROR(VLOOKUP(IDNMaps[[#This Row],[Primary]],INDIRECT(VLOOKUP(IDNMaps[[#This Row],[Type]],RecordCount[],2,0)),VLOOKUP(IDNMaps[[#This Row],[Type]],RecordCount[],7,0),0),"")</f>
        <v/>
      </c>
      <c r="O205" s="6" t="str">
        <f ca="1">IF(IDNMaps[[#This Row],[Name]]="","","("&amp;IDNMaps[[#This Row],[Type]]&amp;") "&amp;IDNMaps[[#This Row],[Name]])</f>
        <v/>
      </c>
      <c r="P205" s="6" t="str">
        <f ca="1">IFERROR(VLOOKUP(IDNMaps[[#This Row],[Primary]],INDIRECT(VLOOKUP(IDNMaps[[#This Row],[Type]],RecordCount[],2,0)),VLOOKUP(IDNMaps[[#This Row],[Type]],RecordCount[],8,0),0),"")</f>
        <v/>
      </c>
    </row>
    <row r="206" spans="10:16" x14ac:dyDescent="0.25">
      <c r="J206" s="11">
        <f t="shared" si="3"/>
        <v>205</v>
      </c>
      <c r="K20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6" s="6" t="str">
        <f ca="1">IF(IDNMaps[[#This Row],[Type]]="","",COUNTIF($K$1:IDNMaps[[#This Row],[Type]],IDNMaps[[#This Row],[Type]]))</f>
        <v/>
      </c>
      <c r="M206" s="6" t="str">
        <f ca="1">IFERROR(VLOOKUP(IDNMaps[[#This Row],[Type]],RecordCount[],6,0)&amp;"-"&amp;IDNMaps[[#This Row],[Type Count]],"")</f>
        <v/>
      </c>
      <c r="N206" s="6" t="str">
        <f ca="1">IFERROR(VLOOKUP(IDNMaps[[#This Row],[Primary]],INDIRECT(VLOOKUP(IDNMaps[[#This Row],[Type]],RecordCount[],2,0)),VLOOKUP(IDNMaps[[#This Row],[Type]],RecordCount[],7,0),0),"")</f>
        <v/>
      </c>
      <c r="O206" s="6" t="str">
        <f ca="1">IF(IDNMaps[[#This Row],[Name]]="","","("&amp;IDNMaps[[#This Row],[Type]]&amp;") "&amp;IDNMaps[[#This Row],[Name]])</f>
        <v/>
      </c>
      <c r="P206" s="6" t="str">
        <f ca="1">IFERROR(VLOOKUP(IDNMaps[[#This Row],[Primary]],INDIRECT(VLOOKUP(IDNMaps[[#This Row],[Type]],RecordCount[],2,0)),VLOOKUP(IDNMaps[[#This Row],[Type]],RecordCount[],8,0),0),"")</f>
        <v/>
      </c>
    </row>
    <row r="207" spans="10:16" x14ac:dyDescent="0.25">
      <c r="J207" s="11">
        <f t="shared" si="3"/>
        <v>206</v>
      </c>
      <c r="K20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7" s="6" t="str">
        <f ca="1">IF(IDNMaps[[#This Row],[Type]]="","",COUNTIF($K$1:IDNMaps[[#This Row],[Type]],IDNMaps[[#This Row],[Type]]))</f>
        <v/>
      </c>
      <c r="M207" s="6" t="str">
        <f ca="1">IFERROR(VLOOKUP(IDNMaps[[#This Row],[Type]],RecordCount[],6,0)&amp;"-"&amp;IDNMaps[[#This Row],[Type Count]],"")</f>
        <v/>
      </c>
      <c r="N207" s="6" t="str">
        <f ca="1">IFERROR(VLOOKUP(IDNMaps[[#This Row],[Primary]],INDIRECT(VLOOKUP(IDNMaps[[#This Row],[Type]],RecordCount[],2,0)),VLOOKUP(IDNMaps[[#This Row],[Type]],RecordCount[],7,0),0),"")</f>
        <v/>
      </c>
      <c r="O207" s="6" t="str">
        <f ca="1">IF(IDNMaps[[#This Row],[Name]]="","","("&amp;IDNMaps[[#This Row],[Type]]&amp;") "&amp;IDNMaps[[#This Row],[Name]])</f>
        <v/>
      </c>
      <c r="P207" s="6" t="str">
        <f ca="1">IFERROR(VLOOKUP(IDNMaps[[#This Row],[Primary]],INDIRECT(VLOOKUP(IDNMaps[[#This Row],[Type]],RecordCount[],2,0)),VLOOKUP(IDNMaps[[#This Row],[Type]],RecordCount[],8,0),0),"")</f>
        <v/>
      </c>
    </row>
    <row r="208" spans="10:16" x14ac:dyDescent="0.25">
      <c r="J208" s="11">
        <f t="shared" si="3"/>
        <v>207</v>
      </c>
      <c r="K20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8" s="6" t="str">
        <f ca="1">IF(IDNMaps[[#This Row],[Type]]="","",COUNTIF($K$1:IDNMaps[[#This Row],[Type]],IDNMaps[[#This Row],[Type]]))</f>
        <v/>
      </c>
      <c r="M208" s="6" t="str">
        <f ca="1">IFERROR(VLOOKUP(IDNMaps[[#This Row],[Type]],RecordCount[],6,0)&amp;"-"&amp;IDNMaps[[#This Row],[Type Count]],"")</f>
        <v/>
      </c>
      <c r="N208" s="6" t="str">
        <f ca="1">IFERROR(VLOOKUP(IDNMaps[[#This Row],[Primary]],INDIRECT(VLOOKUP(IDNMaps[[#This Row],[Type]],RecordCount[],2,0)),VLOOKUP(IDNMaps[[#This Row],[Type]],RecordCount[],7,0),0),"")</f>
        <v/>
      </c>
      <c r="O208" s="6" t="str">
        <f ca="1">IF(IDNMaps[[#This Row],[Name]]="","","("&amp;IDNMaps[[#This Row],[Type]]&amp;") "&amp;IDNMaps[[#This Row],[Name]])</f>
        <v/>
      </c>
      <c r="P208" s="6" t="str">
        <f ca="1">IFERROR(VLOOKUP(IDNMaps[[#This Row],[Primary]],INDIRECT(VLOOKUP(IDNMaps[[#This Row],[Type]],RecordCount[],2,0)),VLOOKUP(IDNMaps[[#This Row],[Type]],RecordCount[],8,0),0),"")</f>
        <v/>
      </c>
    </row>
    <row r="209" spans="10:16" x14ac:dyDescent="0.25">
      <c r="J209" s="11">
        <f t="shared" si="3"/>
        <v>208</v>
      </c>
      <c r="K20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9" s="6" t="str">
        <f ca="1">IF(IDNMaps[[#This Row],[Type]]="","",COUNTIF($K$1:IDNMaps[[#This Row],[Type]],IDNMaps[[#This Row],[Type]]))</f>
        <v/>
      </c>
      <c r="M209" s="6" t="str">
        <f ca="1">IFERROR(VLOOKUP(IDNMaps[[#This Row],[Type]],RecordCount[],6,0)&amp;"-"&amp;IDNMaps[[#This Row],[Type Count]],"")</f>
        <v/>
      </c>
      <c r="N209" s="6" t="str">
        <f ca="1">IFERROR(VLOOKUP(IDNMaps[[#This Row],[Primary]],INDIRECT(VLOOKUP(IDNMaps[[#This Row],[Type]],RecordCount[],2,0)),VLOOKUP(IDNMaps[[#This Row],[Type]],RecordCount[],7,0),0),"")</f>
        <v/>
      </c>
      <c r="O209" s="6" t="str">
        <f ca="1">IF(IDNMaps[[#This Row],[Name]]="","","("&amp;IDNMaps[[#This Row],[Type]]&amp;") "&amp;IDNMaps[[#This Row],[Name]])</f>
        <v/>
      </c>
      <c r="P209" s="6" t="str">
        <f ca="1">IFERROR(VLOOKUP(IDNMaps[[#This Row],[Primary]],INDIRECT(VLOOKUP(IDNMaps[[#This Row],[Type]],RecordCount[],2,0)),VLOOKUP(IDNMaps[[#This Row],[Type]],RecordCount[],8,0),0),"")</f>
        <v/>
      </c>
    </row>
    <row r="210" spans="10:16" x14ac:dyDescent="0.25">
      <c r="J210" s="11">
        <f t="shared" si="3"/>
        <v>209</v>
      </c>
      <c r="K21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0" s="6" t="str">
        <f ca="1">IF(IDNMaps[[#This Row],[Type]]="","",COUNTIF($K$1:IDNMaps[[#This Row],[Type]],IDNMaps[[#This Row],[Type]]))</f>
        <v/>
      </c>
      <c r="M210" s="6" t="str">
        <f ca="1">IFERROR(VLOOKUP(IDNMaps[[#This Row],[Type]],RecordCount[],6,0)&amp;"-"&amp;IDNMaps[[#This Row],[Type Count]],"")</f>
        <v/>
      </c>
      <c r="N210" s="6" t="str">
        <f ca="1">IFERROR(VLOOKUP(IDNMaps[[#This Row],[Primary]],INDIRECT(VLOOKUP(IDNMaps[[#This Row],[Type]],RecordCount[],2,0)),VLOOKUP(IDNMaps[[#This Row],[Type]],RecordCount[],7,0),0),"")</f>
        <v/>
      </c>
      <c r="O210" s="6" t="str">
        <f ca="1">IF(IDNMaps[[#This Row],[Name]]="","","("&amp;IDNMaps[[#This Row],[Type]]&amp;") "&amp;IDNMaps[[#This Row],[Name]])</f>
        <v/>
      </c>
      <c r="P210" s="6" t="str">
        <f ca="1">IFERROR(VLOOKUP(IDNMaps[[#This Row],[Primary]],INDIRECT(VLOOKUP(IDNMaps[[#This Row],[Type]],RecordCount[],2,0)),VLOOKUP(IDNMaps[[#This Row],[Type]],RecordCount[],8,0),0),"")</f>
        <v/>
      </c>
    </row>
    <row r="211" spans="10:16" x14ac:dyDescent="0.25">
      <c r="J211" s="11">
        <f t="shared" si="3"/>
        <v>210</v>
      </c>
      <c r="K21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1" s="6" t="str">
        <f ca="1">IF(IDNMaps[[#This Row],[Type]]="","",COUNTIF($K$1:IDNMaps[[#This Row],[Type]],IDNMaps[[#This Row],[Type]]))</f>
        <v/>
      </c>
      <c r="M211" s="6" t="str">
        <f ca="1">IFERROR(VLOOKUP(IDNMaps[[#This Row],[Type]],RecordCount[],6,0)&amp;"-"&amp;IDNMaps[[#This Row],[Type Count]],"")</f>
        <v/>
      </c>
      <c r="N211" s="6" t="str">
        <f ca="1">IFERROR(VLOOKUP(IDNMaps[[#This Row],[Primary]],INDIRECT(VLOOKUP(IDNMaps[[#This Row],[Type]],RecordCount[],2,0)),VLOOKUP(IDNMaps[[#This Row],[Type]],RecordCount[],7,0),0),"")</f>
        <v/>
      </c>
      <c r="O211" s="6" t="str">
        <f ca="1">IF(IDNMaps[[#This Row],[Name]]="","","("&amp;IDNMaps[[#This Row],[Type]]&amp;") "&amp;IDNMaps[[#This Row],[Name]])</f>
        <v/>
      </c>
      <c r="P211" s="6" t="str">
        <f ca="1">IFERROR(VLOOKUP(IDNMaps[[#This Row],[Primary]],INDIRECT(VLOOKUP(IDNMaps[[#This Row],[Type]],RecordCount[],2,0)),VLOOKUP(IDNMaps[[#This Row],[Type]],RecordCount[],8,0),0),"")</f>
        <v/>
      </c>
    </row>
    <row r="212" spans="10:16" x14ac:dyDescent="0.25">
      <c r="J212" s="11">
        <f t="shared" si="3"/>
        <v>211</v>
      </c>
      <c r="K21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2" s="6" t="str">
        <f ca="1">IF(IDNMaps[[#This Row],[Type]]="","",COUNTIF($K$1:IDNMaps[[#This Row],[Type]],IDNMaps[[#This Row],[Type]]))</f>
        <v/>
      </c>
      <c r="M212" s="6" t="str">
        <f ca="1">IFERROR(VLOOKUP(IDNMaps[[#This Row],[Type]],RecordCount[],6,0)&amp;"-"&amp;IDNMaps[[#This Row],[Type Count]],"")</f>
        <v/>
      </c>
      <c r="N212" s="6" t="str">
        <f ca="1">IFERROR(VLOOKUP(IDNMaps[[#This Row],[Primary]],INDIRECT(VLOOKUP(IDNMaps[[#This Row],[Type]],RecordCount[],2,0)),VLOOKUP(IDNMaps[[#This Row],[Type]],RecordCount[],7,0),0),"")</f>
        <v/>
      </c>
      <c r="O212" s="6" t="str">
        <f ca="1">IF(IDNMaps[[#This Row],[Name]]="","","("&amp;IDNMaps[[#This Row],[Type]]&amp;") "&amp;IDNMaps[[#This Row],[Name]])</f>
        <v/>
      </c>
      <c r="P212" s="6" t="str">
        <f ca="1">IFERROR(VLOOKUP(IDNMaps[[#This Row],[Primary]],INDIRECT(VLOOKUP(IDNMaps[[#This Row],[Type]],RecordCount[],2,0)),VLOOKUP(IDNMaps[[#This Row],[Type]],RecordCount[],8,0),0),"")</f>
        <v/>
      </c>
    </row>
    <row r="213" spans="10:16" x14ac:dyDescent="0.25">
      <c r="J213" s="11">
        <f t="shared" si="3"/>
        <v>212</v>
      </c>
      <c r="K21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3" s="6" t="str">
        <f ca="1">IF(IDNMaps[[#This Row],[Type]]="","",COUNTIF($K$1:IDNMaps[[#This Row],[Type]],IDNMaps[[#This Row],[Type]]))</f>
        <v/>
      </c>
      <c r="M213" s="6" t="str">
        <f ca="1">IFERROR(VLOOKUP(IDNMaps[[#This Row],[Type]],RecordCount[],6,0)&amp;"-"&amp;IDNMaps[[#This Row],[Type Count]],"")</f>
        <v/>
      </c>
      <c r="N213" s="6" t="str">
        <f ca="1">IFERROR(VLOOKUP(IDNMaps[[#This Row],[Primary]],INDIRECT(VLOOKUP(IDNMaps[[#This Row],[Type]],RecordCount[],2,0)),VLOOKUP(IDNMaps[[#This Row],[Type]],RecordCount[],7,0),0),"")</f>
        <v/>
      </c>
      <c r="O213" s="6" t="str">
        <f ca="1">IF(IDNMaps[[#This Row],[Name]]="","","("&amp;IDNMaps[[#This Row],[Type]]&amp;") "&amp;IDNMaps[[#This Row],[Name]])</f>
        <v/>
      </c>
      <c r="P213" s="6" t="str">
        <f ca="1">IFERROR(VLOOKUP(IDNMaps[[#This Row],[Primary]],INDIRECT(VLOOKUP(IDNMaps[[#This Row],[Type]],RecordCount[],2,0)),VLOOKUP(IDNMaps[[#This Row],[Type]],RecordCount[],8,0),0),"")</f>
        <v/>
      </c>
    </row>
    <row r="214" spans="10:16" x14ac:dyDescent="0.25">
      <c r="J214" s="11">
        <f t="shared" si="3"/>
        <v>213</v>
      </c>
      <c r="K21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4" s="6" t="str">
        <f ca="1">IF(IDNMaps[[#This Row],[Type]]="","",COUNTIF($K$1:IDNMaps[[#This Row],[Type]],IDNMaps[[#This Row],[Type]]))</f>
        <v/>
      </c>
      <c r="M214" s="6" t="str">
        <f ca="1">IFERROR(VLOOKUP(IDNMaps[[#This Row],[Type]],RecordCount[],6,0)&amp;"-"&amp;IDNMaps[[#This Row],[Type Count]],"")</f>
        <v/>
      </c>
      <c r="N214" s="6" t="str">
        <f ca="1">IFERROR(VLOOKUP(IDNMaps[[#This Row],[Primary]],INDIRECT(VLOOKUP(IDNMaps[[#This Row],[Type]],RecordCount[],2,0)),VLOOKUP(IDNMaps[[#This Row],[Type]],RecordCount[],7,0),0),"")</f>
        <v/>
      </c>
      <c r="O214" s="6" t="str">
        <f ca="1">IF(IDNMaps[[#This Row],[Name]]="","","("&amp;IDNMaps[[#This Row],[Type]]&amp;") "&amp;IDNMaps[[#This Row],[Name]])</f>
        <v/>
      </c>
      <c r="P214" s="6" t="str">
        <f ca="1">IFERROR(VLOOKUP(IDNMaps[[#This Row],[Primary]],INDIRECT(VLOOKUP(IDNMaps[[#This Row],[Type]],RecordCount[],2,0)),VLOOKUP(IDNMaps[[#This Row],[Type]],RecordCount[],8,0),0),"")</f>
        <v/>
      </c>
    </row>
    <row r="215" spans="10:16" x14ac:dyDescent="0.25">
      <c r="J215" s="11">
        <f t="shared" si="3"/>
        <v>214</v>
      </c>
      <c r="K21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5" s="6" t="str">
        <f ca="1">IF(IDNMaps[[#This Row],[Type]]="","",COUNTIF($K$1:IDNMaps[[#This Row],[Type]],IDNMaps[[#This Row],[Type]]))</f>
        <v/>
      </c>
      <c r="M215" s="6" t="str">
        <f ca="1">IFERROR(VLOOKUP(IDNMaps[[#This Row],[Type]],RecordCount[],6,0)&amp;"-"&amp;IDNMaps[[#This Row],[Type Count]],"")</f>
        <v/>
      </c>
      <c r="N215" s="6" t="str">
        <f ca="1">IFERROR(VLOOKUP(IDNMaps[[#This Row],[Primary]],INDIRECT(VLOOKUP(IDNMaps[[#This Row],[Type]],RecordCount[],2,0)),VLOOKUP(IDNMaps[[#This Row],[Type]],RecordCount[],7,0),0),"")</f>
        <v/>
      </c>
      <c r="O215" s="6" t="str">
        <f ca="1">IF(IDNMaps[[#This Row],[Name]]="","","("&amp;IDNMaps[[#This Row],[Type]]&amp;") "&amp;IDNMaps[[#This Row],[Name]])</f>
        <v/>
      </c>
      <c r="P215" s="6" t="str">
        <f ca="1">IFERROR(VLOOKUP(IDNMaps[[#This Row],[Primary]],INDIRECT(VLOOKUP(IDNMaps[[#This Row],[Type]],RecordCount[],2,0)),VLOOKUP(IDNMaps[[#This Row],[Type]],RecordCount[],8,0),0),"")</f>
        <v/>
      </c>
    </row>
    <row r="216" spans="10:16" x14ac:dyDescent="0.25">
      <c r="J216" s="11">
        <f t="shared" si="3"/>
        <v>215</v>
      </c>
      <c r="K21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6" s="6" t="str">
        <f ca="1">IF(IDNMaps[[#This Row],[Type]]="","",COUNTIF($K$1:IDNMaps[[#This Row],[Type]],IDNMaps[[#This Row],[Type]]))</f>
        <v/>
      </c>
      <c r="M216" s="6" t="str">
        <f ca="1">IFERROR(VLOOKUP(IDNMaps[[#This Row],[Type]],RecordCount[],6,0)&amp;"-"&amp;IDNMaps[[#This Row],[Type Count]],"")</f>
        <v/>
      </c>
      <c r="N216" s="6" t="str">
        <f ca="1">IFERROR(VLOOKUP(IDNMaps[[#This Row],[Primary]],INDIRECT(VLOOKUP(IDNMaps[[#This Row],[Type]],RecordCount[],2,0)),VLOOKUP(IDNMaps[[#This Row],[Type]],RecordCount[],7,0),0),"")</f>
        <v/>
      </c>
      <c r="O216" s="6" t="str">
        <f ca="1">IF(IDNMaps[[#This Row],[Name]]="","","("&amp;IDNMaps[[#This Row],[Type]]&amp;") "&amp;IDNMaps[[#This Row],[Name]])</f>
        <v/>
      </c>
      <c r="P216" s="6" t="str">
        <f ca="1">IFERROR(VLOOKUP(IDNMaps[[#This Row],[Primary]],INDIRECT(VLOOKUP(IDNMaps[[#This Row],[Type]],RecordCount[],2,0)),VLOOKUP(IDNMaps[[#This Row],[Type]],RecordCount[],8,0),0),"")</f>
        <v/>
      </c>
    </row>
    <row r="217" spans="10:16" x14ac:dyDescent="0.25">
      <c r="J217" s="11">
        <f t="shared" si="3"/>
        <v>216</v>
      </c>
      <c r="K21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7" s="6" t="str">
        <f ca="1">IF(IDNMaps[[#This Row],[Type]]="","",COUNTIF($K$1:IDNMaps[[#This Row],[Type]],IDNMaps[[#This Row],[Type]]))</f>
        <v/>
      </c>
      <c r="M217" s="6" t="str">
        <f ca="1">IFERROR(VLOOKUP(IDNMaps[[#This Row],[Type]],RecordCount[],6,0)&amp;"-"&amp;IDNMaps[[#This Row],[Type Count]],"")</f>
        <v/>
      </c>
      <c r="N217" s="6" t="str">
        <f ca="1">IFERROR(VLOOKUP(IDNMaps[[#This Row],[Primary]],INDIRECT(VLOOKUP(IDNMaps[[#This Row],[Type]],RecordCount[],2,0)),VLOOKUP(IDNMaps[[#This Row],[Type]],RecordCount[],7,0),0),"")</f>
        <v/>
      </c>
      <c r="O217" s="6" t="str">
        <f ca="1">IF(IDNMaps[[#This Row],[Name]]="","","("&amp;IDNMaps[[#This Row],[Type]]&amp;") "&amp;IDNMaps[[#This Row],[Name]])</f>
        <v/>
      </c>
      <c r="P217" s="6" t="str">
        <f ca="1">IFERROR(VLOOKUP(IDNMaps[[#This Row],[Primary]],INDIRECT(VLOOKUP(IDNMaps[[#This Row],[Type]],RecordCount[],2,0)),VLOOKUP(IDNMaps[[#This Row],[Type]],RecordCount[],8,0),0),"")</f>
        <v/>
      </c>
    </row>
    <row r="218" spans="10:16" x14ac:dyDescent="0.25">
      <c r="J218" s="11">
        <f t="shared" si="3"/>
        <v>217</v>
      </c>
      <c r="K21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8" s="6" t="str">
        <f ca="1">IF(IDNMaps[[#This Row],[Type]]="","",COUNTIF($K$1:IDNMaps[[#This Row],[Type]],IDNMaps[[#This Row],[Type]]))</f>
        <v/>
      </c>
      <c r="M218" s="6" t="str">
        <f ca="1">IFERROR(VLOOKUP(IDNMaps[[#This Row],[Type]],RecordCount[],6,0)&amp;"-"&amp;IDNMaps[[#This Row],[Type Count]],"")</f>
        <v/>
      </c>
      <c r="N218" s="6" t="str">
        <f ca="1">IFERROR(VLOOKUP(IDNMaps[[#This Row],[Primary]],INDIRECT(VLOOKUP(IDNMaps[[#This Row],[Type]],RecordCount[],2,0)),VLOOKUP(IDNMaps[[#This Row],[Type]],RecordCount[],7,0),0),"")</f>
        <v/>
      </c>
      <c r="O218" s="6" t="str">
        <f ca="1">IF(IDNMaps[[#This Row],[Name]]="","","("&amp;IDNMaps[[#This Row],[Type]]&amp;") "&amp;IDNMaps[[#This Row],[Name]])</f>
        <v/>
      </c>
      <c r="P218" s="6" t="str">
        <f ca="1">IFERROR(VLOOKUP(IDNMaps[[#This Row],[Primary]],INDIRECT(VLOOKUP(IDNMaps[[#This Row],[Type]],RecordCount[],2,0)),VLOOKUP(IDNMaps[[#This Row],[Type]],RecordCount[],8,0),0),"")</f>
        <v/>
      </c>
    </row>
    <row r="219" spans="10:16" x14ac:dyDescent="0.25">
      <c r="J219" s="11">
        <f t="shared" si="3"/>
        <v>218</v>
      </c>
      <c r="K21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9" s="6" t="str">
        <f ca="1">IF(IDNMaps[[#This Row],[Type]]="","",COUNTIF($K$1:IDNMaps[[#This Row],[Type]],IDNMaps[[#This Row],[Type]]))</f>
        <v/>
      </c>
      <c r="M219" s="6" t="str">
        <f ca="1">IFERROR(VLOOKUP(IDNMaps[[#This Row],[Type]],RecordCount[],6,0)&amp;"-"&amp;IDNMaps[[#This Row],[Type Count]],"")</f>
        <v/>
      </c>
      <c r="N219" s="6" t="str">
        <f ca="1">IFERROR(VLOOKUP(IDNMaps[[#This Row],[Primary]],INDIRECT(VLOOKUP(IDNMaps[[#This Row],[Type]],RecordCount[],2,0)),VLOOKUP(IDNMaps[[#This Row],[Type]],RecordCount[],7,0),0),"")</f>
        <v/>
      </c>
      <c r="O219" s="6" t="str">
        <f ca="1">IF(IDNMaps[[#This Row],[Name]]="","","("&amp;IDNMaps[[#This Row],[Type]]&amp;") "&amp;IDNMaps[[#This Row],[Name]])</f>
        <v/>
      </c>
      <c r="P219" s="6" t="str">
        <f ca="1">IFERROR(VLOOKUP(IDNMaps[[#This Row],[Primary]],INDIRECT(VLOOKUP(IDNMaps[[#This Row],[Type]],RecordCount[],2,0)),VLOOKUP(IDNMaps[[#This Row],[Type]],RecordCount[],8,0),0),"")</f>
        <v/>
      </c>
    </row>
    <row r="220" spans="10:16" x14ac:dyDescent="0.25">
      <c r="J220" s="11">
        <f t="shared" si="3"/>
        <v>219</v>
      </c>
      <c r="K22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0" s="6" t="str">
        <f ca="1">IF(IDNMaps[[#This Row],[Type]]="","",COUNTIF($K$1:IDNMaps[[#This Row],[Type]],IDNMaps[[#This Row],[Type]]))</f>
        <v/>
      </c>
      <c r="M220" s="6" t="str">
        <f ca="1">IFERROR(VLOOKUP(IDNMaps[[#This Row],[Type]],RecordCount[],6,0)&amp;"-"&amp;IDNMaps[[#This Row],[Type Count]],"")</f>
        <v/>
      </c>
      <c r="N220" s="6" t="str">
        <f ca="1">IFERROR(VLOOKUP(IDNMaps[[#This Row],[Primary]],INDIRECT(VLOOKUP(IDNMaps[[#This Row],[Type]],RecordCount[],2,0)),VLOOKUP(IDNMaps[[#This Row],[Type]],RecordCount[],7,0),0),"")</f>
        <v/>
      </c>
      <c r="O220" s="6" t="str">
        <f ca="1">IF(IDNMaps[[#This Row],[Name]]="","","("&amp;IDNMaps[[#This Row],[Type]]&amp;") "&amp;IDNMaps[[#This Row],[Name]])</f>
        <v/>
      </c>
      <c r="P220" s="6" t="str">
        <f ca="1">IFERROR(VLOOKUP(IDNMaps[[#This Row],[Primary]],INDIRECT(VLOOKUP(IDNMaps[[#This Row],[Type]],RecordCount[],2,0)),VLOOKUP(IDNMaps[[#This Row],[Type]],RecordCount[],8,0),0),"")</f>
        <v/>
      </c>
    </row>
    <row r="221" spans="10:16" x14ac:dyDescent="0.25">
      <c r="J221" s="11">
        <f t="shared" si="3"/>
        <v>220</v>
      </c>
      <c r="K22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1" s="6" t="str">
        <f ca="1">IF(IDNMaps[[#This Row],[Type]]="","",COUNTIF($K$1:IDNMaps[[#This Row],[Type]],IDNMaps[[#This Row],[Type]]))</f>
        <v/>
      </c>
      <c r="M221" s="6" t="str">
        <f ca="1">IFERROR(VLOOKUP(IDNMaps[[#This Row],[Type]],RecordCount[],6,0)&amp;"-"&amp;IDNMaps[[#This Row],[Type Count]],"")</f>
        <v/>
      </c>
      <c r="N221" s="6" t="str">
        <f ca="1">IFERROR(VLOOKUP(IDNMaps[[#This Row],[Primary]],INDIRECT(VLOOKUP(IDNMaps[[#This Row],[Type]],RecordCount[],2,0)),VLOOKUP(IDNMaps[[#This Row],[Type]],RecordCount[],7,0),0),"")</f>
        <v/>
      </c>
      <c r="O221" s="6" t="str">
        <f ca="1">IF(IDNMaps[[#This Row],[Name]]="","","("&amp;IDNMaps[[#This Row],[Type]]&amp;") "&amp;IDNMaps[[#This Row],[Name]])</f>
        <v/>
      </c>
      <c r="P221" s="6" t="str">
        <f ca="1">IFERROR(VLOOKUP(IDNMaps[[#This Row],[Primary]],INDIRECT(VLOOKUP(IDNMaps[[#This Row],[Type]],RecordCount[],2,0)),VLOOKUP(IDNMaps[[#This Row],[Type]],RecordCount[],8,0),0),"")</f>
        <v/>
      </c>
    </row>
    <row r="222" spans="10:16" x14ac:dyDescent="0.25">
      <c r="J222" s="11">
        <f t="shared" si="3"/>
        <v>221</v>
      </c>
      <c r="K22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2" s="6" t="str">
        <f ca="1">IF(IDNMaps[[#This Row],[Type]]="","",COUNTIF($K$1:IDNMaps[[#This Row],[Type]],IDNMaps[[#This Row],[Type]]))</f>
        <v/>
      </c>
      <c r="M222" s="6" t="str">
        <f ca="1">IFERROR(VLOOKUP(IDNMaps[[#This Row],[Type]],RecordCount[],6,0)&amp;"-"&amp;IDNMaps[[#This Row],[Type Count]],"")</f>
        <v/>
      </c>
      <c r="N222" s="6" t="str">
        <f ca="1">IFERROR(VLOOKUP(IDNMaps[[#This Row],[Primary]],INDIRECT(VLOOKUP(IDNMaps[[#This Row],[Type]],RecordCount[],2,0)),VLOOKUP(IDNMaps[[#This Row],[Type]],RecordCount[],7,0),0),"")</f>
        <v/>
      </c>
      <c r="O222" s="6" t="str">
        <f ca="1">IF(IDNMaps[[#This Row],[Name]]="","","("&amp;IDNMaps[[#This Row],[Type]]&amp;") "&amp;IDNMaps[[#This Row],[Name]])</f>
        <v/>
      </c>
      <c r="P222" s="6" t="str">
        <f ca="1">IFERROR(VLOOKUP(IDNMaps[[#This Row],[Primary]],INDIRECT(VLOOKUP(IDNMaps[[#This Row],[Type]],RecordCount[],2,0)),VLOOKUP(IDNMaps[[#This Row],[Type]],RecordCount[],8,0),0),"")</f>
        <v/>
      </c>
    </row>
    <row r="223" spans="10:16" x14ac:dyDescent="0.25">
      <c r="J223" s="11">
        <f t="shared" si="3"/>
        <v>222</v>
      </c>
      <c r="K22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3" s="6" t="str">
        <f ca="1">IF(IDNMaps[[#This Row],[Type]]="","",COUNTIF($K$1:IDNMaps[[#This Row],[Type]],IDNMaps[[#This Row],[Type]]))</f>
        <v/>
      </c>
      <c r="M223" s="6" t="str">
        <f ca="1">IFERROR(VLOOKUP(IDNMaps[[#This Row],[Type]],RecordCount[],6,0)&amp;"-"&amp;IDNMaps[[#This Row],[Type Count]],"")</f>
        <v/>
      </c>
      <c r="N223" s="6" t="str">
        <f ca="1">IFERROR(VLOOKUP(IDNMaps[[#This Row],[Primary]],INDIRECT(VLOOKUP(IDNMaps[[#This Row],[Type]],RecordCount[],2,0)),VLOOKUP(IDNMaps[[#This Row],[Type]],RecordCount[],7,0),0),"")</f>
        <v/>
      </c>
      <c r="O223" s="6" t="str">
        <f ca="1">IF(IDNMaps[[#This Row],[Name]]="","","("&amp;IDNMaps[[#This Row],[Type]]&amp;") "&amp;IDNMaps[[#This Row],[Name]])</f>
        <v/>
      </c>
      <c r="P223" s="6" t="str">
        <f ca="1">IFERROR(VLOOKUP(IDNMaps[[#This Row],[Primary]],INDIRECT(VLOOKUP(IDNMaps[[#This Row],[Type]],RecordCount[],2,0)),VLOOKUP(IDNMaps[[#This Row],[Type]],RecordCount[],8,0),0),"")</f>
        <v/>
      </c>
    </row>
    <row r="224" spans="10:16" x14ac:dyDescent="0.25">
      <c r="J224" s="11">
        <f t="shared" si="3"/>
        <v>223</v>
      </c>
      <c r="K22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4" s="6" t="str">
        <f ca="1">IF(IDNMaps[[#This Row],[Type]]="","",COUNTIF($K$1:IDNMaps[[#This Row],[Type]],IDNMaps[[#This Row],[Type]]))</f>
        <v/>
      </c>
      <c r="M224" s="6" t="str">
        <f ca="1">IFERROR(VLOOKUP(IDNMaps[[#This Row],[Type]],RecordCount[],6,0)&amp;"-"&amp;IDNMaps[[#This Row],[Type Count]],"")</f>
        <v/>
      </c>
      <c r="N224" s="6" t="str">
        <f ca="1">IFERROR(VLOOKUP(IDNMaps[[#This Row],[Primary]],INDIRECT(VLOOKUP(IDNMaps[[#This Row],[Type]],RecordCount[],2,0)),VLOOKUP(IDNMaps[[#This Row],[Type]],RecordCount[],7,0),0),"")</f>
        <v/>
      </c>
      <c r="O224" s="6" t="str">
        <f ca="1">IF(IDNMaps[[#This Row],[Name]]="","","("&amp;IDNMaps[[#This Row],[Type]]&amp;") "&amp;IDNMaps[[#This Row],[Name]])</f>
        <v/>
      </c>
      <c r="P224" s="6" t="str">
        <f ca="1">IFERROR(VLOOKUP(IDNMaps[[#This Row],[Primary]],INDIRECT(VLOOKUP(IDNMaps[[#This Row],[Type]],RecordCount[],2,0)),VLOOKUP(IDNMaps[[#This Row],[Type]],RecordCount[],8,0),0),"")</f>
        <v/>
      </c>
    </row>
    <row r="225" spans="10:16" x14ac:dyDescent="0.25">
      <c r="J225" s="11">
        <f t="shared" si="3"/>
        <v>224</v>
      </c>
      <c r="K22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5" s="6" t="str">
        <f ca="1">IF(IDNMaps[[#This Row],[Type]]="","",COUNTIF($K$1:IDNMaps[[#This Row],[Type]],IDNMaps[[#This Row],[Type]]))</f>
        <v/>
      </c>
      <c r="M225" s="6" t="str">
        <f ca="1">IFERROR(VLOOKUP(IDNMaps[[#This Row],[Type]],RecordCount[],6,0)&amp;"-"&amp;IDNMaps[[#This Row],[Type Count]],"")</f>
        <v/>
      </c>
      <c r="N225" s="6" t="str">
        <f ca="1">IFERROR(VLOOKUP(IDNMaps[[#This Row],[Primary]],INDIRECT(VLOOKUP(IDNMaps[[#This Row],[Type]],RecordCount[],2,0)),VLOOKUP(IDNMaps[[#This Row],[Type]],RecordCount[],7,0),0),"")</f>
        <v/>
      </c>
      <c r="O225" s="6" t="str">
        <f ca="1">IF(IDNMaps[[#This Row],[Name]]="","","("&amp;IDNMaps[[#This Row],[Type]]&amp;") "&amp;IDNMaps[[#This Row],[Name]])</f>
        <v/>
      </c>
      <c r="P225" s="6" t="str">
        <f ca="1">IFERROR(VLOOKUP(IDNMaps[[#This Row],[Primary]],INDIRECT(VLOOKUP(IDNMaps[[#This Row],[Type]],RecordCount[],2,0)),VLOOKUP(IDNMaps[[#This Row],[Type]],RecordCount[],8,0),0),"")</f>
        <v/>
      </c>
    </row>
    <row r="226" spans="10:16" x14ac:dyDescent="0.25">
      <c r="J226" s="11">
        <f t="shared" si="3"/>
        <v>225</v>
      </c>
      <c r="K22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6" s="6" t="str">
        <f ca="1">IF(IDNMaps[[#This Row],[Type]]="","",COUNTIF($K$1:IDNMaps[[#This Row],[Type]],IDNMaps[[#This Row],[Type]]))</f>
        <v/>
      </c>
      <c r="M226" s="6" t="str">
        <f ca="1">IFERROR(VLOOKUP(IDNMaps[[#This Row],[Type]],RecordCount[],6,0)&amp;"-"&amp;IDNMaps[[#This Row],[Type Count]],"")</f>
        <v/>
      </c>
      <c r="N226" s="6" t="str">
        <f ca="1">IFERROR(VLOOKUP(IDNMaps[[#This Row],[Primary]],INDIRECT(VLOOKUP(IDNMaps[[#This Row],[Type]],RecordCount[],2,0)),VLOOKUP(IDNMaps[[#This Row],[Type]],RecordCount[],7,0),0),"")</f>
        <v/>
      </c>
      <c r="O226" s="6" t="str">
        <f ca="1">IF(IDNMaps[[#This Row],[Name]]="","","("&amp;IDNMaps[[#This Row],[Type]]&amp;") "&amp;IDNMaps[[#This Row],[Name]])</f>
        <v/>
      </c>
      <c r="P226" s="6" t="str">
        <f ca="1">IFERROR(VLOOKUP(IDNMaps[[#This Row],[Primary]],INDIRECT(VLOOKUP(IDNMaps[[#This Row],[Type]],RecordCount[],2,0)),VLOOKUP(IDNMaps[[#This Row],[Type]],RecordCount[],8,0),0),"")</f>
        <v/>
      </c>
    </row>
    <row r="227" spans="10:16" x14ac:dyDescent="0.25">
      <c r="J227" s="11">
        <f t="shared" si="3"/>
        <v>226</v>
      </c>
      <c r="K22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7" s="6" t="str">
        <f ca="1">IF(IDNMaps[[#This Row],[Type]]="","",COUNTIF($K$1:IDNMaps[[#This Row],[Type]],IDNMaps[[#This Row],[Type]]))</f>
        <v/>
      </c>
      <c r="M227" s="6" t="str">
        <f ca="1">IFERROR(VLOOKUP(IDNMaps[[#This Row],[Type]],RecordCount[],6,0)&amp;"-"&amp;IDNMaps[[#This Row],[Type Count]],"")</f>
        <v/>
      </c>
      <c r="N227" s="6" t="str">
        <f ca="1">IFERROR(VLOOKUP(IDNMaps[[#This Row],[Primary]],INDIRECT(VLOOKUP(IDNMaps[[#This Row],[Type]],RecordCount[],2,0)),VLOOKUP(IDNMaps[[#This Row],[Type]],RecordCount[],7,0),0),"")</f>
        <v/>
      </c>
      <c r="O227" s="6" t="str">
        <f ca="1">IF(IDNMaps[[#This Row],[Name]]="","","("&amp;IDNMaps[[#This Row],[Type]]&amp;") "&amp;IDNMaps[[#This Row],[Name]])</f>
        <v/>
      </c>
      <c r="P227" s="6" t="str">
        <f ca="1">IFERROR(VLOOKUP(IDNMaps[[#This Row],[Primary]],INDIRECT(VLOOKUP(IDNMaps[[#This Row],[Type]],RecordCount[],2,0)),VLOOKUP(IDNMaps[[#This Row],[Type]],RecordCount[],8,0),0),"")</f>
        <v/>
      </c>
    </row>
    <row r="228" spans="10:16" x14ac:dyDescent="0.25">
      <c r="J228" s="11">
        <f t="shared" si="3"/>
        <v>227</v>
      </c>
      <c r="K22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8" s="6" t="str">
        <f ca="1">IF(IDNMaps[[#This Row],[Type]]="","",COUNTIF($K$1:IDNMaps[[#This Row],[Type]],IDNMaps[[#This Row],[Type]]))</f>
        <v/>
      </c>
      <c r="M228" s="6" t="str">
        <f ca="1">IFERROR(VLOOKUP(IDNMaps[[#This Row],[Type]],RecordCount[],6,0)&amp;"-"&amp;IDNMaps[[#This Row],[Type Count]],"")</f>
        <v/>
      </c>
      <c r="N228" s="6" t="str">
        <f ca="1">IFERROR(VLOOKUP(IDNMaps[[#This Row],[Primary]],INDIRECT(VLOOKUP(IDNMaps[[#This Row],[Type]],RecordCount[],2,0)),VLOOKUP(IDNMaps[[#This Row],[Type]],RecordCount[],7,0),0),"")</f>
        <v/>
      </c>
      <c r="O228" s="6" t="str">
        <f ca="1">IF(IDNMaps[[#This Row],[Name]]="","","("&amp;IDNMaps[[#This Row],[Type]]&amp;") "&amp;IDNMaps[[#This Row],[Name]])</f>
        <v/>
      </c>
      <c r="P228" s="6" t="str">
        <f ca="1">IFERROR(VLOOKUP(IDNMaps[[#This Row],[Primary]],INDIRECT(VLOOKUP(IDNMaps[[#This Row],[Type]],RecordCount[],2,0)),VLOOKUP(IDNMaps[[#This Row],[Type]],RecordCount[],8,0),0),"")</f>
        <v/>
      </c>
    </row>
    <row r="229" spans="10:16" x14ac:dyDescent="0.25">
      <c r="J229" s="11">
        <f t="shared" si="3"/>
        <v>228</v>
      </c>
      <c r="K22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9" s="6" t="str">
        <f ca="1">IF(IDNMaps[[#This Row],[Type]]="","",COUNTIF($K$1:IDNMaps[[#This Row],[Type]],IDNMaps[[#This Row],[Type]]))</f>
        <v/>
      </c>
      <c r="M229" s="6" t="str">
        <f ca="1">IFERROR(VLOOKUP(IDNMaps[[#This Row],[Type]],RecordCount[],6,0)&amp;"-"&amp;IDNMaps[[#This Row],[Type Count]],"")</f>
        <v/>
      </c>
      <c r="N229" s="6" t="str">
        <f ca="1">IFERROR(VLOOKUP(IDNMaps[[#This Row],[Primary]],INDIRECT(VLOOKUP(IDNMaps[[#This Row],[Type]],RecordCount[],2,0)),VLOOKUP(IDNMaps[[#This Row],[Type]],RecordCount[],7,0),0),"")</f>
        <v/>
      </c>
      <c r="O229" s="6" t="str">
        <f ca="1">IF(IDNMaps[[#This Row],[Name]]="","","("&amp;IDNMaps[[#This Row],[Type]]&amp;") "&amp;IDNMaps[[#This Row],[Name]])</f>
        <v/>
      </c>
      <c r="P229" s="6" t="str">
        <f ca="1">IFERROR(VLOOKUP(IDNMaps[[#This Row],[Primary]],INDIRECT(VLOOKUP(IDNMaps[[#This Row],[Type]],RecordCount[],2,0)),VLOOKUP(IDNMaps[[#This Row],[Type]],RecordCount[],8,0),0),"")</f>
        <v/>
      </c>
    </row>
    <row r="230" spans="10:16" x14ac:dyDescent="0.25">
      <c r="J230" s="11">
        <f t="shared" si="3"/>
        <v>229</v>
      </c>
      <c r="K23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0" s="6" t="str">
        <f ca="1">IF(IDNMaps[[#This Row],[Type]]="","",COUNTIF($K$1:IDNMaps[[#This Row],[Type]],IDNMaps[[#This Row],[Type]]))</f>
        <v/>
      </c>
      <c r="M230" s="6" t="str">
        <f ca="1">IFERROR(VLOOKUP(IDNMaps[[#This Row],[Type]],RecordCount[],6,0)&amp;"-"&amp;IDNMaps[[#This Row],[Type Count]],"")</f>
        <v/>
      </c>
      <c r="N230" s="6" t="str">
        <f ca="1">IFERROR(VLOOKUP(IDNMaps[[#This Row],[Primary]],INDIRECT(VLOOKUP(IDNMaps[[#This Row],[Type]],RecordCount[],2,0)),VLOOKUP(IDNMaps[[#This Row],[Type]],RecordCount[],7,0),0),"")</f>
        <v/>
      </c>
      <c r="O230" s="6" t="str">
        <f ca="1">IF(IDNMaps[[#This Row],[Name]]="","","("&amp;IDNMaps[[#This Row],[Type]]&amp;") "&amp;IDNMaps[[#This Row],[Name]])</f>
        <v/>
      </c>
      <c r="P230" s="6" t="str">
        <f ca="1">IFERROR(VLOOKUP(IDNMaps[[#This Row],[Primary]],INDIRECT(VLOOKUP(IDNMaps[[#This Row],[Type]],RecordCount[],2,0)),VLOOKUP(IDNMaps[[#This Row],[Type]],RecordCount[],8,0),0),"")</f>
        <v/>
      </c>
    </row>
    <row r="231" spans="10:16" x14ac:dyDescent="0.25">
      <c r="J231" s="11">
        <f t="shared" si="3"/>
        <v>230</v>
      </c>
      <c r="K23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1" s="6" t="str">
        <f ca="1">IF(IDNMaps[[#This Row],[Type]]="","",COUNTIF($K$1:IDNMaps[[#This Row],[Type]],IDNMaps[[#This Row],[Type]]))</f>
        <v/>
      </c>
      <c r="M231" s="6" t="str">
        <f ca="1">IFERROR(VLOOKUP(IDNMaps[[#This Row],[Type]],RecordCount[],6,0)&amp;"-"&amp;IDNMaps[[#This Row],[Type Count]],"")</f>
        <v/>
      </c>
      <c r="N231" s="6" t="str">
        <f ca="1">IFERROR(VLOOKUP(IDNMaps[[#This Row],[Primary]],INDIRECT(VLOOKUP(IDNMaps[[#This Row],[Type]],RecordCount[],2,0)),VLOOKUP(IDNMaps[[#This Row],[Type]],RecordCount[],7,0),0),"")</f>
        <v/>
      </c>
      <c r="O231" s="6" t="str">
        <f ca="1">IF(IDNMaps[[#This Row],[Name]]="","","("&amp;IDNMaps[[#This Row],[Type]]&amp;") "&amp;IDNMaps[[#This Row],[Name]])</f>
        <v/>
      </c>
      <c r="P231" s="6" t="str">
        <f ca="1">IFERROR(VLOOKUP(IDNMaps[[#This Row],[Primary]],INDIRECT(VLOOKUP(IDNMaps[[#This Row],[Type]],RecordCount[],2,0)),VLOOKUP(IDNMaps[[#This Row],[Type]],RecordCount[],8,0),0),"")</f>
        <v/>
      </c>
    </row>
    <row r="232" spans="10:16" x14ac:dyDescent="0.25">
      <c r="J232" s="11">
        <f t="shared" si="3"/>
        <v>231</v>
      </c>
      <c r="K23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2" s="6" t="str">
        <f ca="1">IF(IDNMaps[[#This Row],[Type]]="","",COUNTIF($K$1:IDNMaps[[#This Row],[Type]],IDNMaps[[#This Row],[Type]]))</f>
        <v/>
      </c>
      <c r="M232" s="6" t="str">
        <f ca="1">IFERROR(VLOOKUP(IDNMaps[[#This Row],[Type]],RecordCount[],6,0)&amp;"-"&amp;IDNMaps[[#This Row],[Type Count]],"")</f>
        <v/>
      </c>
      <c r="N232" s="6" t="str">
        <f ca="1">IFERROR(VLOOKUP(IDNMaps[[#This Row],[Primary]],INDIRECT(VLOOKUP(IDNMaps[[#This Row],[Type]],RecordCount[],2,0)),VLOOKUP(IDNMaps[[#This Row],[Type]],RecordCount[],7,0),0),"")</f>
        <v/>
      </c>
      <c r="O232" s="6" t="str">
        <f ca="1">IF(IDNMaps[[#This Row],[Name]]="","","("&amp;IDNMaps[[#This Row],[Type]]&amp;") "&amp;IDNMaps[[#This Row],[Name]])</f>
        <v/>
      </c>
      <c r="P232" s="6" t="str">
        <f ca="1">IFERROR(VLOOKUP(IDNMaps[[#This Row],[Primary]],INDIRECT(VLOOKUP(IDNMaps[[#This Row],[Type]],RecordCount[],2,0)),VLOOKUP(IDNMaps[[#This Row],[Type]],RecordCount[],8,0),0),"")</f>
        <v/>
      </c>
    </row>
    <row r="233" spans="10:16" x14ac:dyDescent="0.25">
      <c r="J233" s="11">
        <f t="shared" si="3"/>
        <v>232</v>
      </c>
      <c r="K23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3" s="6" t="str">
        <f ca="1">IF(IDNMaps[[#This Row],[Type]]="","",COUNTIF($K$1:IDNMaps[[#This Row],[Type]],IDNMaps[[#This Row],[Type]]))</f>
        <v/>
      </c>
      <c r="M233" s="6" t="str">
        <f ca="1">IFERROR(VLOOKUP(IDNMaps[[#This Row],[Type]],RecordCount[],6,0)&amp;"-"&amp;IDNMaps[[#This Row],[Type Count]],"")</f>
        <v/>
      </c>
      <c r="N233" s="6" t="str">
        <f ca="1">IFERROR(VLOOKUP(IDNMaps[[#This Row],[Primary]],INDIRECT(VLOOKUP(IDNMaps[[#This Row],[Type]],RecordCount[],2,0)),VLOOKUP(IDNMaps[[#This Row],[Type]],RecordCount[],7,0),0),"")</f>
        <v/>
      </c>
      <c r="O233" s="6" t="str">
        <f ca="1">IF(IDNMaps[[#This Row],[Name]]="","","("&amp;IDNMaps[[#This Row],[Type]]&amp;") "&amp;IDNMaps[[#This Row],[Name]])</f>
        <v/>
      </c>
      <c r="P233" s="6" t="str">
        <f ca="1">IFERROR(VLOOKUP(IDNMaps[[#This Row],[Primary]],INDIRECT(VLOOKUP(IDNMaps[[#This Row],[Type]],RecordCount[],2,0)),VLOOKUP(IDNMaps[[#This Row],[Type]],RecordCount[],8,0),0),"")</f>
        <v/>
      </c>
    </row>
    <row r="234" spans="10:16" x14ac:dyDescent="0.25">
      <c r="J234" s="11">
        <f t="shared" si="3"/>
        <v>233</v>
      </c>
      <c r="K23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4" s="6" t="str">
        <f ca="1">IF(IDNMaps[[#This Row],[Type]]="","",COUNTIF($K$1:IDNMaps[[#This Row],[Type]],IDNMaps[[#This Row],[Type]]))</f>
        <v/>
      </c>
      <c r="M234" s="6" t="str">
        <f ca="1">IFERROR(VLOOKUP(IDNMaps[[#This Row],[Type]],RecordCount[],6,0)&amp;"-"&amp;IDNMaps[[#This Row],[Type Count]],"")</f>
        <v/>
      </c>
      <c r="N234" s="6" t="str">
        <f ca="1">IFERROR(VLOOKUP(IDNMaps[[#This Row],[Primary]],INDIRECT(VLOOKUP(IDNMaps[[#This Row],[Type]],RecordCount[],2,0)),VLOOKUP(IDNMaps[[#This Row],[Type]],RecordCount[],7,0),0),"")</f>
        <v/>
      </c>
      <c r="O234" s="6" t="str">
        <f ca="1">IF(IDNMaps[[#This Row],[Name]]="","","("&amp;IDNMaps[[#This Row],[Type]]&amp;") "&amp;IDNMaps[[#This Row],[Name]])</f>
        <v/>
      </c>
      <c r="P234" s="6" t="str">
        <f ca="1">IFERROR(VLOOKUP(IDNMaps[[#This Row],[Primary]],INDIRECT(VLOOKUP(IDNMaps[[#This Row],[Type]],RecordCount[],2,0)),VLOOKUP(IDNMaps[[#This Row],[Type]],RecordCount[],8,0),0),"")</f>
        <v/>
      </c>
    </row>
    <row r="235" spans="10:16" x14ac:dyDescent="0.25">
      <c r="J235" s="11">
        <f t="shared" si="3"/>
        <v>234</v>
      </c>
      <c r="K23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5" s="6" t="str">
        <f ca="1">IF(IDNMaps[[#This Row],[Type]]="","",COUNTIF($K$1:IDNMaps[[#This Row],[Type]],IDNMaps[[#This Row],[Type]]))</f>
        <v/>
      </c>
      <c r="M235" s="6" t="str">
        <f ca="1">IFERROR(VLOOKUP(IDNMaps[[#This Row],[Type]],RecordCount[],6,0)&amp;"-"&amp;IDNMaps[[#This Row],[Type Count]],"")</f>
        <v/>
      </c>
      <c r="N235" s="6" t="str">
        <f ca="1">IFERROR(VLOOKUP(IDNMaps[[#This Row],[Primary]],INDIRECT(VLOOKUP(IDNMaps[[#This Row],[Type]],RecordCount[],2,0)),VLOOKUP(IDNMaps[[#This Row],[Type]],RecordCount[],7,0),0),"")</f>
        <v/>
      </c>
      <c r="O235" s="6" t="str">
        <f ca="1">IF(IDNMaps[[#This Row],[Name]]="","","("&amp;IDNMaps[[#This Row],[Type]]&amp;") "&amp;IDNMaps[[#This Row],[Name]])</f>
        <v/>
      </c>
      <c r="P235" s="6" t="str">
        <f ca="1">IFERROR(VLOOKUP(IDNMaps[[#This Row],[Primary]],INDIRECT(VLOOKUP(IDNMaps[[#This Row],[Type]],RecordCount[],2,0)),VLOOKUP(IDNMaps[[#This Row],[Type]],RecordCount[],8,0),0),"")</f>
        <v/>
      </c>
    </row>
    <row r="236" spans="10:16" x14ac:dyDescent="0.25">
      <c r="J236" s="11">
        <f t="shared" si="3"/>
        <v>235</v>
      </c>
      <c r="K23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6" s="6" t="str">
        <f ca="1">IF(IDNMaps[[#This Row],[Type]]="","",COUNTIF($K$1:IDNMaps[[#This Row],[Type]],IDNMaps[[#This Row],[Type]]))</f>
        <v/>
      </c>
      <c r="M236" s="6" t="str">
        <f ca="1">IFERROR(VLOOKUP(IDNMaps[[#This Row],[Type]],RecordCount[],6,0)&amp;"-"&amp;IDNMaps[[#This Row],[Type Count]],"")</f>
        <v/>
      </c>
      <c r="N236" s="6" t="str">
        <f ca="1">IFERROR(VLOOKUP(IDNMaps[[#This Row],[Primary]],INDIRECT(VLOOKUP(IDNMaps[[#This Row],[Type]],RecordCount[],2,0)),VLOOKUP(IDNMaps[[#This Row],[Type]],RecordCount[],7,0),0),"")</f>
        <v/>
      </c>
      <c r="O236" s="6" t="str">
        <f ca="1">IF(IDNMaps[[#This Row],[Name]]="","","("&amp;IDNMaps[[#This Row],[Type]]&amp;") "&amp;IDNMaps[[#This Row],[Name]])</f>
        <v/>
      </c>
      <c r="P236" s="6" t="str">
        <f ca="1">IFERROR(VLOOKUP(IDNMaps[[#This Row],[Primary]],INDIRECT(VLOOKUP(IDNMaps[[#This Row],[Type]],RecordCount[],2,0)),VLOOKUP(IDNMaps[[#This Row],[Type]],RecordCount[],8,0),0),"")</f>
        <v/>
      </c>
    </row>
    <row r="237" spans="10:16" x14ac:dyDescent="0.25">
      <c r="J237" s="11">
        <f t="shared" si="3"/>
        <v>236</v>
      </c>
      <c r="K23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7" s="6" t="str">
        <f ca="1">IF(IDNMaps[[#This Row],[Type]]="","",COUNTIF($K$1:IDNMaps[[#This Row],[Type]],IDNMaps[[#This Row],[Type]]))</f>
        <v/>
      </c>
      <c r="M237" s="6" t="str">
        <f ca="1">IFERROR(VLOOKUP(IDNMaps[[#This Row],[Type]],RecordCount[],6,0)&amp;"-"&amp;IDNMaps[[#This Row],[Type Count]],"")</f>
        <v/>
      </c>
      <c r="N237" s="6" t="str">
        <f ca="1">IFERROR(VLOOKUP(IDNMaps[[#This Row],[Primary]],INDIRECT(VLOOKUP(IDNMaps[[#This Row],[Type]],RecordCount[],2,0)),VLOOKUP(IDNMaps[[#This Row],[Type]],RecordCount[],7,0),0),"")</f>
        <v/>
      </c>
      <c r="O237" s="6" t="str">
        <f ca="1">IF(IDNMaps[[#This Row],[Name]]="","","("&amp;IDNMaps[[#This Row],[Type]]&amp;") "&amp;IDNMaps[[#This Row],[Name]])</f>
        <v/>
      </c>
      <c r="P237" s="6" t="str">
        <f ca="1">IFERROR(VLOOKUP(IDNMaps[[#This Row],[Primary]],INDIRECT(VLOOKUP(IDNMaps[[#This Row],[Type]],RecordCount[],2,0)),VLOOKUP(IDNMaps[[#This Row],[Type]],RecordCount[],8,0),0),"")</f>
        <v/>
      </c>
    </row>
    <row r="238" spans="10:16" x14ac:dyDescent="0.25">
      <c r="J238" s="11">
        <f t="shared" si="3"/>
        <v>237</v>
      </c>
      <c r="K23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8" s="6" t="str">
        <f ca="1">IF(IDNMaps[[#This Row],[Type]]="","",COUNTIF($K$1:IDNMaps[[#This Row],[Type]],IDNMaps[[#This Row],[Type]]))</f>
        <v/>
      </c>
      <c r="M238" s="6" t="str">
        <f ca="1">IFERROR(VLOOKUP(IDNMaps[[#This Row],[Type]],RecordCount[],6,0)&amp;"-"&amp;IDNMaps[[#This Row],[Type Count]],"")</f>
        <v/>
      </c>
      <c r="N238" s="6" t="str">
        <f ca="1">IFERROR(VLOOKUP(IDNMaps[[#This Row],[Primary]],INDIRECT(VLOOKUP(IDNMaps[[#This Row],[Type]],RecordCount[],2,0)),VLOOKUP(IDNMaps[[#This Row],[Type]],RecordCount[],7,0),0),"")</f>
        <v/>
      </c>
      <c r="O238" s="6" t="str">
        <f ca="1">IF(IDNMaps[[#This Row],[Name]]="","","("&amp;IDNMaps[[#This Row],[Type]]&amp;") "&amp;IDNMaps[[#This Row],[Name]])</f>
        <v/>
      </c>
      <c r="P238" s="6" t="str">
        <f ca="1">IFERROR(VLOOKUP(IDNMaps[[#This Row],[Primary]],INDIRECT(VLOOKUP(IDNMaps[[#This Row],[Type]],RecordCount[],2,0)),VLOOKUP(IDNMaps[[#This Row],[Type]],RecordCount[],8,0),0),"")</f>
        <v/>
      </c>
    </row>
    <row r="239" spans="10:16" x14ac:dyDescent="0.25">
      <c r="J239" s="11">
        <f t="shared" si="3"/>
        <v>238</v>
      </c>
      <c r="K23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9" s="6" t="str">
        <f ca="1">IF(IDNMaps[[#This Row],[Type]]="","",COUNTIF($K$1:IDNMaps[[#This Row],[Type]],IDNMaps[[#This Row],[Type]]))</f>
        <v/>
      </c>
      <c r="M239" s="6" t="str">
        <f ca="1">IFERROR(VLOOKUP(IDNMaps[[#This Row],[Type]],RecordCount[],6,0)&amp;"-"&amp;IDNMaps[[#This Row],[Type Count]],"")</f>
        <v/>
      </c>
      <c r="N239" s="6" t="str">
        <f ca="1">IFERROR(VLOOKUP(IDNMaps[[#This Row],[Primary]],INDIRECT(VLOOKUP(IDNMaps[[#This Row],[Type]],RecordCount[],2,0)),VLOOKUP(IDNMaps[[#This Row],[Type]],RecordCount[],7,0),0),"")</f>
        <v/>
      </c>
      <c r="O239" s="6" t="str">
        <f ca="1">IF(IDNMaps[[#This Row],[Name]]="","","("&amp;IDNMaps[[#This Row],[Type]]&amp;") "&amp;IDNMaps[[#This Row],[Name]])</f>
        <v/>
      </c>
      <c r="P239" s="6" t="str">
        <f ca="1">IFERROR(VLOOKUP(IDNMaps[[#This Row],[Primary]],INDIRECT(VLOOKUP(IDNMaps[[#This Row],[Type]],RecordCount[],2,0)),VLOOKUP(IDNMaps[[#This Row],[Type]],RecordCount[],8,0),0),"")</f>
        <v/>
      </c>
    </row>
    <row r="240" spans="10:16" x14ac:dyDescent="0.25">
      <c r="J240" s="11">
        <f t="shared" si="3"/>
        <v>239</v>
      </c>
      <c r="K24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0" s="6" t="str">
        <f ca="1">IF(IDNMaps[[#This Row],[Type]]="","",COUNTIF($K$1:IDNMaps[[#This Row],[Type]],IDNMaps[[#This Row],[Type]]))</f>
        <v/>
      </c>
      <c r="M240" s="6" t="str">
        <f ca="1">IFERROR(VLOOKUP(IDNMaps[[#This Row],[Type]],RecordCount[],6,0)&amp;"-"&amp;IDNMaps[[#This Row],[Type Count]],"")</f>
        <v/>
      </c>
      <c r="N240" s="6" t="str">
        <f ca="1">IFERROR(VLOOKUP(IDNMaps[[#This Row],[Primary]],INDIRECT(VLOOKUP(IDNMaps[[#This Row],[Type]],RecordCount[],2,0)),VLOOKUP(IDNMaps[[#This Row],[Type]],RecordCount[],7,0),0),"")</f>
        <v/>
      </c>
      <c r="O240" s="6" t="str">
        <f ca="1">IF(IDNMaps[[#This Row],[Name]]="","","("&amp;IDNMaps[[#This Row],[Type]]&amp;") "&amp;IDNMaps[[#This Row],[Name]])</f>
        <v/>
      </c>
      <c r="P240" s="6" t="str">
        <f ca="1">IFERROR(VLOOKUP(IDNMaps[[#This Row],[Primary]],INDIRECT(VLOOKUP(IDNMaps[[#This Row],[Type]],RecordCount[],2,0)),VLOOKUP(IDNMaps[[#This Row],[Type]],RecordCount[],8,0),0),"")</f>
        <v/>
      </c>
    </row>
    <row r="241" spans="10:16" x14ac:dyDescent="0.25">
      <c r="J241" s="11">
        <f t="shared" si="3"/>
        <v>240</v>
      </c>
      <c r="K24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1" s="6" t="str">
        <f ca="1">IF(IDNMaps[[#This Row],[Type]]="","",COUNTIF($K$1:IDNMaps[[#This Row],[Type]],IDNMaps[[#This Row],[Type]]))</f>
        <v/>
      </c>
      <c r="M241" s="6" t="str">
        <f ca="1">IFERROR(VLOOKUP(IDNMaps[[#This Row],[Type]],RecordCount[],6,0)&amp;"-"&amp;IDNMaps[[#This Row],[Type Count]],"")</f>
        <v/>
      </c>
      <c r="N241" s="6" t="str">
        <f ca="1">IFERROR(VLOOKUP(IDNMaps[[#This Row],[Primary]],INDIRECT(VLOOKUP(IDNMaps[[#This Row],[Type]],RecordCount[],2,0)),VLOOKUP(IDNMaps[[#This Row],[Type]],RecordCount[],7,0),0),"")</f>
        <v/>
      </c>
      <c r="O241" s="6" t="str">
        <f ca="1">IF(IDNMaps[[#This Row],[Name]]="","","("&amp;IDNMaps[[#This Row],[Type]]&amp;") "&amp;IDNMaps[[#This Row],[Name]])</f>
        <v/>
      </c>
      <c r="P241" s="6" t="str">
        <f ca="1">IFERROR(VLOOKUP(IDNMaps[[#This Row],[Primary]],INDIRECT(VLOOKUP(IDNMaps[[#This Row],[Type]],RecordCount[],2,0)),VLOOKUP(IDNMaps[[#This Row],[Type]],RecordCount[],8,0),0),"")</f>
        <v/>
      </c>
    </row>
    <row r="242" spans="10:16" x14ac:dyDescent="0.25">
      <c r="J242" s="11">
        <f t="shared" si="3"/>
        <v>241</v>
      </c>
      <c r="K24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2" s="6" t="str">
        <f ca="1">IF(IDNMaps[[#This Row],[Type]]="","",COUNTIF($K$1:IDNMaps[[#This Row],[Type]],IDNMaps[[#This Row],[Type]]))</f>
        <v/>
      </c>
      <c r="M242" s="6" t="str">
        <f ca="1">IFERROR(VLOOKUP(IDNMaps[[#This Row],[Type]],RecordCount[],6,0)&amp;"-"&amp;IDNMaps[[#This Row],[Type Count]],"")</f>
        <v/>
      </c>
      <c r="N242" s="6" t="str">
        <f ca="1">IFERROR(VLOOKUP(IDNMaps[[#This Row],[Primary]],INDIRECT(VLOOKUP(IDNMaps[[#This Row],[Type]],RecordCount[],2,0)),VLOOKUP(IDNMaps[[#This Row],[Type]],RecordCount[],7,0),0),"")</f>
        <v/>
      </c>
      <c r="O242" s="6" t="str">
        <f ca="1">IF(IDNMaps[[#This Row],[Name]]="","","("&amp;IDNMaps[[#This Row],[Type]]&amp;") "&amp;IDNMaps[[#This Row],[Name]])</f>
        <v/>
      </c>
      <c r="P242" s="6" t="str">
        <f ca="1">IFERROR(VLOOKUP(IDNMaps[[#This Row],[Primary]],INDIRECT(VLOOKUP(IDNMaps[[#This Row],[Type]],RecordCount[],2,0)),VLOOKUP(IDNMaps[[#This Row],[Type]],RecordCount[],8,0),0),"")</f>
        <v/>
      </c>
    </row>
    <row r="243" spans="10:16" x14ac:dyDescent="0.25">
      <c r="J243" s="11">
        <f t="shared" si="3"/>
        <v>242</v>
      </c>
      <c r="K24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3" s="6" t="str">
        <f ca="1">IF(IDNMaps[[#This Row],[Type]]="","",COUNTIF($K$1:IDNMaps[[#This Row],[Type]],IDNMaps[[#This Row],[Type]]))</f>
        <v/>
      </c>
      <c r="M243" s="6" t="str">
        <f ca="1">IFERROR(VLOOKUP(IDNMaps[[#This Row],[Type]],RecordCount[],6,0)&amp;"-"&amp;IDNMaps[[#This Row],[Type Count]],"")</f>
        <v/>
      </c>
      <c r="N243" s="6" t="str">
        <f ca="1">IFERROR(VLOOKUP(IDNMaps[[#This Row],[Primary]],INDIRECT(VLOOKUP(IDNMaps[[#This Row],[Type]],RecordCount[],2,0)),VLOOKUP(IDNMaps[[#This Row],[Type]],RecordCount[],7,0),0),"")</f>
        <v/>
      </c>
      <c r="O243" s="6" t="str">
        <f ca="1">IF(IDNMaps[[#This Row],[Name]]="","","("&amp;IDNMaps[[#This Row],[Type]]&amp;") "&amp;IDNMaps[[#This Row],[Name]])</f>
        <v/>
      </c>
      <c r="P243" s="6" t="str">
        <f ca="1">IFERROR(VLOOKUP(IDNMaps[[#This Row],[Primary]],INDIRECT(VLOOKUP(IDNMaps[[#This Row],[Type]],RecordCount[],2,0)),VLOOKUP(IDNMaps[[#This Row],[Type]],RecordCount[],8,0),0),"")</f>
        <v/>
      </c>
    </row>
    <row r="244" spans="10:16" x14ac:dyDescent="0.25">
      <c r="J244" s="11">
        <f t="shared" si="3"/>
        <v>243</v>
      </c>
      <c r="K24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4" s="6" t="str">
        <f ca="1">IF(IDNMaps[[#This Row],[Type]]="","",COUNTIF($K$1:IDNMaps[[#This Row],[Type]],IDNMaps[[#This Row],[Type]]))</f>
        <v/>
      </c>
      <c r="M244" s="6" t="str">
        <f ca="1">IFERROR(VLOOKUP(IDNMaps[[#This Row],[Type]],RecordCount[],6,0)&amp;"-"&amp;IDNMaps[[#This Row],[Type Count]],"")</f>
        <v/>
      </c>
      <c r="N244" s="6" t="str">
        <f ca="1">IFERROR(VLOOKUP(IDNMaps[[#This Row],[Primary]],INDIRECT(VLOOKUP(IDNMaps[[#This Row],[Type]],RecordCount[],2,0)),VLOOKUP(IDNMaps[[#This Row],[Type]],RecordCount[],7,0),0),"")</f>
        <v/>
      </c>
      <c r="O244" s="6" t="str">
        <f ca="1">IF(IDNMaps[[#This Row],[Name]]="","","("&amp;IDNMaps[[#This Row],[Type]]&amp;") "&amp;IDNMaps[[#This Row],[Name]])</f>
        <v/>
      </c>
      <c r="P244" s="6" t="str">
        <f ca="1">IFERROR(VLOOKUP(IDNMaps[[#This Row],[Primary]],INDIRECT(VLOOKUP(IDNMaps[[#This Row],[Type]],RecordCount[],2,0)),VLOOKUP(IDNMaps[[#This Row],[Type]],RecordCount[],8,0),0),"")</f>
        <v/>
      </c>
    </row>
    <row r="245" spans="10:16" x14ac:dyDescent="0.25">
      <c r="J245" s="11">
        <f t="shared" si="3"/>
        <v>244</v>
      </c>
      <c r="K24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5" s="6" t="str">
        <f ca="1">IF(IDNMaps[[#This Row],[Type]]="","",COUNTIF($K$1:IDNMaps[[#This Row],[Type]],IDNMaps[[#This Row],[Type]]))</f>
        <v/>
      </c>
      <c r="M245" s="6" t="str">
        <f ca="1">IFERROR(VLOOKUP(IDNMaps[[#This Row],[Type]],RecordCount[],6,0)&amp;"-"&amp;IDNMaps[[#This Row],[Type Count]],"")</f>
        <v/>
      </c>
      <c r="N245" s="6" t="str">
        <f ca="1">IFERROR(VLOOKUP(IDNMaps[[#This Row],[Primary]],INDIRECT(VLOOKUP(IDNMaps[[#This Row],[Type]],RecordCount[],2,0)),VLOOKUP(IDNMaps[[#This Row],[Type]],RecordCount[],7,0),0),"")</f>
        <v/>
      </c>
      <c r="O245" s="6" t="str">
        <f ca="1">IF(IDNMaps[[#This Row],[Name]]="","","("&amp;IDNMaps[[#This Row],[Type]]&amp;") "&amp;IDNMaps[[#This Row],[Name]])</f>
        <v/>
      </c>
      <c r="P245" s="6" t="str">
        <f ca="1">IFERROR(VLOOKUP(IDNMaps[[#This Row],[Primary]],INDIRECT(VLOOKUP(IDNMaps[[#This Row],[Type]],RecordCount[],2,0)),VLOOKUP(IDNMaps[[#This Row],[Type]],RecordCount[],8,0),0),"")</f>
        <v/>
      </c>
    </row>
    <row r="246" spans="10:16" x14ac:dyDescent="0.25">
      <c r="J246" s="11">
        <f t="shared" si="3"/>
        <v>245</v>
      </c>
      <c r="K24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6" s="6" t="str">
        <f ca="1">IF(IDNMaps[[#This Row],[Type]]="","",COUNTIF($K$1:IDNMaps[[#This Row],[Type]],IDNMaps[[#This Row],[Type]]))</f>
        <v/>
      </c>
      <c r="M246" s="6" t="str">
        <f ca="1">IFERROR(VLOOKUP(IDNMaps[[#This Row],[Type]],RecordCount[],6,0)&amp;"-"&amp;IDNMaps[[#This Row],[Type Count]],"")</f>
        <v/>
      </c>
      <c r="N246" s="6" t="str">
        <f ca="1">IFERROR(VLOOKUP(IDNMaps[[#This Row],[Primary]],INDIRECT(VLOOKUP(IDNMaps[[#This Row],[Type]],RecordCount[],2,0)),VLOOKUP(IDNMaps[[#This Row],[Type]],RecordCount[],7,0),0),"")</f>
        <v/>
      </c>
      <c r="O246" s="6" t="str">
        <f ca="1">IF(IDNMaps[[#This Row],[Name]]="","","("&amp;IDNMaps[[#This Row],[Type]]&amp;") "&amp;IDNMaps[[#This Row],[Name]])</f>
        <v/>
      </c>
      <c r="P246" s="6" t="str">
        <f ca="1">IFERROR(VLOOKUP(IDNMaps[[#This Row],[Primary]],INDIRECT(VLOOKUP(IDNMaps[[#This Row],[Type]],RecordCount[],2,0)),VLOOKUP(IDNMaps[[#This Row],[Type]],RecordCount[],8,0),0),"")</f>
        <v/>
      </c>
    </row>
    <row r="247" spans="10:16" x14ac:dyDescent="0.25">
      <c r="J247" s="11">
        <f t="shared" si="3"/>
        <v>246</v>
      </c>
      <c r="K24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7" s="6" t="str">
        <f ca="1">IF(IDNMaps[[#This Row],[Type]]="","",COUNTIF($K$1:IDNMaps[[#This Row],[Type]],IDNMaps[[#This Row],[Type]]))</f>
        <v/>
      </c>
      <c r="M247" s="6" t="str">
        <f ca="1">IFERROR(VLOOKUP(IDNMaps[[#This Row],[Type]],RecordCount[],6,0)&amp;"-"&amp;IDNMaps[[#This Row],[Type Count]],"")</f>
        <v/>
      </c>
      <c r="N247" s="6" t="str">
        <f ca="1">IFERROR(VLOOKUP(IDNMaps[[#This Row],[Primary]],INDIRECT(VLOOKUP(IDNMaps[[#This Row],[Type]],RecordCount[],2,0)),VLOOKUP(IDNMaps[[#This Row],[Type]],RecordCount[],7,0),0),"")</f>
        <v/>
      </c>
      <c r="O247" s="6" t="str">
        <f ca="1">IF(IDNMaps[[#This Row],[Name]]="","","("&amp;IDNMaps[[#This Row],[Type]]&amp;") "&amp;IDNMaps[[#This Row],[Name]])</f>
        <v/>
      </c>
      <c r="P247" s="6" t="str">
        <f ca="1">IFERROR(VLOOKUP(IDNMaps[[#This Row],[Primary]],INDIRECT(VLOOKUP(IDNMaps[[#This Row],[Type]],RecordCount[],2,0)),VLOOKUP(IDNMaps[[#This Row],[Type]],RecordCount[],8,0),0),"")</f>
        <v/>
      </c>
    </row>
    <row r="248" spans="10:16" x14ac:dyDescent="0.25">
      <c r="J248" s="11">
        <f t="shared" si="3"/>
        <v>247</v>
      </c>
      <c r="K24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8" s="6" t="str">
        <f ca="1">IF(IDNMaps[[#This Row],[Type]]="","",COUNTIF($K$1:IDNMaps[[#This Row],[Type]],IDNMaps[[#This Row],[Type]]))</f>
        <v/>
      </c>
      <c r="M248" s="6" t="str">
        <f ca="1">IFERROR(VLOOKUP(IDNMaps[[#This Row],[Type]],RecordCount[],6,0)&amp;"-"&amp;IDNMaps[[#This Row],[Type Count]],"")</f>
        <v/>
      </c>
      <c r="N248" s="6" t="str">
        <f ca="1">IFERROR(VLOOKUP(IDNMaps[[#This Row],[Primary]],INDIRECT(VLOOKUP(IDNMaps[[#This Row],[Type]],RecordCount[],2,0)),VLOOKUP(IDNMaps[[#This Row],[Type]],RecordCount[],7,0),0),"")</f>
        <v/>
      </c>
      <c r="O248" s="6" t="str">
        <f ca="1">IF(IDNMaps[[#This Row],[Name]]="","","("&amp;IDNMaps[[#This Row],[Type]]&amp;") "&amp;IDNMaps[[#This Row],[Name]])</f>
        <v/>
      </c>
      <c r="P248" s="6" t="str">
        <f ca="1">IFERROR(VLOOKUP(IDNMaps[[#This Row],[Primary]],INDIRECT(VLOOKUP(IDNMaps[[#This Row],[Type]],RecordCount[],2,0)),VLOOKUP(IDNMaps[[#This Row],[Type]],RecordCount[],8,0),0),"")</f>
        <v/>
      </c>
    </row>
    <row r="249" spans="10:16" x14ac:dyDescent="0.25">
      <c r="J249" s="11">
        <f t="shared" si="3"/>
        <v>248</v>
      </c>
      <c r="K24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9" s="6" t="str">
        <f ca="1">IF(IDNMaps[[#This Row],[Type]]="","",COUNTIF($K$1:IDNMaps[[#This Row],[Type]],IDNMaps[[#This Row],[Type]]))</f>
        <v/>
      </c>
      <c r="M249" s="6" t="str">
        <f ca="1">IFERROR(VLOOKUP(IDNMaps[[#This Row],[Type]],RecordCount[],6,0)&amp;"-"&amp;IDNMaps[[#This Row],[Type Count]],"")</f>
        <v/>
      </c>
      <c r="N249" s="6" t="str">
        <f ca="1">IFERROR(VLOOKUP(IDNMaps[[#This Row],[Primary]],INDIRECT(VLOOKUP(IDNMaps[[#This Row],[Type]],RecordCount[],2,0)),VLOOKUP(IDNMaps[[#This Row],[Type]],RecordCount[],7,0),0),"")</f>
        <v/>
      </c>
      <c r="O249" s="6" t="str">
        <f ca="1">IF(IDNMaps[[#This Row],[Name]]="","","("&amp;IDNMaps[[#This Row],[Type]]&amp;") "&amp;IDNMaps[[#This Row],[Name]])</f>
        <v/>
      </c>
      <c r="P249" s="6" t="str">
        <f ca="1">IFERROR(VLOOKUP(IDNMaps[[#This Row],[Primary]],INDIRECT(VLOOKUP(IDNMaps[[#This Row],[Type]],RecordCount[],2,0)),VLOOKUP(IDNMaps[[#This Row],[Type]],RecordCount[],8,0),0),"")</f>
        <v/>
      </c>
    </row>
    <row r="250" spans="10:16" x14ac:dyDescent="0.25">
      <c r="J250" s="11">
        <f t="shared" si="3"/>
        <v>249</v>
      </c>
      <c r="K25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0" s="6" t="str">
        <f ca="1">IF(IDNMaps[[#This Row],[Type]]="","",COUNTIF($K$1:IDNMaps[[#This Row],[Type]],IDNMaps[[#This Row],[Type]]))</f>
        <v/>
      </c>
      <c r="M250" s="6" t="str">
        <f ca="1">IFERROR(VLOOKUP(IDNMaps[[#This Row],[Type]],RecordCount[],6,0)&amp;"-"&amp;IDNMaps[[#This Row],[Type Count]],"")</f>
        <v/>
      </c>
      <c r="N250" s="6" t="str">
        <f ca="1">IFERROR(VLOOKUP(IDNMaps[[#This Row],[Primary]],INDIRECT(VLOOKUP(IDNMaps[[#This Row],[Type]],RecordCount[],2,0)),VLOOKUP(IDNMaps[[#This Row],[Type]],RecordCount[],7,0),0),"")</f>
        <v/>
      </c>
      <c r="O250" s="6" t="str">
        <f ca="1">IF(IDNMaps[[#This Row],[Name]]="","","("&amp;IDNMaps[[#This Row],[Type]]&amp;") "&amp;IDNMaps[[#This Row],[Name]])</f>
        <v/>
      </c>
      <c r="P250" s="6" t="str">
        <f ca="1">IFERROR(VLOOKUP(IDNMaps[[#This Row],[Primary]],INDIRECT(VLOOKUP(IDNMaps[[#This Row],[Type]],RecordCount[],2,0)),VLOOKUP(IDNMaps[[#This Row],[Type]],RecordCount[],8,0),0),"")</f>
        <v/>
      </c>
    </row>
    <row r="251" spans="10:16" x14ac:dyDescent="0.25">
      <c r="J251" s="11">
        <f t="shared" si="3"/>
        <v>250</v>
      </c>
      <c r="K25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1" s="6" t="str">
        <f ca="1">IF(IDNMaps[[#This Row],[Type]]="","",COUNTIF($K$1:IDNMaps[[#This Row],[Type]],IDNMaps[[#This Row],[Type]]))</f>
        <v/>
      </c>
      <c r="M251" s="6" t="str">
        <f ca="1">IFERROR(VLOOKUP(IDNMaps[[#This Row],[Type]],RecordCount[],6,0)&amp;"-"&amp;IDNMaps[[#This Row],[Type Count]],"")</f>
        <v/>
      </c>
      <c r="N251" s="6" t="str">
        <f ca="1">IFERROR(VLOOKUP(IDNMaps[[#This Row],[Primary]],INDIRECT(VLOOKUP(IDNMaps[[#This Row],[Type]],RecordCount[],2,0)),VLOOKUP(IDNMaps[[#This Row],[Type]],RecordCount[],7,0),0),"")</f>
        <v/>
      </c>
      <c r="O251" s="6" t="str">
        <f ca="1">IF(IDNMaps[[#This Row],[Name]]="","","("&amp;IDNMaps[[#This Row],[Type]]&amp;") "&amp;IDNMaps[[#This Row],[Name]])</f>
        <v/>
      </c>
      <c r="P251" s="6" t="str">
        <f ca="1">IFERROR(VLOOKUP(IDNMaps[[#This Row],[Primary]],INDIRECT(VLOOKUP(IDNMaps[[#This Row],[Type]],RecordCount[],2,0)),VLOOKUP(IDNMaps[[#This Row],[Type]],RecordCount[],8,0),0),"")</f>
        <v/>
      </c>
    </row>
    <row r="252" spans="10:16" x14ac:dyDescent="0.25">
      <c r="J252" s="11">
        <f t="shared" si="3"/>
        <v>251</v>
      </c>
      <c r="K25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2" s="6" t="str">
        <f ca="1">IF(IDNMaps[[#This Row],[Type]]="","",COUNTIF($K$1:IDNMaps[[#This Row],[Type]],IDNMaps[[#This Row],[Type]]))</f>
        <v/>
      </c>
      <c r="M252" s="6" t="str">
        <f ca="1">IFERROR(VLOOKUP(IDNMaps[[#This Row],[Type]],RecordCount[],6,0)&amp;"-"&amp;IDNMaps[[#This Row],[Type Count]],"")</f>
        <v/>
      </c>
      <c r="N252" s="6" t="str">
        <f ca="1">IFERROR(VLOOKUP(IDNMaps[[#This Row],[Primary]],INDIRECT(VLOOKUP(IDNMaps[[#This Row],[Type]],RecordCount[],2,0)),VLOOKUP(IDNMaps[[#This Row],[Type]],RecordCount[],7,0),0),"")</f>
        <v/>
      </c>
      <c r="O252" s="6" t="str">
        <f ca="1">IF(IDNMaps[[#This Row],[Name]]="","","("&amp;IDNMaps[[#This Row],[Type]]&amp;") "&amp;IDNMaps[[#This Row],[Name]])</f>
        <v/>
      </c>
      <c r="P252" s="6" t="str">
        <f ca="1">IFERROR(VLOOKUP(IDNMaps[[#This Row],[Primary]],INDIRECT(VLOOKUP(IDNMaps[[#This Row],[Type]],RecordCount[],2,0)),VLOOKUP(IDNMaps[[#This Row],[Type]],RecordCount[],8,0),0),"")</f>
        <v/>
      </c>
    </row>
    <row r="253" spans="10:16" x14ac:dyDescent="0.25">
      <c r="J253" s="11">
        <f t="shared" si="3"/>
        <v>252</v>
      </c>
      <c r="K25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3" s="6" t="str">
        <f ca="1">IF(IDNMaps[[#This Row],[Type]]="","",COUNTIF($K$1:IDNMaps[[#This Row],[Type]],IDNMaps[[#This Row],[Type]]))</f>
        <v/>
      </c>
      <c r="M253" s="6" t="str">
        <f ca="1">IFERROR(VLOOKUP(IDNMaps[[#This Row],[Type]],RecordCount[],6,0)&amp;"-"&amp;IDNMaps[[#This Row],[Type Count]],"")</f>
        <v/>
      </c>
      <c r="N253" s="6" t="str">
        <f ca="1">IFERROR(VLOOKUP(IDNMaps[[#This Row],[Primary]],INDIRECT(VLOOKUP(IDNMaps[[#This Row],[Type]],RecordCount[],2,0)),VLOOKUP(IDNMaps[[#This Row],[Type]],RecordCount[],7,0),0),"")</f>
        <v/>
      </c>
      <c r="O253" s="6" t="str">
        <f ca="1">IF(IDNMaps[[#This Row],[Name]]="","","("&amp;IDNMaps[[#This Row],[Type]]&amp;") "&amp;IDNMaps[[#This Row],[Name]])</f>
        <v/>
      </c>
      <c r="P253" s="6" t="str">
        <f ca="1">IFERROR(VLOOKUP(IDNMaps[[#This Row],[Primary]],INDIRECT(VLOOKUP(IDNMaps[[#This Row],[Type]],RecordCount[],2,0)),VLOOKUP(IDNMaps[[#This Row],[Type]],RecordCount[],8,0),0),"")</f>
        <v/>
      </c>
    </row>
    <row r="254" spans="10:16" x14ac:dyDescent="0.25">
      <c r="J254" s="11">
        <f t="shared" si="3"/>
        <v>253</v>
      </c>
      <c r="K25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4" s="6" t="str">
        <f ca="1">IF(IDNMaps[[#This Row],[Type]]="","",COUNTIF($K$1:IDNMaps[[#This Row],[Type]],IDNMaps[[#This Row],[Type]]))</f>
        <v/>
      </c>
      <c r="M254" s="6" t="str">
        <f ca="1">IFERROR(VLOOKUP(IDNMaps[[#This Row],[Type]],RecordCount[],6,0)&amp;"-"&amp;IDNMaps[[#This Row],[Type Count]],"")</f>
        <v/>
      </c>
      <c r="N254" s="6" t="str">
        <f ca="1">IFERROR(VLOOKUP(IDNMaps[[#This Row],[Primary]],INDIRECT(VLOOKUP(IDNMaps[[#This Row],[Type]],RecordCount[],2,0)),VLOOKUP(IDNMaps[[#This Row],[Type]],RecordCount[],7,0),0),"")</f>
        <v/>
      </c>
      <c r="O254" s="6" t="str">
        <f ca="1">IF(IDNMaps[[#This Row],[Name]]="","","("&amp;IDNMaps[[#This Row],[Type]]&amp;") "&amp;IDNMaps[[#This Row],[Name]])</f>
        <v/>
      </c>
      <c r="P254" s="6" t="str">
        <f ca="1">IFERROR(VLOOKUP(IDNMaps[[#This Row],[Primary]],INDIRECT(VLOOKUP(IDNMaps[[#This Row],[Type]],RecordCount[],2,0)),VLOOKUP(IDNMaps[[#This Row],[Type]],RecordCount[],8,0),0),"")</f>
        <v/>
      </c>
    </row>
    <row r="255" spans="10:16" x14ac:dyDescent="0.25">
      <c r="J255" s="11">
        <f t="shared" si="3"/>
        <v>254</v>
      </c>
      <c r="K25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5" s="6" t="str">
        <f ca="1">IF(IDNMaps[[#This Row],[Type]]="","",COUNTIF($K$1:IDNMaps[[#This Row],[Type]],IDNMaps[[#This Row],[Type]]))</f>
        <v/>
      </c>
      <c r="M255" s="6" t="str">
        <f ca="1">IFERROR(VLOOKUP(IDNMaps[[#This Row],[Type]],RecordCount[],6,0)&amp;"-"&amp;IDNMaps[[#This Row],[Type Count]],"")</f>
        <v/>
      </c>
      <c r="N255" s="6" t="str">
        <f ca="1">IFERROR(VLOOKUP(IDNMaps[[#This Row],[Primary]],INDIRECT(VLOOKUP(IDNMaps[[#This Row],[Type]],RecordCount[],2,0)),VLOOKUP(IDNMaps[[#This Row],[Type]],RecordCount[],7,0),0),"")</f>
        <v/>
      </c>
      <c r="O255" s="6" t="str">
        <f ca="1">IF(IDNMaps[[#This Row],[Name]]="","","("&amp;IDNMaps[[#This Row],[Type]]&amp;") "&amp;IDNMaps[[#This Row],[Name]])</f>
        <v/>
      </c>
      <c r="P255" s="6" t="str">
        <f ca="1">IFERROR(VLOOKUP(IDNMaps[[#This Row],[Primary]],INDIRECT(VLOOKUP(IDNMaps[[#This Row],[Type]],RecordCount[],2,0)),VLOOKUP(IDNMaps[[#This Row],[Type]],RecordCount[],8,0),0),"")</f>
        <v/>
      </c>
    </row>
    <row r="256" spans="10:16" x14ac:dyDescent="0.25">
      <c r="J256" s="11">
        <f t="shared" si="3"/>
        <v>255</v>
      </c>
      <c r="K25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6" s="6" t="str">
        <f ca="1">IF(IDNMaps[[#This Row],[Type]]="","",COUNTIF($K$1:IDNMaps[[#This Row],[Type]],IDNMaps[[#This Row],[Type]]))</f>
        <v/>
      </c>
      <c r="M256" s="6" t="str">
        <f ca="1">IFERROR(VLOOKUP(IDNMaps[[#This Row],[Type]],RecordCount[],6,0)&amp;"-"&amp;IDNMaps[[#This Row],[Type Count]],"")</f>
        <v/>
      </c>
      <c r="N256" s="6" t="str">
        <f ca="1">IFERROR(VLOOKUP(IDNMaps[[#This Row],[Primary]],INDIRECT(VLOOKUP(IDNMaps[[#This Row],[Type]],RecordCount[],2,0)),VLOOKUP(IDNMaps[[#This Row],[Type]],RecordCount[],7,0),0),"")</f>
        <v/>
      </c>
      <c r="O256" s="6" t="str">
        <f ca="1">IF(IDNMaps[[#This Row],[Name]]="","","("&amp;IDNMaps[[#This Row],[Type]]&amp;") "&amp;IDNMaps[[#This Row],[Name]])</f>
        <v/>
      </c>
      <c r="P256" s="6" t="str">
        <f ca="1">IFERROR(VLOOKUP(IDNMaps[[#This Row],[Primary]],INDIRECT(VLOOKUP(IDNMaps[[#This Row],[Type]],RecordCount[],2,0)),VLOOKUP(IDNMaps[[#This Row],[Type]],RecordCount[],8,0),0),"")</f>
        <v/>
      </c>
    </row>
    <row r="257" spans="10:16" x14ac:dyDescent="0.25">
      <c r="J257" s="11">
        <f t="shared" si="3"/>
        <v>256</v>
      </c>
      <c r="K25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7" s="6" t="str">
        <f ca="1">IF(IDNMaps[[#This Row],[Type]]="","",COUNTIF($K$1:IDNMaps[[#This Row],[Type]],IDNMaps[[#This Row],[Type]]))</f>
        <v/>
      </c>
      <c r="M257" s="6" t="str">
        <f ca="1">IFERROR(VLOOKUP(IDNMaps[[#This Row],[Type]],RecordCount[],6,0)&amp;"-"&amp;IDNMaps[[#This Row],[Type Count]],"")</f>
        <v/>
      </c>
      <c r="N257" s="6" t="str">
        <f ca="1">IFERROR(VLOOKUP(IDNMaps[[#This Row],[Primary]],INDIRECT(VLOOKUP(IDNMaps[[#This Row],[Type]],RecordCount[],2,0)),VLOOKUP(IDNMaps[[#This Row],[Type]],RecordCount[],7,0),0),"")</f>
        <v/>
      </c>
      <c r="O257" s="6" t="str">
        <f ca="1">IF(IDNMaps[[#This Row],[Name]]="","","("&amp;IDNMaps[[#This Row],[Type]]&amp;") "&amp;IDNMaps[[#This Row],[Name]])</f>
        <v/>
      </c>
      <c r="P257" s="6" t="str">
        <f ca="1">IFERROR(VLOOKUP(IDNMaps[[#This Row],[Primary]],INDIRECT(VLOOKUP(IDNMaps[[#This Row],[Type]],RecordCount[],2,0)),VLOOKUP(IDNMaps[[#This Row],[Type]],RecordCount[],8,0),0),"")</f>
        <v/>
      </c>
    </row>
    <row r="258" spans="10:16" x14ac:dyDescent="0.25">
      <c r="J258" s="11">
        <f t="shared" ref="J258:J321" si="4">IFERROR($J257+1,1)</f>
        <v>257</v>
      </c>
      <c r="K25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8" s="6" t="str">
        <f ca="1">IF(IDNMaps[[#This Row],[Type]]="","",COUNTIF($K$1:IDNMaps[[#This Row],[Type]],IDNMaps[[#This Row],[Type]]))</f>
        <v/>
      </c>
      <c r="M258" s="6" t="str">
        <f ca="1">IFERROR(VLOOKUP(IDNMaps[[#This Row],[Type]],RecordCount[],6,0)&amp;"-"&amp;IDNMaps[[#This Row],[Type Count]],"")</f>
        <v/>
      </c>
      <c r="N258" s="6" t="str">
        <f ca="1">IFERROR(VLOOKUP(IDNMaps[[#This Row],[Primary]],INDIRECT(VLOOKUP(IDNMaps[[#This Row],[Type]],RecordCount[],2,0)),VLOOKUP(IDNMaps[[#This Row],[Type]],RecordCount[],7,0),0),"")</f>
        <v/>
      </c>
      <c r="O258" s="6" t="str">
        <f ca="1">IF(IDNMaps[[#This Row],[Name]]="","","("&amp;IDNMaps[[#This Row],[Type]]&amp;") "&amp;IDNMaps[[#This Row],[Name]])</f>
        <v/>
      </c>
      <c r="P258" s="6" t="str">
        <f ca="1">IFERROR(VLOOKUP(IDNMaps[[#This Row],[Primary]],INDIRECT(VLOOKUP(IDNMaps[[#This Row],[Type]],RecordCount[],2,0)),VLOOKUP(IDNMaps[[#This Row],[Type]],RecordCount[],8,0),0),"")</f>
        <v/>
      </c>
    </row>
    <row r="259" spans="10:16" x14ac:dyDescent="0.25">
      <c r="J259" s="11">
        <f t="shared" si="4"/>
        <v>258</v>
      </c>
      <c r="K25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9" s="6" t="str">
        <f ca="1">IF(IDNMaps[[#This Row],[Type]]="","",COUNTIF($K$1:IDNMaps[[#This Row],[Type]],IDNMaps[[#This Row],[Type]]))</f>
        <v/>
      </c>
      <c r="M259" s="6" t="str">
        <f ca="1">IFERROR(VLOOKUP(IDNMaps[[#This Row],[Type]],RecordCount[],6,0)&amp;"-"&amp;IDNMaps[[#This Row],[Type Count]],"")</f>
        <v/>
      </c>
      <c r="N259" s="6" t="str">
        <f ca="1">IFERROR(VLOOKUP(IDNMaps[[#This Row],[Primary]],INDIRECT(VLOOKUP(IDNMaps[[#This Row],[Type]],RecordCount[],2,0)),VLOOKUP(IDNMaps[[#This Row],[Type]],RecordCount[],7,0),0),"")</f>
        <v/>
      </c>
      <c r="O259" s="6" t="str">
        <f ca="1">IF(IDNMaps[[#This Row],[Name]]="","","("&amp;IDNMaps[[#This Row],[Type]]&amp;") "&amp;IDNMaps[[#This Row],[Name]])</f>
        <v/>
      </c>
      <c r="P259" s="6" t="str">
        <f ca="1">IFERROR(VLOOKUP(IDNMaps[[#This Row],[Primary]],INDIRECT(VLOOKUP(IDNMaps[[#This Row],[Type]],RecordCount[],2,0)),VLOOKUP(IDNMaps[[#This Row],[Type]],RecordCount[],8,0),0),"")</f>
        <v/>
      </c>
    </row>
    <row r="260" spans="10:16" x14ac:dyDescent="0.25">
      <c r="J260" s="11">
        <f t="shared" si="4"/>
        <v>259</v>
      </c>
      <c r="K26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0" s="6" t="str">
        <f ca="1">IF(IDNMaps[[#This Row],[Type]]="","",COUNTIF($K$1:IDNMaps[[#This Row],[Type]],IDNMaps[[#This Row],[Type]]))</f>
        <v/>
      </c>
      <c r="M260" s="6" t="str">
        <f ca="1">IFERROR(VLOOKUP(IDNMaps[[#This Row],[Type]],RecordCount[],6,0)&amp;"-"&amp;IDNMaps[[#This Row],[Type Count]],"")</f>
        <v/>
      </c>
      <c r="N260" s="6" t="str">
        <f ca="1">IFERROR(VLOOKUP(IDNMaps[[#This Row],[Primary]],INDIRECT(VLOOKUP(IDNMaps[[#This Row],[Type]],RecordCount[],2,0)),VLOOKUP(IDNMaps[[#This Row],[Type]],RecordCount[],7,0),0),"")</f>
        <v/>
      </c>
      <c r="O260" s="6" t="str">
        <f ca="1">IF(IDNMaps[[#This Row],[Name]]="","","("&amp;IDNMaps[[#This Row],[Type]]&amp;") "&amp;IDNMaps[[#This Row],[Name]])</f>
        <v/>
      </c>
      <c r="P260" s="6" t="str">
        <f ca="1">IFERROR(VLOOKUP(IDNMaps[[#This Row],[Primary]],INDIRECT(VLOOKUP(IDNMaps[[#This Row],[Type]],RecordCount[],2,0)),VLOOKUP(IDNMaps[[#This Row],[Type]],RecordCount[],8,0),0),"")</f>
        <v/>
      </c>
    </row>
    <row r="261" spans="10:16" x14ac:dyDescent="0.25">
      <c r="J261" s="11">
        <f t="shared" si="4"/>
        <v>260</v>
      </c>
      <c r="K26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1" s="6" t="str">
        <f ca="1">IF(IDNMaps[[#This Row],[Type]]="","",COUNTIF($K$1:IDNMaps[[#This Row],[Type]],IDNMaps[[#This Row],[Type]]))</f>
        <v/>
      </c>
      <c r="M261" s="6" t="str">
        <f ca="1">IFERROR(VLOOKUP(IDNMaps[[#This Row],[Type]],RecordCount[],6,0)&amp;"-"&amp;IDNMaps[[#This Row],[Type Count]],"")</f>
        <v/>
      </c>
      <c r="N261" s="6" t="str">
        <f ca="1">IFERROR(VLOOKUP(IDNMaps[[#This Row],[Primary]],INDIRECT(VLOOKUP(IDNMaps[[#This Row],[Type]],RecordCount[],2,0)),VLOOKUP(IDNMaps[[#This Row],[Type]],RecordCount[],7,0),0),"")</f>
        <v/>
      </c>
      <c r="O261" s="6" t="str">
        <f ca="1">IF(IDNMaps[[#This Row],[Name]]="","","("&amp;IDNMaps[[#This Row],[Type]]&amp;") "&amp;IDNMaps[[#This Row],[Name]])</f>
        <v/>
      </c>
      <c r="P261" s="6" t="str">
        <f ca="1">IFERROR(VLOOKUP(IDNMaps[[#This Row],[Primary]],INDIRECT(VLOOKUP(IDNMaps[[#This Row],[Type]],RecordCount[],2,0)),VLOOKUP(IDNMaps[[#This Row],[Type]],RecordCount[],8,0),0),"")</f>
        <v/>
      </c>
    </row>
    <row r="262" spans="10:16" x14ac:dyDescent="0.25">
      <c r="J262" s="11">
        <f t="shared" si="4"/>
        <v>261</v>
      </c>
      <c r="K26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2" s="6" t="str">
        <f ca="1">IF(IDNMaps[[#This Row],[Type]]="","",COUNTIF($K$1:IDNMaps[[#This Row],[Type]],IDNMaps[[#This Row],[Type]]))</f>
        <v/>
      </c>
      <c r="M262" s="6" t="str">
        <f ca="1">IFERROR(VLOOKUP(IDNMaps[[#This Row],[Type]],RecordCount[],6,0)&amp;"-"&amp;IDNMaps[[#This Row],[Type Count]],"")</f>
        <v/>
      </c>
      <c r="N262" s="6" t="str">
        <f ca="1">IFERROR(VLOOKUP(IDNMaps[[#This Row],[Primary]],INDIRECT(VLOOKUP(IDNMaps[[#This Row],[Type]],RecordCount[],2,0)),VLOOKUP(IDNMaps[[#This Row],[Type]],RecordCount[],7,0),0),"")</f>
        <v/>
      </c>
      <c r="O262" s="6" t="str">
        <f ca="1">IF(IDNMaps[[#This Row],[Name]]="","","("&amp;IDNMaps[[#This Row],[Type]]&amp;") "&amp;IDNMaps[[#This Row],[Name]])</f>
        <v/>
      </c>
      <c r="P262" s="6" t="str">
        <f ca="1">IFERROR(VLOOKUP(IDNMaps[[#This Row],[Primary]],INDIRECT(VLOOKUP(IDNMaps[[#This Row],[Type]],RecordCount[],2,0)),VLOOKUP(IDNMaps[[#This Row],[Type]],RecordCount[],8,0),0),"")</f>
        <v/>
      </c>
    </row>
    <row r="263" spans="10:16" x14ac:dyDescent="0.25">
      <c r="J263" s="11">
        <f t="shared" si="4"/>
        <v>262</v>
      </c>
      <c r="K26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3" s="6" t="str">
        <f ca="1">IF(IDNMaps[[#This Row],[Type]]="","",COUNTIF($K$1:IDNMaps[[#This Row],[Type]],IDNMaps[[#This Row],[Type]]))</f>
        <v/>
      </c>
      <c r="M263" s="6" t="str">
        <f ca="1">IFERROR(VLOOKUP(IDNMaps[[#This Row],[Type]],RecordCount[],6,0)&amp;"-"&amp;IDNMaps[[#This Row],[Type Count]],"")</f>
        <v/>
      </c>
      <c r="N263" s="6" t="str">
        <f ca="1">IFERROR(VLOOKUP(IDNMaps[[#This Row],[Primary]],INDIRECT(VLOOKUP(IDNMaps[[#This Row],[Type]],RecordCount[],2,0)),VLOOKUP(IDNMaps[[#This Row],[Type]],RecordCount[],7,0),0),"")</f>
        <v/>
      </c>
      <c r="O263" s="6" t="str">
        <f ca="1">IF(IDNMaps[[#This Row],[Name]]="","","("&amp;IDNMaps[[#This Row],[Type]]&amp;") "&amp;IDNMaps[[#This Row],[Name]])</f>
        <v/>
      </c>
      <c r="P263" s="6" t="str">
        <f ca="1">IFERROR(VLOOKUP(IDNMaps[[#This Row],[Primary]],INDIRECT(VLOOKUP(IDNMaps[[#This Row],[Type]],RecordCount[],2,0)),VLOOKUP(IDNMaps[[#This Row],[Type]],RecordCount[],8,0),0),"")</f>
        <v/>
      </c>
    </row>
    <row r="264" spans="10:16" x14ac:dyDescent="0.25">
      <c r="J264" s="11">
        <f t="shared" si="4"/>
        <v>263</v>
      </c>
      <c r="K26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4" s="6" t="str">
        <f ca="1">IF(IDNMaps[[#This Row],[Type]]="","",COUNTIF($K$1:IDNMaps[[#This Row],[Type]],IDNMaps[[#This Row],[Type]]))</f>
        <v/>
      </c>
      <c r="M264" s="6" t="str">
        <f ca="1">IFERROR(VLOOKUP(IDNMaps[[#This Row],[Type]],RecordCount[],6,0)&amp;"-"&amp;IDNMaps[[#This Row],[Type Count]],"")</f>
        <v/>
      </c>
      <c r="N264" s="6" t="str">
        <f ca="1">IFERROR(VLOOKUP(IDNMaps[[#This Row],[Primary]],INDIRECT(VLOOKUP(IDNMaps[[#This Row],[Type]],RecordCount[],2,0)),VLOOKUP(IDNMaps[[#This Row],[Type]],RecordCount[],7,0),0),"")</f>
        <v/>
      </c>
      <c r="O264" s="6" t="str">
        <f ca="1">IF(IDNMaps[[#This Row],[Name]]="","","("&amp;IDNMaps[[#This Row],[Type]]&amp;") "&amp;IDNMaps[[#This Row],[Name]])</f>
        <v/>
      </c>
      <c r="P264" s="6" t="str">
        <f ca="1">IFERROR(VLOOKUP(IDNMaps[[#This Row],[Primary]],INDIRECT(VLOOKUP(IDNMaps[[#This Row],[Type]],RecordCount[],2,0)),VLOOKUP(IDNMaps[[#This Row],[Type]],RecordCount[],8,0),0),"")</f>
        <v/>
      </c>
    </row>
    <row r="265" spans="10:16" x14ac:dyDescent="0.25">
      <c r="J265" s="11">
        <f t="shared" si="4"/>
        <v>264</v>
      </c>
      <c r="K26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5" s="6" t="str">
        <f ca="1">IF(IDNMaps[[#This Row],[Type]]="","",COUNTIF($K$1:IDNMaps[[#This Row],[Type]],IDNMaps[[#This Row],[Type]]))</f>
        <v/>
      </c>
      <c r="M265" s="6" t="str">
        <f ca="1">IFERROR(VLOOKUP(IDNMaps[[#This Row],[Type]],RecordCount[],6,0)&amp;"-"&amp;IDNMaps[[#This Row],[Type Count]],"")</f>
        <v/>
      </c>
      <c r="N265" s="6" t="str">
        <f ca="1">IFERROR(VLOOKUP(IDNMaps[[#This Row],[Primary]],INDIRECT(VLOOKUP(IDNMaps[[#This Row],[Type]],RecordCount[],2,0)),VLOOKUP(IDNMaps[[#This Row],[Type]],RecordCount[],7,0),0),"")</f>
        <v/>
      </c>
      <c r="O265" s="6" t="str">
        <f ca="1">IF(IDNMaps[[#This Row],[Name]]="","","("&amp;IDNMaps[[#This Row],[Type]]&amp;") "&amp;IDNMaps[[#This Row],[Name]])</f>
        <v/>
      </c>
      <c r="P265" s="6" t="str">
        <f ca="1">IFERROR(VLOOKUP(IDNMaps[[#This Row],[Primary]],INDIRECT(VLOOKUP(IDNMaps[[#This Row],[Type]],RecordCount[],2,0)),VLOOKUP(IDNMaps[[#This Row],[Type]],RecordCount[],8,0),0),"")</f>
        <v/>
      </c>
    </row>
    <row r="266" spans="10:16" x14ac:dyDescent="0.25">
      <c r="J266" s="11">
        <f t="shared" si="4"/>
        <v>265</v>
      </c>
      <c r="K26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6" s="6" t="str">
        <f ca="1">IF(IDNMaps[[#This Row],[Type]]="","",COUNTIF($K$1:IDNMaps[[#This Row],[Type]],IDNMaps[[#This Row],[Type]]))</f>
        <v/>
      </c>
      <c r="M266" s="6" t="str">
        <f ca="1">IFERROR(VLOOKUP(IDNMaps[[#This Row],[Type]],RecordCount[],6,0)&amp;"-"&amp;IDNMaps[[#This Row],[Type Count]],"")</f>
        <v/>
      </c>
      <c r="N266" s="6" t="str">
        <f ca="1">IFERROR(VLOOKUP(IDNMaps[[#This Row],[Primary]],INDIRECT(VLOOKUP(IDNMaps[[#This Row],[Type]],RecordCount[],2,0)),VLOOKUP(IDNMaps[[#This Row],[Type]],RecordCount[],7,0),0),"")</f>
        <v/>
      </c>
      <c r="O266" s="6" t="str">
        <f ca="1">IF(IDNMaps[[#This Row],[Name]]="","","("&amp;IDNMaps[[#This Row],[Type]]&amp;") "&amp;IDNMaps[[#This Row],[Name]])</f>
        <v/>
      </c>
      <c r="P266" s="6" t="str">
        <f ca="1">IFERROR(VLOOKUP(IDNMaps[[#This Row],[Primary]],INDIRECT(VLOOKUP(IDNMaps[[#This Row],[Type]],RecordCount[],2,0)),VLOOKUP(IDNMaps[[#This Row],[Type]],RecordCount[],8,0),0),"")</f>
        <v/>
      </c>
    </row>
    <row r="267" spans="10:16" x14ac:dyDescent="0.25">
      <c r="J267" s="11">
        <f t="shared" si="4"/>
        <v>266</v>
      </c>
      <c r="K26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7" s="6" t="str">
        <f ca="1">IF(IDNMaps[[#This Row],[Type]]="","",COUNTIF($K$1:IDNMaps[[#This Row],[Type]],IDNMaps[[#This Row],[Type]]))</f>
        <v/>
      </c>
      <c r="M267" s="6" t="str">
        <f ca="1">IFERROR(VLOOKUP(IDNMaps[[#This Row],[Type]],RecordCount[],6,0)&amp;"-"&amp;IDNMaps[[#This Row],[Type Count]],"")</f>
        <v/>
      </c>
      <c r="N267" s="6" t="str">
        <f ca="1">IFERROR(VLOOKUP(IDNMaps[[#This Row],[Primary]],INDIRECT(VLOOKUP(IDNMaps[[#This Row],[Type]],RecordCount[],2,0)),VLOOKUP(IDNMaps[[#This Row],[Type]],RecordCount[],7,0),0),"")</f>
        <v/>
      </c>
      <c r="O267" s="6" t="str">
        <f ca="1">IF(IDNMaps[[#This Row],[Name]]="","","("&amp;IDNMaps[[#This Row],[Type]]&amp;") "&amp;IDNMaps[[#This Row],[Name]])</f>
        <v/>
      </c>
      <c r="P267" s="6" t="str">
        <f ca="1">IFERROR(VLOOKUP(IDNMaps[[#This Row],[Primary]],INDIRECT(VLOOKUP(IDNMaps[[#This Row],[Type]],RecordCount[],2,0)),VLOOKUP(IDNMaps[[#This Row],[Type]],RecordCount[],8,0),0),"")</f>
        <v/>
      </c>
    </row>
    <row r="268" spans="10:16" x14ac:dyDescent="0.25">
      <c r="J268" s="11">
        <f t="shared" si="4"/>
        <v>267</v>
      </c>
      <c r="K26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8" s="6" t="str">
        <f ca="1">IF(IDNMaps[[#This Row],[Type]]="","",COUNTIF($K$1:IDNMaps[[#This Row],[Type]],IDNMaps[[#This Row],[Type]]))</f>
        <v/>
      </c>
      <c r="M268" s="6" t="str">
        <f ca="1">IFERROR(VLOOKUP(IDNMaps[[#This Row],[Type]],RecordCount[],6,0)&amp;"-"&amp;IDNMaps[[#This Row],[Type Count]],"")</f>
        <v/>
      </c>
      <c r="N268" s="6" t="str">
        <f ca="1">IFERROR(VLOOKUP(IDNMaps[[#This Row],[Primary]],INDIRECT(VLOOKUP(IDNMaps[[#This Row],[Type]],RecordCount[],2,0)),VLOOKUP(IDNMaps[[#This Row],[Type]],RecordCount[],7,0),0),"")</f>
        <v/>
      </c>
      <c r="O268" s="6" t="str">
        <f ca="1">IF(IDNMaps[[#This Row],[Name]]="","","("&amp;IDNMaps[[#This Row],[Type]]&amp;") "&amp;IDNMaps[[#This Row],[Name]])</f>
        <v/>
      </c>
      <c r="P268" s="6" t="str">
        <f ca="1">IFERROR(VLOOKUP(IDNMaps[[#This Row],[Primary]],INDIRECT(VLOOKUP(IDNMaps[[#This Row],[Type]],RecordCount[],2,0)),VLOOKUP(IDNMaps[[#This Row],[Type]],RecordCount[],8,0),0),"")</f>
        <v/>
      </c>
    </row>
    <row r="269" spans="10:16" x14ac:dyDescent="0.25">
      <c r="J269" s="11">
        <f t="shared" si="4"/>
        <v>268</v>
      </c>
      <c r="K26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9" s="6" t="str">
        <f ca="1">IF(IDNMaps[[#This Row],[Type]]="","",COUNTIF($K$1:IDNMaps[[#This Row],[Type]],IDNMaps[[#This Row],[Type]]))</f>
        <v/>
      </c>
      <c r="M269" s="6" t="str">
        <f ca="1">IFERROR(VLOOKUP(IDNMaps[[#This Row],[Type]],RecordCount[],6,0)&amp;"-"&amp;IDNMaps[[#This Row],[Type Count]],"")</f>
        <v/>
      </c>
      <c r="N269" s="6" t="str">
        <f ca="1">IFERROR(VLOOKUP(IDNMaps[[#This Row],[Primary]],INDIRECT(VLOOKUP(IDNMaps[[#This Row],[Type]],RecordCount[],2,0)),VLOOKUP(IDNMaps[[#This Row],[Type]],RecordCount[],7,0),0),"")</f>
        <v/>
      </c>
      <c r="O269" s="6" t="str">
        <f ca="1">IF(IDNMaps[[#This Row],[Name]]="","","("&amp;IDNMaps[[#This Row],[Type]]&amp;") "&amp;IDNMaps[[#This Row],[Name]])</f>
        <v/>
      </c>
      <c r="P269" s="6" t="str">
        <f ca="1">IFERROR(VLOOKUP(IDNMaps[[#This Row],[Primary]],INDIRECT(VLOOKUP(IDNMaps[[#This Row],[Type]],RecordCount[],2,0)),VLOOKUP(IDNMaps[[#This Row],[Type]],RecordCount[],8,0),0),"")</f>
        <v/>
      </c>
    </row>
    <row r="270" spans="10:16" x14ac:dyDescent="0.25">
      <c r="J270" s="11">
        <f t="shared" si="4"/>
        <v>269</v>
      </c>
      <c r="K27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0" s="6" t="str">
        <f ca="1">IF(IDNMaps[[#This Row],[Type]]="","",COUNTIF($K$1:IDNMaps[[#This Row],[Type]],IDNMaps[[#This Row],[Type]]))</f>
        <v/>
      </c>
      <c r="M270" s="6" t="str">
        <f ca="1">IFERROR(VLOOKUP(IDNMaps[[#This Row],[Type]],RecordCount[],6,0)&amp;"-"&amp;IDNMaps[[#This Row],[Type Count]],"")</f>
        <v/>
      </c>
      <c r="N270" s="6" t="str">
        <f ca="1">IFERROR(VLOOKUP(IDNMaps[[#This Row],[Primary]],INDIRECT(VLOOKUP(IDNMaps[[#This Row],[Type]],RecordCount[],2,0)),VLOOKUP(IDNMaps[[#This Row],[Type]],RecordCount[],7,0),0),"")</f>
        <v/>
      </c>
      <c r="O270" s="6" t="str">
        <f ca="1">IF(IDNMaps[[#This Row],[Name]]="","","("&amp;IDNMaps[[#This Row],[Type]]&amp;") "&amp;IDNMaps[[#This Row],[Name]])</f>
        <v/>
      </c>
      <c r="P270" s="6" t="str">
        <f ca="1">IFERROR(VLOOKUP(IDNMaps[[#This Row],[Primary]],INDIRECT(VLOOKUP(IDNMaps[[#This Row],[Type]],RecordCount[],2,0)),VLOOKUP(IDNMaps[[#This Row],[Type]],RecordCount[],8,0),0),"")</f>
        <v/>
      </c>
    </row>
    <row r="271" spans="10:16" x14ac:dyDescent="0.25">
      <c r="J271" s="11">
        <f t="shared" si="4"/>
        <v>270</v>
      </c>
      <c r="K27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1" s="6" t="str">
        <f ca="1">IF(IDNMaps[[#This Row],[Type]]="","",COUNTIF($K$1:IDNMaps[[#This Row],[Type]],IDNMaps[[#This Row],[Type]]))</f>
        <v/>
      </c>
      <c r="M271" s="6" t="str">
        <f ca="1">IFERROR(VLOOKUP(IDNMaps[[#This Row],[Type]],RecordCount[],6,0)&amp;"-"&amp;IDNMaps[[#This Row],[Type Count]],"")</f>
        <v/>
      </c>
      <c r="N271" s="6" t="str">
        <f ca="1">IFERROR(VLOOKUP(IDNMaps[[#This Row],[Primary]],INDIRECT(VLOOKUP(IDNMaps[[#This Row],[Type]],RecordCount[],2,0)),VLOOKUP(IDNMaps[[#This Row],[Type]],RecordCount[],7,0),0),"")</f>
        <v/>
      </c>
      <c r="O271" s="6" t="str">
        <f ca="1">IF(IDNMaps[[#This Row],[Name]]="","","("&amp;IDNMaps[[#This Row],[Type]]&amp;") "&amp;IDNMaps[[#This Row],[Name]])</f>
        <v/>
      </c>
      <c r="P271" s="6" t="str">
        <f ca="1">IFERROR(VLOOKUP(IDNMaps[[#This Row],[Primary]],INDIRECT(VLOOKUP(IDNMaps[[#This Row],[Type]],RecordCount[],2,0)),VLOOKUP(IDNMaps[[#This Row],[Type]],RecordCount[],8,0),0),"")</f>
        <v/>
      </c>
    </row>
    <row r="272" spans="10:16" x14ac:dyDescent="0.25">
      <c r="J272" s="11">
        <f t="shared" si="4"/>
        <v>271</v>
      </c>
      <c r="K27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2" s="6" t="str">
        <f ca="1">IF(IDNMaps[[#This Row],[Type]]="","",COUNTIF($K$1:IDNMaps[[#This Row],[Type]],IDNMaps[[#This Row],[Type]]))</f>
        <v/>
      </c>
      <c r="M272" s="6" t="str">
        <f ca="1">IFERROR(VLOOKUP(IDNMaps[[#This Row],[Type]],RecordCount[],6,0)&amp;"-"&amp;IDNMaps[[#This Row],[Type Count]],"")</f>
        <v/>
      </c>
      <c r="N272" s="6" t="str">
        <f ca="1">IFERROR(VLOOKUP(IDNMaps[[#This Row],[Primary]],INDIRECT(VLOOKUP(IDNMaps[[#This Row],[Type]],RecordCount[],2,0)),VLOOKUP(IDNMaps[[#This Row],[Type]],RecordCount[],7,0),0),"")</f>
        <v/>
      </c>
      <c r="O272" s="6" t="str">
        <f ca="1">IF(IDNMaps[[#This Row],[Name]]="","","("&amp;IDNMaps[[#This Row],[Type]]&amp;") "&amp;IDNMaps[[#This Row],[Name]])</f>
        <v/>
      </c>
      <c r="P272" s="6" t="str">
        <f ca="1">IFERROR(VLOOKUP(IDNMaps[[#This Row],[Primary]],INDIRECT(VLOOKUP(IDNMaps[[#This Row],[Type]],RecordCount[],2,0)),VLOOKUP(IDNMaps[[#This Row],[Type]],RecordCount[],8,0),0),"")</f>
        <v/>
      </c>
    </row>
    <row r="273" spans="10:16" x14ac:dyDescent="0.25">
      <c r="J273" s="11">
        <f t="shared" si="4"/>
        <v>272</v>
      </c>
      <c r="K27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3" s="6" t="str">
        <f ca="1">IF(IDNMaps[[#This Row],[Type]]="","",COUNTIF($K$1:IDNMaps[[#This Row],[Type]],IDNMaps[[#This Row],[Type]]))</f>
        <v/>
      </c>
      <c r="M273" s="6" t="str">
        <f ca="1">IFERROR(VLOOKUP(IDNMaps[[#This Row],[Type]],RecordCount[],6,0)&amp;"-"&amp;IDNMaps[[#This Row],[Type Count]],"")</f>
        <v/>
      </c>
      <c r="N273" s="6" t="str">
        <f ca="1">IFERROR(VLOOKUP(IDNMaps[[#This Row],[Primary]],INDIRECT(VLOOKUP(IDNMaps[[#This Row],[Type]],RecordCount[],2,0)),VLOOKUP(IDNMaps[[#This Row],[Type]],RecordCount[],7,0),0),"")</f>
        <v/>
      </c>
      <c r="O273" s="6" t="str">
        <f ca="1">IF(IDNMaps[[#This Row],[Name]]="","","("&amp;IDNMaps[[#This Row],[Type]]&amp;") "&amp;IDNMaps[[#This Row],[Name]])</f>
        <v/>
      </c>
      <c r="P273" s="6" t="str">
        <f ca="1">IFERROR(VLOOKUP(IDNMaps[[#This Row],[Primary]],INDIRECT(VLOOKUP(IDNMaps[[#This Row],[Type]],RecordCount[],2,0)),VLOOKUP(IDNMaps[[#This Row],[Type]],RecordCount[],8,0),0),"")</f>
        <v/>
      </c>
    </row>
    <row r="274" spans="10:16" x14ac:dyDescent="0.25">
      <c r="J274" s="11">
        <f t="shared" si="4"/>
        <v>273</v>
      </c>
      <c r="K27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4" s="6" t="str">
        <f ca="1">IF(IDNMaps[[#This Row],[Type]]="","",COUNTIF($K$1:IDNMaps[[#This Row],[Type]],IDNMaps[[#This Row],[Type]]))</f>
        <v/>
      </c>
      <c r="M274" s="6" t="str">
        <f ca="1">IFERROR(VLOOKUP(IDNMaps[[#This Row],[Type]],RecordCount[],6,0)&amp;"-"&amp;IDNMaps[[#This Row],[Type Count]],"")</f>
        <v/>
      </c>
      <c r="N274" s="6" t="str">
        <f ca="1">IFERROR(VLOOKUP(IDNMaps[[#This Row],[Primary]],INDIRECT(VLOOKUP(IDNMaps[[#This Row],[Type]],RecordCount[],2,0)),VLOOKUP(IDNMaps[[#This Row],[Type]],RecordCount[],7,0),0),"")</f>
        <v/>
      </c>
      <c r="O274" s="6" t="str">
        <f ca="1">IF(IDNMaps[[#This Row],[Name]]="","","("&amp;IDNMaps[[#This Row],[Type]]&amp;") "&amp;IDNMaps[[#This Row],[Name]])</f>
        <v/>
      </c>
      <c r="P274" s="6" t="str">
        <f ca="1">IFERROR(VLOOKUP(IDNMaps[[#This Row],[Primary]],INDIRECT(VLOOKUP(IDNMaps[[#This Row],[Type]],RecordCount[],2,0)),VLOOKUP(IDNMaps[[#This Row],[Type]],RecordCount[],8,0),0),"")</f>
        <v/>
      </c>
    </row>
    <row r="275" spans="10:16" x14ac:dyDescent="0.25">
      <c r="J275" s="11">
        <f t="shared" si="4"/>
        <v>274</v>
      </c>
      <c r="K27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5" s="6" t="str">
        <f ca="1">IF(IDNMaps[[#This Row],[Type]]="","",COUNTIF($K$1:IDNMaps[[#This Row],[Type]],IDNMaps[[#This Row],[Type]]))</f>
        <v/>
      </c>
      <c r="M275" s="6" t="str">
        <f ca="1">IFERROR(VLOOKUP(IDNMaps[[#This Row],[Type]],RecordCount[],6,0)&amp;"-"&amp;IDNMaps[[#This Row],[Type Count]],"")</f>
        <v/>
      </c>
      <c r="N275" s="6" t="str">
        <f ca="1">IFERROR(VLOOKUP(IDNMaps[[#This Row],[Primary]],INDIRECT(VLOOKUP(IDNMaps[[#This Row],[Type]],RecordCount[],2,0)),VLOOKUP(IDNMaps[[#This Row],[Type]],RecordCount[],7,0),0),"")</f>
        <v/>
      </c>
      <c r="O275" s="6" t="str">
        <f ca="1">IF(IDNMaps[[#This Row],[Name]]="","","("&amp;IDNMaps[[#This Row],[Type]]&amp;") "&amp;IDNMaps[[#This Row],[Name]])</f>
        <v/>
      </c>
      <c r="P275" s="6" t="str">
        <f ca="1">IFERROR(VLOOKUP(IDNMaps[[#This Row],[Primary]],INDIRECT(VLOOKUP(IDNMaps[[#This Row],[Type]],RecordCount[],2,0)),VLOOKUP(IDNMaps[[#This Row],[Type]],RecordCount[],8,0),0),"")</f>
        <v/>
      </c>
    </row>
    <row r="276" spans="10:16" x14ac:dyDescent="0.25">
      <c r="J276" s="11">
        <f t="shared" si="4"/>
        <v>275</v>
      </c>
      <c r="K27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6" s="6" t="str">
        <f ca="1">IF(IDNMaps[[#This Row],[Type]]="","",COUNTIF($K$1:IDNMaps[[#This Row],[Type]],IDNMaps[[#This Row],[Type]]))</f>
        <v/>
      </c>
      <c r="M276" s="6" t="str">
        <f ca="1">IFERROR(VLOOKUP(IDNMaps[[#This Row],[Type]],RecordCount[],6,0)&amp;"-"&amp;IDNMaps[[#This Row],[Type Count]],"")</f>
        <v/>
      </c>
      <c r="N276" s="6" t="str">
        <f ca="1">IFERROR(VLOOKUP(IDNMaps[[#This Row],[Primary]],INDIRECT(VLOOKUP(IDNMaps[[#This Row],[Type]],RecordCount[],2,0)),VLOOKUP(IDNMaps[[#This Row],[Type]],RecordCount[],7,0),0),"")</f>
        <v/>
      </c>
      <c r="O276" s="6" t="str">
        <f ca="1">IF(IDNMaps[[#This Row],[Name]]="","","("&amp;IDNMaps[[#This Row],[Type]]&amp;") "&amp;IDNMaps[[#This Row],[Name]])</f>
        <v/>
      </c>
      <c r="P276" s="6" t="str">
        <f ca="1">IFERROR(VLOOKUP(IDNMaps[[#This Row],[Primary]],INDIRECT(VLOOKUP(IDNMaps[[#This Row],[Type]],RecordCount[],2,0)),VLOOKUP(IDNMaps[[#This Row],[Type]],RecordCount[],8,0),0),"")</f>
        <v/>
      </c>
    </row>
    <row r="277" spans="10:16" x14ac:dyDescent="0.25">
      <c r="J277" s="11">
        <f t="shared" si="4"/>
        <v>276</v>
      </c>
      <c r="K27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7" s="6" t="str">
        <f ca="1">IF(IDNMaps[[#This Row],[Type]]="","",COUNTIF($K$1:IDNMaps[[#This Row],[Type]],IDNMaps[[#This Row],[Type]]))</f>
        <v/>
      </c>
      <c r="M277" s="6" t="str">
        <f ca="1">IFERROR(VLOOKUP(IDNMaps[[#This Row],[Type]],RecordCount[],6,0)&amp;"-"&amp;IDNMaps[[#This Row],[Type Count]],"")</f>
        <v/>
      </c>
      <c r="N277" s="6" t="str">
        <f ca="1">IFERROR(VLOOKUP(IDNMaps[[#This Row],[Primary]],INDIRECT(VLOOKUP(IDNMaps[[#This Row],[Type]],RecordCount[],2,0)),VLOOKUP(IDNMaps[[#This Row],[Type]],RecordCount[],7,0),0),"")</f>
        <v/>
      </c>
      <c r="O277" s="6" t="str">
        <f ca="1">IF(IDNMaps[[#This Row],[Name]]="","","("&amp;IDNMaps[[#This Row],[Type]]&amp;") "&amp;IDNMaps[[#This Row],[Name]])</f>
        <v/>
      </c>
      <c r="P277" s="6" t="str">
        <f ca="1">IFERROR(VLOOKUP(IDNMaps[[#This Row],[Primary]],INDIRECT(VLOOKUP(IDNMaps[[#This Row],[Type]],RecordCount[],2,0)),VLOOKUP(IDNMaps[[#This Row],[Type]],RecordCount[],8,0),0),"")</f>
        <v/>
      </c>
    </row>
    <row r="278" spans="10:16" x14ac:dyDescent="0.25">
      <c r="J278" s="11">
        <f t="shared" si="4"/>
        <v>277</v>
      </c>
      <c r="K27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8" s="6" t="str">
        <f ca="1">IF(IDNMaps[[#This Row],[Type]]="","",COUNTIF($K$1:IDNMaps[[#This Row],[Type]],IDNMaps[[#This Row],[Type]]))</f>
        <v/>
      </c>
      <c r="M278" s="6" t="str">
        <f ca="1">IFERROR(VLOOKUP(IDNMaps[[#This Row],[Type]],RecordCount[],6,0)&amp;"-"&amp;IDNMaps[[#This Row],[Type Count]],"")</f>
        <v/>
      </c>
      <c r="N278" s="6" t="str">
        <f ca="1">IFERROR(VLOOKUP(IDNMaps[[#This Row],[Primary]],INDIRECT(VLOOKUP(IDNMaps[[#This Row],[Type]],RecordCount[],2,0)),VLOOKUP(IDNMaps[[#This Row],[Type]],RecordCount[],7,0),0),"")</f>
        <v/>
      </c>
      <c r="O278" s="6" t="str">
        <f ca="1">IF(IDNMaps[[#This Row],[Name]]="","","("&amp;IDNMaps[[#This Row],[Type]]&amp;") "&amp;IDNMaps[[#This Row],[Name]])</f>
        <v/>
      </c>
      <c r="P278" s="6" t="str">
        <f ca="1">IFERROR(VLOOKUP(IDNMaps[[#This Row],[Primary]],INDIRECT(VLOOKUP(IDNMaps[[#This Row],[Type]],RecordCount[],2,0)),VLOOKUP(IDNMaps[[#This Row],[Type]],RecordCount[],8,0),0),"")</f>
        <v/>
      </c>
    </row>
    <row r="279" spans="10:16" x14ac:dyDescent="0.25">
      <c r="J279" s="11">
        <f t="shared" si="4"/>
        <v>278</v>
      </c>
      <c r="K27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9" s="6" t="str">
        <f ca="1">IF(IDNMaps[[#This Row],[Type]]="","",COUNTIF($K$1:IDNMaps[[#This Row],[Type]],IDNMaps[[#This Row],[Type]]))</f>
        <v/>
      </c>
      <c r="M279" s="6" t="str">
        <f ca="1">IFERROR(VLOOKUP(IDNMaps[[#This Row],[Type]],RecordCount[],6,0)&amp;"-"&amp;IDNMaps[[#This Row],[Type Count]],"")</f>
        <v/>
      </c>
      <c r="N279" s="6" t="str">
        <f ca="1">IFERROR(VLOOKUP(IDNMaps[[#This Row],[Primary]],INDIRECT(VLOOKUP(IDNMaps[[#This Row],[Type]],RecordCount[],2,0)),VLOOKUP(IDNMaps[[#This Row],[Type]],RecordCount[],7,0),0),"")</f>
        <v/>
      </c>
      <c r="O279" s="6" t="str">
        <f ca="1">IF(IDNMaps[[#This Row],[Name]]="","","("&amp;IDNMaps[[#This Row],[Type]]&amp;") "&amp;IDNMaps[[#This Row],[Name]])</f>
        <v/>
      </c>
      <c r="P279" s="6" t="str">
        <f ca="1">IFERROR(VLOOKUP(IDNMaps[[#This Row],[Primary]],INDIRECT(VLOOKUP(IDNMaps[[#This Row],[Type]],RecordCount[],2,0)),VLOOKUP(IDNMaps[[#This Row],[Type]],RecordCount[],8,0),0),"")</f>
        <v/>
      </c>
    </row>
    <row r="280" spans="10:16" x14ac:dyDescent="0.25">
      <c r="J280" s="11">
        <f t="shared" si="4"/>
        <v>279</v>
      </c>
      <c r="K28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0" s="6" t="str">
        <f ca="1">IF(IDNMaps[[#This Row],[Type]]="","",COUNTIF($K$1:IDNMaps[[#This Row],[Type]],IDNMaps[[#This Row],[Type]]))</f>
        <v/>
      </c>
      <c r="M280" s="6" t="str">
        <f ca="1">IFERROR(VLOOKUP(IDNMaps[[#This Row],[Type]],RecordCount[],6,0)&amp;"-"&amp;IDNMaps[[#This Row],[Type Count]],"")</f>
        <v/>
      </c>
      <c r="N280" s="6" t="str">
        <f ca="1">IFERROR(VLOOKUP(IDNMaps[[#This Row],[Primary]],INDIRECT(VLOOKUP(IDNMaps[[#This Row],[Type]],RecordCount[],2,0)),VLOOKUP(IDNMaps[[#This Row],[Type]],RecordCount[],7,0),0),"")</f>
        <v/>
      </c>
      <c r="O280" s="6" t="str">
        <f ca="1">IF(IDNMaps[[#This Row],[Name]]="","","("&amp;IDNMaps[[#This Row],[Type]]&amp;") "&amp;IDNMaps[[#This Row],[Name]])</f>
        <v/>
      </c>
      <c r="P280" s="6" t="str">
        <f ca="1">IFERROR(VLOOKUP(IDNMaps[[#This Row],[Primary]],INDIRECT(VLOOKUP(IDNMaps[[#This Row],[Type]],RecordCount[],2,0)),VLOOKUP(IDNMaps[[#This Row],[Type]],RecordCount[],8,0),0),"")</f>
        <v/>
      </c>
    </row>
    <row r="281" spans="10:16" x14ac:dyDescent="0.25">
      <c r="J281" s="11">
        <f t="shared" si="4"/>
        <v>280</v>
      </c>
      <c r="K28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1" s="6" t="str">
        <f ca="1">IF(IDNMaps[[#This Row],[Type]]="","",COUNTIF($K$1:IDNMaps[[#This Row],[Type]],IDNMaps[[#This Row],[Type]]))</f>
        <v/>
      </c>
      <c r="M281" s="6" t="str">
        <f ca="1">IFERROR(VLOOKUP(IDNMaps[[#This Row],[Type]],RecordCount[],6,0)&amp;"-"&amp;IDNMaps[[#This Row],[Type Count]],"")</f>
        <v/>
      </c>
      <c r="N281" s="6" t="str">
        <f ca="1">IFERROR(VLOOKUP(IDNMaps[[#This Row],[Primary]],INDIRECT(VLOOKUP(IDNMaps[[#This Row],[Type]],RecordCount[],2,0)),VLOOKUP(IDNMaps[[#This Row],[Type]],RecordCount[],7,0),0),"")</f>
        <v/>
      </c>
      <c r="O281" s="6" t="str">
        <f ca="1">IF(IDNMaps[[#This Row],[Name]]="","","("&amp;IDNMaps[[#This Row],[Type]]&amp;") "&amp;IDNMaps[[#This Row],[Name]])</f>
        <v/>
      </c>
      <c r="P281" s="6" t="str">
        <f ca="1">IFERROR(VLOOKUP(IDNMaps[[#This Row],[Primary]],INDIRECT(VLOOKUP(IDNMaps[[#This Row],[Type]],RecordCount[],2,0)),VLOOKUP(IDNMaps[[#This Row],[Type]],RecordCount[],8,0),0),"")</f>
        <v/>
      </c>
    </row>
    <row r="282" spans="10:16" x14ac:dyDescent="0.25">
      <c r="J282" s="11">
        <f t="shared" si="4"/>
        <v>281</v>
      </c>
      <c r="K28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2" s="6" t="str">
        <f ca="1">IF(IDNMaps[[#This Row],[Type]]="","",COUNTIF($K$1:IDNMaps[[#This Row],[Type]],IDNMaps[[#This Row],[Type]]))</f>
        <v/>
      </c>
      <c r="M282" s="6" t="str">
        <f ca="1">IFERROR(VLOOKUP(IDNMaps[[#This Row],[Type]],RecordCount[],6,0)&amp;"-"&amp;IDNMaps[[#This Row],[Type Count]],"")</f>
        <v/>
      </c>
      <c r="N282" s="6" t="str">
        <f ca="1">IFERROR(VLOOKUP(IDNMaps[[#This Row],[Primary]],INDIRECT(VLOOKUP(IDNMaps[[#This Row],[Type]],RecordCount[],2,0)),VLOOKUP(IDNMaps[[#This Row],[Type]],RecordCount[],7,0),0),"")</f>
        <v/>
      </c>
      <c r="O282" s="6" t="str">
        <f ca="1">IF(IDNMaps[[#This Row],[Name]]="","","("&amp;IDNMaps[[#This Row],[Type]]&amp;") "&amp;IDNMaps[[#This Row],[Name]])</f>
        <v/>
      </c>
      <c r="P282" s="6" t="str">
        <f ca="1">IFERROR(VLOOKUP(IDNMaps[[#This Row],[Primary]],INDIRECT(VLOOKUP(IDNMaps[[#This Row],[Type]],RecordCount[],2,0)),VLOOKUP(IDNMaps[[#This Row],[Type]],RecordCount[],8,0),0),"")</f>
        <v/>
      </c>
    </row>
    <row r="283" spans="10:16" x14ac:dyDescent="0.25">
      <c r="J283" s="11">
        <f t="shared" si="4"/>
        <v>282</v>
      </c>
      <c r="K28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3" s="6" t="str">
        <f ca="1">IF(IDNMaps[[#This Row],[Type]]="","",COUNTIF($K$1:IDNMaps[[#This Row],[Type]],IDNMaps[[#This Row],[Type]]))</f>
        <v/>
      </c>
      <c r="M283" s="6" t="str">
        <f ca="1">IFERROR(VLOOKUP(IDNMaps[[#This Row],[Type]],RecordCount[],6,0)&amp;"-"&amp;IDNMaps[[#This Row],[Type Count]],"")</f>
        <v/>
      </c>
      <c r="N283" s="6" t="str">
        <f ca="1">IFERROR(VLOOKUP(IDNMaps[[#This Row],[Primary]],INDIRECT(VLOOKUP(IDNMaps[[#This Row],[Type]],RecordCount[],2,0)),VLOOKUP(IDNMaps[[#This Row],[Type]],RecordCount[],7,0),0),"")</f>
        <v/>
      </c>
      <c r="O283" s="6" t="str">
        <f ca="1">IF(IDNMaps[[#This Row],[Name]]="","","("&amp;IDNMaps[[#This Row],[Type]]&amp;") "&amp;IDNMaps[[#This Row],[Name]])</f>
        <v/>
      </c>
      <c r="P283" s="6" t="str">
        <f ca="1">IFERROR(VLOOKUP(IDNMaps[[#This Row],[Primary]],INDIRECT(VLOOKUP(IDNMaps[[#This Row],[Type]],RecordCount[],2,0)),VLOOKUP(IDNMaps[[#This Row],[Type]],RecordCount[],8,0),0),"")</f>
        <v/>
      </c>
    </row>
    <row r="284" spans="10:16" x14ac:dyDescent="0.25">
      <c r="J284" s="11">
        <f t="shared" si="4"/>
        <v>283</v>
      </c>
      <c r="K28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4" s="6" t="str">
        <f ca="1">IF(IDNMaps[[#This Row],[Type]]="","",COUNTIF($K$1:IDNMaps[[#This Row],[Type]],IDNMaps[[#This Row],[Type]]))</f>
        <v/>
      </c>
      <c r="M284" s="6" t="str">
        <f ca="1">IFERROR(VLOOKUP(IDNMaps[[#This Row],[Type]],RecordCount[],6,0)&amp;"-"&amp;IDNMaps[[#This Row],[Type Count]],"")</f>
        <v/>
      </c>
      <c r="N284" s="6" t="str">
        <f ca="1">IFERROR(VLOOKUP(IDNMaps[[#This Row],[Primary]],INDIRECT(VLOOKUP(IDNMaps[[#This Row],[Type]],RecordCount[],2,0)),VLOOKUP(IDNMaps[[#This Row],[Type]],RecordCount[],7,0),0),"")</f>
        <v/>
      </c>
      <c r="O284" s="6" t="str">
        <f ca="1">IF(IDNMaps[[#This Row],[Name]]="","","("&amp;IDNMaps[[#This Row],[Type]]&amp;") "&amp;IDNMaps[[#This Row],[Name]])</f>
        <v/>
      </c>
      <c r="P284" s="6" t="str">
        <f ca="1">IFERROR(VLOOKUP(IDNMaps[[#This Row],[Primary]],INDIRECT(VLOOKUP(IDNMaps[[#This Row],[Type]],RecordCount[],2,0)),VLOOKUP(IDNMaps[[#This Row],[Type]],RecordCount[],8,0),0),"")</f>
        <v/>
      </c>
    </row>
    <row r="285" spans="10:16" x14ac:dyDescent="0.25">
      <c r="J285" s="11">
        <f t="shared" si="4"/>
        <v>284</v>
      </c>
      <c r="K28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5" s="6" t="str">
        <f ca="1">IF(IDNMaps[[#This Row],[Type]]="","",COUNTIF($K$1:IDNMaps[[#This Row],[Type]],IDNMaps[[#This Row],[Type]]))</f>
        <v/>
      </c>
      <c r="M285" s="6" t="str">
        <f ca="1">IFERROR(VLOOKUP(IDNMaps[[#This Row],[Type]],RecordCount[],6,0)&amp;"-"&amp;IDNMaps[[#This Row],[Type Count]],"")</f>
        <v/>
      </c>
      <c r="N285" s="6" t="str">
        <f ca="1">IFERROR(VLOOKUP(IDNMaps[[#This Row],[Primary]],INDIRECT(VLOOKUP(IDNMaps[[#This Row],[Type]],RecordCount[],2,0)),VLOOKUP(IDNMaps[[#This Row],[Type]],RecordCount[],7,0),0),"")</f>
        <v/>
      </c>
      <c r="O285" s="6" t="str">
        <f ca="1">IF(IDNMaps[[#This Row],[Name]]="","","("&amp;IDNMaps[[#This Row],[Type]]&amp;") "&amp;IDNMaps[[#This Row],[Name]])</f>
        <v/>
      </c>
      <c r="P285" s="6" t="str">
        <f ca="1">IFERROR(VLOOKUP(IDNMaps[[#This Row],[Primary]],INDIRECT(VLOOKUP(IDNMaps[[#This Row],[Type]],RecordCount[],2,0)),VLOOKUP(IDNMaps[[#This Row],[Type]],RecordCount[],8,0),0),"")</f>
        <v/>
      </c>
    </row>
    <row r="286" spans="10:16" x14ac:dyDescent="0.25">
      <c r="J286" s="11">
        <f t="shared" si="4"/>
        <v>285</v>
      </c>
      <c r="K28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6" s="6" t="str">
        <f ca="1">IF(IDNMaps[[#This Row],[Type]]="","",COUNTIF($K$1:IDNMaps[[#This Row],[Type]],IDNMaps[[#This Row],[Type]]))</f>
        <v/>
      </c>
      <c r="M286" s="6" t="str">
        <f ca="1">IFERROR(VLOOKUP(IDNMaps[[#This Row],[Type]],RecordCount[],6,0)&amp;"-"&amp;IDNMaps[[#This Row],[Type Count]],"")</f>
        <v/>
      </c>
      <c r="N286" s="6" t="str">
        <f ca="1">IFERROR(VLOOKUP(IDNMaps[[#This Row],[Primary]],INDIRECT(VLOOKUP(IDNMaps[[#This Row],[Type]],RecordCount[],2,0)),VLOOKUP(IDNMaps[[#This Row],[Type]],RecordCount[],7,0),0),"")</f>
        <v/>
      </c>
      <c r="O286" s="6" t="str">
        <f ca="1">IF(IDNMaps[[#This Row],[Name]]="","","("&amp;IDNMaps[[#This Row],[Type]]&amp;") "&amp;IDNMaps[[#This Row],[Name]])</f>
        <v/>
      </c>
      <c r="P286" s="6" t="str">
        <f ca="1">IFERROR(VLOOKUP(IDNMaps[[#This Row],[Primary]],INDIRECT(VLOOKUP(IDNMaps[[#This Row],[Type]],RecordCount[],2,0)),VLOOKUP(IDNMaps[[#This Row],[Type]],RecordCount[],8,0),0),"")</f>
        <v/>
      </c>
    </row>
    <row r="287" spans="10:16" x14ac:dyDescent="0.25">
      <c r="J287" s="11">
        <f t="shared" si="4"/>
        <v>286</v>
      </c>
      <c r="K28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7" s="6" t="str">
        <f ca="1">IF(IDNMaps[[#This Row],[Type]]="","",COUNTIF($K$1:IDNMaps[[#This Row],[Type]],IDNMaps[[#This Row],[Type]]))</f>
        <v/>
      </c>
      <c r="M287" s="6" t="str">
        <f ca="1">IFERROR(VLOOKUP(IDNMaps[[#This Row],[Type]],RecordCount[],6,0)&amp;"-"&amp;IDNMaps[[#This Row],[Type Count]],"")</f>
        <v/>
      </c>
      <c r="N287" s="6" t="str">
        <f ca="1">IFERROR(VLOOKUP(IDNMaps[[#This Row],[Primary]],INDIRECT(VLOOKUP(IDNMaps[[#This Row],[Type]],RecordCount[],2,0)),VLOOKUP(IDNMaps[[#This Row],[Type]],RecordCount[],7,0),0),"")</f>
        <v/>
      </c>
      <c r="O287" s="6" t="str">
        <f ca="1">IF(IDNMaps[[#This Row],[Name]]="","","("&amp;IDNMaps[[#This Row],[Type]]&amp;") "&amp;IDNMaps[[#This Row],[Name]])</f>
        <v/>
      </c>
      <c r="P287" s="6" t="str">
        <f ca="1">IFERROR(VLOOKUP(IDNMaps[[#This Row],[Primary]],INDIRECT(VLOOKUP(IDNMaps[[#This Row],[Type]],RecordCount[],2,0)),VLOOKUP(IDNMaps[[#This Row],[Type]],RecordCount[],8,0),0),"")</f>
        <v/>
      </c>
    </row>
    <row r="288" spans="10:16" x14ac:dyDescent="0.25">
      <c r="J288" s="11">
        <f t="shared" si="4"/>
        <v>287</v>
      </c>
      <c r="K28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8" s="6" t="str">
        <f ca="1">IF(IDNMaps[[#This Row],[Type]]="","",COUNTIF($K$1:IDNMaps[[#This Row],[Type]],IDNMaps[[#This Row],[Type]]))</f>
        <v/>
      </c>
      <c r="M288" s="6" t="str">
        <f ca="1">IFERROR(VLOOKUP(IDNMaps[[#This Row],[Type]],RecordCount[],6,0)&amp;"-"&amp;IDNMaps[[#This Row],[Type Count]],"")</f>
        <v/>
      </c>
      <c r="N288" s="6" t="str">
        <f ca="1">IFERROR(VLOOKUP(IDNMaps[[#This Row],[Primary]],INDIRECT(VLOOKUP(IDNMaps[[#This Row],[Type]],RecordCount[],2,0)),VLOOKUP(IDNMaps[[#This Row],[Type]],RecordCount[],7,0),0),"")</f>
        <v/>
      </c>
      <c r="O288" s="6" t="str">
        <f ca="1">IF(IDNMaps[[#This Row],[Name]]="","","("&amp;IDNMaps[[#This Row],[Type]]&amp;") "&amp;IDNMaps[[#This Row],[Name]])</f>
        <v/>
      </c>
      <c r="P288" s="6" t="str">
        <f ca="1">IFERROR(VLOOKUP(IDNMaps[[#This Row],[Primary]],INDIRECT(VLOOKUP(IDNMaps[[#This Row],[Type]],RecordCount[],2,0)),VLOOKUP(IDNMaps[[#This Row],[Type]],RecordCount[],8,0),0),"")</f>
        <v/>
      </c>
    </row>
    <row r="289" spans="10:16" x14ac:dyDescent="0.25">
      <c r="J289" s="11">
        <f t="shared" si="4"/>
        <v>288</v>
      </c>
      <c r="K28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9" s="6" t="str">
        <f ca="1">IF(IDNMaps[[#This Row],[Type]]="","",COUNTIF($K$1:IDNMaps[[#This Row],[Type]],IDNMaps[[#This Row],[Type]]))</f>
        <v/>
      </c>
      <c r="M289" s="6" t="str">
        <f ca="1">IFERROR(VLOOKUP(IDNMaps[[#This Row],[Type]],RecordCount[],6,0)&amp;"-"&amp;IDNMaps[[#This Row],[Type Count]],"")</f>
        <v/>
      </c>
      <c r="N289" s="6" t="str">
        <f ca="1">IFERROR(VLOOKUP(IDNMaps[[#This Row],[Primary]],INDIRECT(VLOOKUP(IDNMaps[[#This Row],[Type]],RecordCount[],2,0)),VLOOKUP(IDNMaps[[#This Row],[Type]],RecordCount[],7,0),0),"")</f>
        <v/>
      </c>
      <c r="O289" s="6" t="str">
        <f ca="1">IF(IDNMaps[[#This Row],[Name]]="","","("&amp;IDNMaps[[#This Row],[Type]]&amp;") "&amp;IDNMaps[[#This Row],[Name]])</f>
        <v/>
      </c>
      <c r="P289" s="6" t="str">
        <f ca="1">IFERROR(VLOOKUP(IDNMaps[[#This Row],[Primary]],INDIRECT(VLOOKUP(IDNMaps[[#This Row],[Type]],RecordCount[],2,0)),VLOOKUP(IDNMaps[[#This Row],[Type]],RecordCount[],8,0),0),"")</f>
        <v/>
      </c>
    </row>
    <row r="290" spans="10:16" x14ac:dyDescent="0.25">
      <c r="J290" s="11">
        <f t="shared" si="4"/>
        <v>289</v>
      </c>
      <c r="K29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0" s="6" t="str">
        <f ca="1">IF(IDNMaps[[#This Row],[Type]]="","",COUNTIF($K$1:IDNMaps[[#This Row],[Type]],IDNMaps[[#This Row],[Type]]))</f>
        <v/>
      </c>
      <c r="M290" s="6" t="str">
        <f ca="1">IFERROR(VLOOKUP(IDNMaps[[#This Row],[Type]],RecordCount[],6,0)&amp;"-"&amp;IDNMaps[[#This Row],[Type Count]],"")</f>
        <v/>
      </c>
      <c r="N290" s="6" t="str">
        <f ca="1">IFERROR(VLOOKUP(IDNMaps[[#This Row],[Primary]],INDIRECT(VLOOKUP(IDNMaps[[#This Row],[Type]],RecordCount[],2,0)),VLOOKUP(IDNMaps[[#This Row],[Type]],RecordCount[],7,0),0),"")</f>
        <v/>
      </c>
      <c r="O290" s="6" t="str">
        <f ca="1">IF(IDNMaps[[#This Row],[Name]]="","","("&amp;IDNMaps[[#This Row],[Type]]&amp;") "&amp;IDNMaps[[#This Row],[Name]])</f>
        <v/>
      </c>
      <c r="P290" s="6" t="str">
        <f ca="1">IFERROR(VLOOKUP(IDNMaps[[#This Row],[Primary]],INDIRECT(VLOOKUP(IDNMaps[[#This Row],[Type]],RecordCount[],2,0)),VLOOKUP(IDNMaps[[#This Row],[Type]],RecordCount[],8,0),0),"")</f>
        <v/>
      </c>
    </row>
    <row r="291" spans="10:16" x14ac:dyDescent="0.25">
      <c r="J291" s="11">
        <f t="shared" si="4"/>
        <v>290</v>
      </c>
      <c r="K29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1" s="6" t="str">
        <f ca="1">IF(IDNMaps[[#This Row],[Type]]="","",COUNTIF($K$1:IDNMaps[[#This Row],[Type]],IDNMaps[[#This Row],[Type]]))</f>
        <v/>
      </c>
      <c r="M291" s="6" t="str">
        <f ca="1">IFERROR(VLOOKUP(IDNMaps[[#This Row],[Type]],RecordCount[],6,0)&amp;"-"&amp;IDNMaps[[#This Row],[Type Count]],"")</f>
        <v/>
      </c>
      <c r="N291" s="6" t="str">
        <f ca="1">IFERROR(VLOOKUP(IDNMaps[[#This Row],[Primary]],INDIRECT(VLOOKUP(IDNMaps[[#This Row],[Type]],RecordCount[],2,0)),VLOOKUP(IDNMaps[[#This Row],[Type]],RecordCount[],7,0),0),"")</f>
        <v/>
      </c>
      <c r="O291" s="6" t="str">
        <f ca="1">IF(IDNMaps[[#This Row],[Name]]="","","("&amp;IDNMaps[[#This Row],[Type]]&amp;") "&amp;IDNMaps[[#This Row],[Name]])</f>
        <v/>
      </c>
      <c r="P291" s="6" t="str">
        <f ca="1">IFERROR(VLOOKUP(IDNMaps[[#This Row],[Primary]],INDIRECT(VLOOKUP(IDNMaps[[#This Row],[Type]],RecordCount[],2,0)),VLOOKUP(IDNMaps[[#This Row],[Type]],RecordCount[],8,0),0),"")</f>
        <v/>
      </c>
    </row>
    <row r="292" spans="10:16" x14ac:dyDescent="0.25">
      <c r="J292" s="11">
        <f t="shared" si="4"/>
        <v>291</v>
      </c>
      <c r="K29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2" s="6" t="str">
        <f ca="1">IF(IDNMaps[[#This Row],[Type]]="","",COUNTIF($K$1:IDNMaps[[#This Row],[Type]],IDNMaps[[#This Row],[Type]]))</f>
        <v/>
      </c>
      <c r="M292" s="6" t="str">
        <f ca="1">IFERROR(VLOOKUP(IDNMaps[[#This Row],[Type]],RecordCount[],6,0)&amp;"-"&amp;IDNMaps[[#This Row],[Type Count]],"")</f>
        <v/>
      </c>
      <c r="N292" s="6" t="str">
        <f ca="1">IFERROR(VLOOKUP(IDNMaps[[#This Row],[Primary]],INDIRECT(VLOOKUP(IDNMaps[[#This Row],[Type]],RecordCount[],2,0)),VLOOKUP(IDNMaps[[#This Row],[Type]],RecordCount[],7,0),0),"")</f>
        <v/>
      </c>
      <c r="O292" s="6" t="str">
        <f ca="1">IF(IDNMaps[[#This Row],[Name]]="","","("&amp;IDNMaps[[#This Row],[Type]]&amp;") "&amp;IDNMaps[[#This Row],[Name]])</f>
        <v/>
      </c>
      <c r="P292" s="6" t="str">
        <f ca="1">IFERROR(VLOOKUP(IDNMaps[[#This Row],[Primary]],INDIRECT(VLOOKUP(IDNMaps[[#This Row],[Type]],RecordCount[],2,0)),VLOOKUP(IDNMaps[[#This Row],[Type]],RecordCount[],8,0),0),"")</f>
        <v/>
      </c>
    </row>
    <row r="293" spans="10:16" x14ac:dyDescent="0.25">
      <c r="J293" s="11">
        <f t="shared" si="4"/>
        <v>292</v>
      </c>
      <c r="K29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3" s="6" t="str">
        <f ca="1">IF(IDNMaps[[#This Row],[Type]]="","",COUNTIF($K$1:IDNMaps[[#This Row],[Type]],IDNMaps[[#This Row],[Type]]))</f>
        <v/>
      </c>
      <c r="M293" s="6" t="str">
        <f ca="1">IFERROR(VLOOKUP(IDNMaps[[#This Row],[Type]],RecordCount[],6,0)&amp;"-"&amp;IDNMaps[[#This Row],[Type Count]],"")</f>
        <v/>
      </c>
      <c r="N293" s="6" t="str">
        <f ca="1">IFERROR(VLOOKUP(IDNMaps[[#This Row],[Primary]],INDIRECT(VLOOKUP(IDNMaps[[#This Row],[Type]],RecordCount[],2,0)),VLOOKUP(IDNMaps[[#This Row],[Type]],RecordCount[],7,0),0),"")</f>
        <v/>
      </c>
      <c r="O293" s="6" t="str">
        <f ca="1">IF(IDNMaps[[#This Row],[Name]]="","","("&amp;IDNMaps[[#This Row],[Type]]&amp;") "&amp;IDNMaps[[#This Row],[Name]])</f>
        <v/>
      </c>
      <c r="P293" s="6" t="str">
        <f ca="1">IFERROR(VLOOKUP(IDNMaps[[#This Row],[Primary]],INDIRECT(VLOOKUP(IDNMaps[[#This Row],[Type]],RecordCount[],2,0)),VLOOKUP(IDNMaps[[#This Row],[Type]],RecordCount[],8,0),0),"")</f>
        <v/>
      </c>
    </row>
    <row r="294" spans="10:16" x14ac:dyDescent="0.25">
      <c r="J294" s="11">
        <f t="shared" si="4"/>
        <v>293</v>
      </c>
      <c r="K29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4" s="6" t="str">
        <f ca="1">IF(IDNMaps[[#This Row],[Type]]="","",COUNTIF($K$1:IDNMaps[[#This Row],[Type]],IDNMaps[[#This Row],[Type]]))</f>
        <v/>
      </c>
      <c r="M294" s="6" t="str">
        <f ca="1">IFERROR(VLOOKUP(IDNMaps[[#This Row],[Type]],RecordCount[],6,0)&amp;"-"&amp;IDNMaps[[#This Row],[Type Count]],"")</f>
        <v/>
      </c>
      <c r="N294" s="6" t="str">
        <f ca="1">IFERROR(VLOOKUP(IDNMaps[[#This Row],[Primary]],INDIRECT(VLOOKUP(IDNMaps[[#This Row],[Type]],RecordCount[],2,0)),VLOOKUP(IDNMaps[[#This Row],[Type]],RecordCount[],7,0),0),"")</f>
        <v/>
      </c>
      <c r="O294" s="6" t="str">
        <f ca="1">IF(IDNMaps[[#This Row],[Name]]="","","("&amp;IDNMaps[[#This Row],[Type]]&amp;") "&amp;IDNMaps[[#This Row],[Name]])</f>
        <v/>
      </c>
      <c r="P294" s="6" t="str">
        <f ca="1">IFERROR(VLOOKUP(IDNMaps[[#This Row],[Primary]],INDIRECT(VLOOKUP(IDNMaps[[#This Row],[Type]],RecordCount[],2,0)),VLOOKUP(IDNMaps[[#This Row],[Type]],RecordCount[],8,0),0),"")</f>
        <v/>
      </c>
    </row>
    <row r="295" spans="10:16" x14ac:dyDescent="0.25">
      <c r="J295" s="11">
        <f t="shared" si="4"/>
        <v>294</v>
      </c>
      <c r="K29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5" s="6" t="str">
        <f ca="1">IF(IDNMaps[[#This Row],[Type]]="","",COUNTIF($K$1:IDNMaps[[#This Row],[Type]],IDNMaps[[#This Row],[Type]]))</f>
        <v/>
      </c>
      <c r="M295" s="6" t="str">
        <f ca="1">IFERROR(VLOOKUP(IDNMaps[[#This Row],[Type]],RecordCount[],6,0)&amp;"-"&amp;IDNMaps[[#This Row],[Type Count]],"")</f>
        <v/>
      </c>
      <c r="N295" s="6" t="str">
        <f ca="1">IFERROR(VLOOKUP(IDNMaps[[#This Row],[Primary]],INDIRECT(VLOOKUP(IDNMaps[[#This Row],[Type]],RecordCount[],2,0)),VLOOKUP(IDNMaps[[#This Row],[Type]],RecordCount[],7,0),0),"")</f>
        <v/>
      </c>
      <c r="O295" s="6" t="str">
        <f ca="1">IF(IDNMaps[[#This Row],[Name]]="","","("&amp;IDNMaps[[#This Row],[Type]]&amp;") "&amp;IDNMaps[[#This Row],[Name]])</f>
        <v/>
      </c>
      <c r="P295" s="6" t="str">
        <f ca="1">IFERROR(VLOOKUP(IDNMaps[[#This Row],[Primary]],INDIRECT(VLOOKUP(IDNMaps[[#This Row],[Type]],RecordCount[],2,0)),VLOOKUP(IDNMaps[[#This Row],[Type]],RecordCount[],8,0),0),"")</f>
        <v/>
      </c>
    </row>
    <row r="296" spans="10:16" x14ac:dyDescent="0.25">
      <c r="J296" s="11">
        <f t="shared" si="4"/>
        <v>295</v>
      </c>
      <c r="K29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6" s="6" t="str">
        <f ca="1">IF(IDNMaps[[#This Row],[Type]]="","",COUNTIF($K$1:IDNMaps[[#This Row],[Type]],IDNMaps[[#This Row],[Type]]))</f>
        <v/>
      </c>
      <c r="M296" s="6" t="str">
        <f ca="1">IFERROR(VLOOKUP(IDNMaps[[#This Row],[Type]],RecordCount[],6,0)&amp;"-"&amp;IDNMaps[[#This Row],[Type Count]],"")</f>
        <v/>
      </c>
      <c r="N296" s="6" t="str">
        <f ca="1">IFERROR(VLOOKUP(IDNMaps[[#This Row],[Primary]],INDIRECT(VLOOKUP(IDNMaps[[#This Row],[Type]],RecordCount[],2,0)),VLOOKUP(IDNMaps[[#This Row],[Type]],RecordCount[],7,0),0),"")</f>
        <v/>
      </c>
      <c r="O296" s="6" t="str">
        <f ca="1">IF(IDNMaps[[#This Row],[Name]]="","","("&amp;IDNMaps[[#This Row],[Type]]&amp;") "&amp;IDNMaps[[#This Row],[Name]])</f>
        <v/>
      </c>
      <c r="P296" s="6" t="str">
        <f ca="1">IFERROR(VLOOKUP(IDNMaps[[#This Row],[Primary]],INDIRECT(VLOOKUP(IDNMaps[[#This Row],[Type]],RecordCount[],2,0)),VLOOKUP(IDNMaps[[#This Row],[Type]],RecordCount[],8,0),0),"")</f>
        <v/>
      </c>
    </row>
    <row r="297" spans="10:16" x14ac:dyDescent="0.25">
      <c r="J297" s="11">
        <f t="shared" si="4"/>
        <v>296</v>
      </c>
      <c r="K29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7" s="6" t="str">
        <f ca="1">IF(IDNMaps[[#This Row],[Type]]="","",COUNTIF($K$1:IDNMaps[[#This Row],[Type]],IDNMaps[[#This Row],[Type]]))</f>
        <v/>
      </c>
      <c r="M297" s="6" t="str">
        <f ca="1">IFERROR(VLOOKUP(IDNMaps[[#This Row],[Type]],RecordCount[],6,0)&amp;"-"&amp;IDNMaps[[#This Row],[Type Count]],"")</f>
        <v/>
      </c>
      <c r="N297" s="6" t="str">
        <f ca="1">IFERROR(VLOOKUP(IDNMaps[[#This Row],[Primary]],INDIRECT(VLOOKUP(IDNMaps[[#This Row],[Type]],RecordCount[],2,0)),VLOOKUP(IDNMaps[[#This Row],[Type]],RecordCount[],7,0),0),"")</f>
        <v/>
      </c>
      <c r="O297" s="6" t="str">
        <f ca="1">IF(IDNMaps[[#This Row],[Name]]="","","("&amp;IDNMaps[[#This Row],[Type]]&amp;") "&amp;IDNMaps[[#This Row],[Name]])</f>
        <v/>
      </c>
      <c r="P297" s="6" t="str">
        <f ca="1">IFERROR(VLOOKUP(IDNMaps[[#This Row],[Primary]],INDIRECT(VLOOKUP(IDNMaps[[#This Row],[Type]],RecordCount[],2,0)),VLOOKUP(IDNMaps[[#This Row],[Type]],RecordCount[],8,0),0),"")</f>
        <v/>
      </c>
    </row>
    <row r="298" spans="10:16" x14ac:dyDescent="0.25">
      <c r="J298" s="11">
        <f t="shared" si="4"/>
        <v>297</v>
      </c>
      <c r="K29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8" s="6" t="str">
        <f ca="1">IF(IDNMaps[[#This Row],[Type]]="","",COUNTIF($K$1:IDNMaps[[#This Row],[Type]],IDNMaps[[#This Row],[Type]]))</f>
        <v/>
      </c>
      <c r="M298" s="6" t="str">
        <f ca="1">IFERROR(VLOOKUP(IDNMaps[[#This Row],[Type]],RecordCount[],6,0)&amp;"-"&amp;IDNMaps[[#This Row],[Type Count]],"")</f>
        <v/>
      </c>
      <c r="N298" s="6" t="str">
        <f ca="1">IFERROR(VLOOKUP(IDNMaps[[#This Row],[Primary]],INDIRECT(VLOOKUP(IDNMaps[[#This Row],[Type]],RecordCount[],2,0)),VLOOKUP(IDNMaps[[#This Row],[Type]],RecordCount[],7,0),0),"")</f>
        <v/>
      </c>
      <c r="O298" s="6" t="str">
        <f ca="1">IF(IDNMaps[[#This Row],[Name]]="","","("&amp;IDNMaps[[#This Row],[Type]]&amp;") "&amp;IDNMaps[[#This Row],[Name]])</f>
        <v/>
      </c>
      <c r="P298" s="6" t="str">
        <f ca="1">IFERROR(VLOOKUP(IDNMaps[[#This Row],[Primary]],INDIRECT(VLOOKUP(IDNMaps[[#This Row],[Type]],RecordCount[],2,0)),VLOOKUP(IDNMaps[[#This Row],[Type]],RecordCount[],8,0),0),"")</f>
        <v/>
      </c>
    </row>
    <row r="299" spans="10:16" x14ac:dyDescent="0.25">
      <c r="J299" s="11">
        <f t="shared" si="4"/>
        <v>298</v>
      </c>
      <c r="K29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9" s="6" t="str">
        <f ca="1">IF(IDNMaps[[#This Row],[Type]]="","",COUNTIF($K$1:IDNMaps[[#This Row],[Type]],IDNMaps[[#This Row],[Type]]))</f>
        <v/>
      </c>
      <c r="M299" s="6" t="str">
        <f ca="1">IFERROR(VLOOKUP(IDNMaps[[#This Row],[Type]],RecordCount[],6,0)&amp;"-"&amp;IDNMaps[[#This Row],[Type Count]],"")</f>
        <v/>
      </c>
      <c r="N299" s="6" t="str">
        <f ca="1">IFERROR(VLOOKUP(IDNMaps[[#This Row],[Primary]],INDIRECT(VLOOKUP(IDNMaps[[#This Row],[Type]],RecordCount[],2,0)),VLOOKUP(IDNMaps[[#This Row],[Type]],RecordCount[],7,0),0),"")</f>
        <v/>
      </c>
      <c r="O299" s="6" t="str">
        <f ca="1">IF(IDNMaps[[#This Row],[Name]]="","","("&amp;IDNMaps[[#This Row],[Type]]&amp;") "&amp;IDNMaps[[#This Row],[Name]])</f>
        <v/>
      </c>
      <c r="P299" s="6" t="str">
        <f ca="1">IFERROR(VLOOKUP(IDNMaps[[#This Row],[Primary]],INDIRECT(VLOOKUP(IDNMaps[[#This Row],[Type]],RecordCount[],2,0)),VLOOKUP(IDNMaps[[#This Row],[Type]],RecordCount[],8,0),0),"")</f>
        <v/>
      </c>
    </row>
    <row r="300" spans="10:16" x14ac:dyDescent="0.25">
      <c r="J300" s="11">
        <f t="shared" si="4"/>
        <v>299</v>
      </c>
      <c r="K30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0" s="6" t="str">
        <f ca="1">IF(IDNMaps[[#This Row],[Type]]="","",COUNTIF($K$1:IDNMaps[[#This Row],[Type]],IDNMaps[[#This Row],[Type]]))</f>
        <v/>
      </c>
      <c r="M300" s="6" t="str">
        <f ca="1">IFERROR(VLOOKUP(IDNMaps[[#This Row],[Type]],RecordCount[],6,0)&amp;"-"&amp;IDNMaps[[#This Row],[Type Count]],"")</f>
        <v/>
      </c>
      <c r="N300" s="6" t="str">
        <f ca="1">IFERROR(VLOOKUP(IDNMaps[[#This Row],[Primary]],INDIRECT(VLOOKUP(IDNMaps[[#This Row],[Type]],RecordCount[],2,0)),VLOOKUP(IDNMaps[[#This Row],[Type]],RecordCount[],7,0),0),"")</f>
        <v/>
      </c>
      <c r="O300" s="6" t="str">
        <f ca="1">IF(IDNMaps[[#This Row],[Name]]="","","("&amp;IDNMaps[[#This Row],[Type]]&amp;") "&amp;IDNMaps[[#This Row],[Name]])</f>
        <v/>
      </c>
      <c r="P300" s="6" t="str">
        <f ca="1">IFERROR(VLOOKUP(IDNMaps[[#This Row],[Primary]],INDIRECT(VLOOKUP(IDNMaps[[#This Row],[Type]],RecordCount[],2,0)),VLOOKUP(IDNMaps[[#This Row],[Type]],RecordCount[],8,0),0),"")</f>
        <v/>
      </c>
    </row>
    <row r="301" spans="10:16" x14ac:dyDescent="0.25">
      <c r="J301" s="11">
        <f t="shared" si="4"/>
        <v>300</v>
      </c>
      <c r="K30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1" s="6" t="str">
        <f ca="1">IF(IDNMaps[[#This Row],[Type]]="","",COUNTIF($K$1:IDNMaps[[#This Row],[Type]],IDNMaps[[#This Row],[Type]]))</f>
        <v/>
      </c>
      <c r="M301" s="6" t="str">
        <f ca="1">IFERROR(VLOOKUP(IDNMaps[[#This Row],[Type]],RecordCount[],6,0)&amp;"-"&amp;IDNMaps[[#This Row],[Type Count]],"")</f>
        <v/>
      </c>
      <c r="N301" s="6" t="str">
        <f ca="1">IFERROR(VLOOKUP(IDNMaps[[#This Row],[Primary]],INDIRECT(VLOOKUP(IDNMaps[[#This Row],[Type]],RecordCount[],2,0)),VLOOKUP(IDNMaps[[#This Row],[Type]],RecordCount[],7,0),0),"")</f>
        <v/>
      </c>
      <c r="O301" s="6" t="str">
        <f ca="1">IF(IDNMaps[[#This Row],[Name]]="","","("&amp;IDNMaps[[#This Row],[Type]]&amp;") "&amp;IDNMaps[[#This Row],[Name]])</f>
        <v/>
      </c>
      <c r="P301" s="6" t="str">
        <f ca="1">IFERROR(VLOOKUP(IDNMaps[[#This Row],[Primary]],INDIRECT(VLOOKUP(IDNMaps[[#This Row],[Type]],RecordCount[],2,0)),VLOOKUP(IDNMaps[[#This Row],[Type]],RecordCount[],8,0),0),"")</f>
        <v/>
      </c>
    </row>
    <row r="302" spans="10:16" x14ac:dyDescent="0.25">
      <c r="J302" s="11">
        <f t="shared" si="4"/>
        <v>301</v>
      </c>
      <c r="K30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2" s="6" t="str">
        <f ca="1">IF(IDNMaps[[#This Row],[Type]]="","",COUNTIF($K$1:IDNMaps[[#This Row],[Type]],IDNMaps[[#This Row],[Type]]))</f>
        <v/>
      </c>
      <c r="M302" s="6" t="str">
        <f ca="1">IFERROR(VLOOKUP(IDNMaps[[#This Row],[Type]],RecordCount[],6,0)&amp;"-"&amp;IDNMaps[[#This Row],[Type Count]],"")</f>
        <v/>
      </c>
      <c r="N302" s="6" t="str">
        <f ca="1">IFERROR(VLOOKUP(IDNMaps[[#This Row],[Primary]],INDIRECT(VLOOKUP(IDNMaps[[#This Row],[Type]],RecordCount[],2,0)),VLOOKUP(IDNMaps[[#This Row],[Type]],RecordCount[],7,0),0),"")</f>
        <v/>
      </c>
      <c r="O302" s="6" t="str">
        <f ca="1">IF(IDNMaps[[#This Row],[Name]]="","","("&amp;IDNMaps[[#This Row],[Type]]&amp;") "&amp;IDNMaps[[#This Row],[Name]])</f>
        <v/>
      </c>
      <c r="P302" s="6" t="str">
        <f ca="1">IFERROR(VLOOKUP(IDNMaps[[#This Row],[Primary]],INDIRECT(VLOOKUP(IDNMaps[[#This Row],[Type]],RecordCount[],2,0)),VLOOKUP(IDNMaps[[#This Row],[Type]],RecordCount[],8,0),0),"")</f>
        <v/>
      </c>
    </row>
    <row r="303" spans="10:16" x14ac:dyDescent="0.25">
      <c r="J303" s="11">
        <f t="shared" si="4"/>
        <v>302</v>
      </c>
      <c r="K30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3" s="6" t="str">
        <f ca="1">IF(IDNMaps[[#This Row],[Type]]="","",COUNTIF($K$1:IDNMaps[[#This Row],[Type]],IDNMaps[[#This Row],[Type]]))</f>
        <v/>
      </c>
      <c r="M303" s="6" t="str">
        <f ca="1">IFERROR(VLOOKUP(IDNMaps[[#This Row],[Type]],RecordCount[],6,0)&amp;"-"&amp;IDNMaps[[#This Row],[Type Count]],"")</f>
        <v/>
      </c>
      <c r="N303" s="6" t="str">
        <f ca="1">IFERROR(VLOOKUP(IDNMaps[[#This Row],[Primary]],INDIRECT(VLOOKUP(IDNMaps[[#This Row],[Type]],RecordCount[],2,0)),VLOOKUP(IDNMaps[[#This Row],[Type]],RecordCount[],7,0),0),"")</f>
        <v/>
      </c>
      <c r="O303" s="6" t="str">
        <f ca="1">IF(IDNMaps[[#This Row],[Name]]="","","("&amp;IDNMaps[[#This Row],[Type]]&amp;") "&amp;IDNMaps[[#This Row],[Name]])</f>
        <v/>
      </c>
      <c r="P303" s="6" t="str">
        <f ca="1">IFERROR(VLOOKUP(IDNMaps[[#This Row],[Primary]],INDIRECT(VLOOKUP(IDNMaps[[#This Row],[Type]],RecordCount[],2,0)),VLOOKUP(IDNMaps[[#This Row],[Type]],RecordCount[],8,0),0),"")</f>
        <v/>
      </c>
    </row>
    <row r="304" spans="10:16" x14ac:dyDescent="0.25">
      <c r="J304" s="11">
        <f t="shared" si="4"/>
        <v>303</v>
      </c>
      <c r="K30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4" s="6" t="str">
        <f ca="1">IF(IDNMaps[[#This Row],[Type]]="","",COUNTIF($K$1:IDNMaps[[#This Row],[Type]],IDNMaps[[#This Row],[Type]]))</f>
        <v/>
      </c>
      <c r="M304" s="6" t="str">
        <f ca="1">IFERROR(VLOOKUP(IDNMaps[[#This Row],[Type]],RecordCount[],6,0)&amp;"-"&amp;IDNMaps[[#This Row],[Type Count]],"")</f>
        <v/>
      </c>
      <c r="N304" s="6" t="str">
        <f ca="1">IFERROR(VLOOKUP(IDNMaps[[#This Row],[Primary]],INDIRECT(VLOOKUP(IDNMaps[[#This Row],[Type]],RecordCount[],2,0)),VLOOKUP(IDNMaps[[#This Row],[Type]],RecordCount[],7,0),0),"")</f>
        <v/>
      </c>
      <c r="O304" s="6" t="str">
        <f ca="1">IF(IDNMaps[[#This Row],[Name]]="","","("&amp;IDNMaps[[#This Row],[Type]]&amp;") "&amp;IDNMaps[[#This Row],[Name]])</f>
        <v/>
      </c>
      <c r="P304" s="6" t="str">
        <f ca="1">IFERROR(VLOOKUP(IDNMaps[[#This Row],[Primary]],INDIRECT(VLOOKUP(IDNMaps[[#This Row],[Type]],RecordCount[],2,0)),VLOOKUP(IDNMaps[[#This Row],[Type]],RecordCount[],8,0),0),"")</f>
        <v/>
      </c>
    </row>
    <row r="305" spans="10:16" x14ac:dyDescent="0.25">
      <c r="J305" s="11">
        <f t="shared" si="4"/>
        <v>304</v>
      </c>
      <c r="K30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5" s="6" t="str">
        <f ca="1">IF(IDNMaps[[#This Row],[Type]]="","",COUNTIF($K$1:IDNMaps[[#This Row],[Type]],IDNMaps[[#This Row],[Type]]))</f>
        <v/>
      </c>
      <c r="M305" s="6" t="str">
        <f ca="1">IFERROR(VLOOKUP(IDNMaps[[#This Row],[Type]],RecordCount[],6,0)&amp;"-"&amp;IDNMaps[[#This Row],[Type Count]],"")</f>
        <v/>
      </c>
      <c r="N305" s="6" t="str">
        <f ca="1">IFERROR(VLOOKUP(IDNMaps[[#This Row],[Primary]],INDIRECT(VLOOKUP(IDNMaps[[#This Row],[Type]],RecordCount[],2,0)),VLOOKUP(IDNMaps[[#This Row],[Type]],RecordCount[],7,0),0),"")</f>
        <v/>
      </c>
      <c r="O305" s="6" t="str">
        <f ca="1">IF(IDNMaps[[#This Row],[Name]]="","","("&amp;IDNMaps[[#This Row],[Type]]&amp;") "&amp;IDNMaps[[#This Row],[Name]])</f>
        <v/>
      </c>
      <c r="P305" s="6" t="str">
        <f ca="1">IFERROR(VLOOKUP(IDNMaps[[#This Row],[Primary]],INDIRECT(VLOOKUP(IDNMaps[[#This Row],[Type]],RecordCount[],2,0)),VLOOKUP(IDNMaps[[#This Row],[Type]],RecordCount[],8,0),0),"")</f>
        <v/>
      </c>
    </row>
    <row r="306" spans="10:16" x14ac:dyDescent="0.25">
      <c r="J306" s="11">
        <f t="shared" si="4"/>
        <v>305</v>
      </c>
      <c r="K30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6" s="6" t="str">
        <f ca="1">IF(IDNMaps[[#This Row],[Type]]="","",COUNTIF($K$1:IDNMaps[[#This Row],[Type]],IDNMaps[[#This Row],[Type]]))</f>
        <v/>
      </c>
      <c r="M306" s="6" t="str">
        <f ca="1">IFERROR(VLOOKUP(IDNMaps[[#This Row],[Type]],RecordCount[],6,0)&amp;"-"&amp;IDNMaps[[#This Row],[Type Count]],"")</f>
        <v/>
      </c>
      <c r="N306" s="6" t="str">
        <f ca="1">IFERROR(VLOOKUP(IDNMaps[[#This Row],[Primary]],INDIRECT(VLOOKUP(IDNMaps[[#This Row],[Type]],RecordCount[],2,0)),VLOOKUP(IDNMaps[[#This Row],[Type]],RecordCount[],7,0),0),"")</f>
        <v/>
      </c>
      <c r="O306" s="6" t="str">
        <f ca="1">IF(IDNMaps[[#This Row],[Name]]="","","("&amp;IDNMaps[[#This Row],[Type]]&amp;") "&amp;IDNMaps[[#This Row],[Name]])</f>
        <v/>
      </c>
      <c r="P306" s="6" t="str">
        <f ca="1">IFERROR(VLOOKUP(IDNMaps[[#This Row],[Primary]],INDIRECT(VLOOKUP(IDNMaps[[#This Row],[Type]],RecordCount[],2,0)),VLOOKUP(IDNMaps[[#This Row],[Type]],RecordCount[],8,0),0),"")</f>
        <v/>
      </c>
    </row>
    <row r="307" spans="10:16" x14ac:dyDescent="0.25">
      <c r="J307" s="11">
        <f t="shared" si="4"/>
        <v>306</v>
      </c>
      <c r="K30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7" s="6" t="str">
        <f ca="1">IF(IDNMaps[[#This Row],[Type]]="","",COUNTIF($K$1:IDNMaps[[#This Row],[Type]],IDNMaps[[#This Row],[Type]]))</f>
        <v/>
      </c>
      <c r="M307" s="6" t="str">
        <f ca="1">IFERROR(VLOOKUP(IDNMaps[[#This Row],[Type]],RecordCount[],6,0)&amp;"-"&amp;IDNMaps[[#This Row],[Type Count]],"")</f>
        <v/>
      </c>
      <c r="N307" s="6" t="str">
        <f ca="1">IFERROR(VLOOKUP(IDNMaps[[#This Row],[Primary]],INDIRECT(VLOOKUP(IDNMaps[[#This Row],[Type]],RecordCount[],2,0)),VLOOKUP(IDNMaps[[#This Row],[Type]],RecordCount[],7,0),0),"")</f>
        <v/>
      </c>
      <c r="O307" s="6" t="str">
        <f ca="1">IF(IDNMaps[[#This Row],[Name]]="","","("&amp;IDNMaps[[#This Row],[Type]]&amp;") "&amp;IDNMaps[[#This Row],[Name]])</f>
        <v/>
      </c>
      <c r="P307" s="6" t="str">
        <f ca="1">IFERROR(VLOOKUP(IDNMaps[[#This Row],[Primary]],INDIRECT(VLOOKUP(IDNMaps[[#This Row],[Type]],RecordCount[],2,0)),VLOOKUP(IDNMaps[[#This Row],[Type]],RecordCount[],8,0),0),"")</f>
        <v/>
      </c>
    </row>
    <row r="308" spans="10:16" x14ac:dyDescent="0.25">
      <c r="J308" s="11">
        <f t="shared" si="4"/>
        <v>307</v>
      </c>
      <c r="K30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8" s="6" t="str">
        <f ca="1">IF(IDNMaps[[#This Row],[Type]]="","",COUNTIF($K$1:IDNMaps[[#This Row],[Type]],IDNMaps[[#This Row],[Type]]))</f>
        <v/>
      </c>
      <c r="M308" s="6" t="str">
        <f ca="1">IFERROR(VLOOKUP(IDNMaps[[#This Row],[Type]],RecordCount[],6,0)&amp;"-"&amp;IDNMaps[[#This Row],[Type Count]],"")</f>
        <v/>
      </c>
      <c r="N308" s="6" t="str">
        <f ca="1">IFERROR(VLOOKUP(IDNMaps[[#This Row],[Primary]],INDIRECT(VLOOKUP(IDNMaps[[#This Row],[Type]],RecordCount[],2,0)),VLOOKUP(IDNMaps[[#This Row],[Type]],RecordCount[],7,0),0),"")</f>
        <v/>
      </c>
      <c r="O308" s="6" t="str">
        <f ca="1">IF(IDNMaps[[#This Row],[Name]]="","","("&amp;IDNMaps[[#This Row],[Type]]&amp;") "&amp;IDNMaps[[#This Row],[Name]])</f>
        <v/>
      </c>
      <c r="P308" s="6" t="str">
        <f ca="1">IFERROR(VLOOKUP(IDNMaps[[#This Row],[Primary]],INDIRECT(VLOOKUP(IDNMaps[[#This Row],[Type]],RecordCount[],2,0)),VLOOKUP(IDNMaps[[#This Row],[Type]],RecordCount[],8,0),0),"")</f>
        <v/>
      </c>
    </row>
    <row r="309" spans="10:16" x14ac:dyDescent="0.25">
      <c r="J309" s="11">
        <f t="shared" si="4"/>
        <v>308</v>
      </c>
      <c r="K30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9" s="6" t="str">
        <f ca="1">IF(IDNMaps[[#This Row],[Type]]="","",COUNTIF($K$1:IDNMaps[[#This Row],[Type]],IDNMaps[[#This Row],[Type]]))</f>
        <v/>
      </c>
      <c r="M309" s="6" t="str">
        <f ca="1">IFERROR(VLOOKUP(IDNMaps[[#This Row],[Type]],RecordCount[],6,0)&amp;"-"&amp;IDNMaps[[#This Row],[Type Count]],"")</f>
        <v/>
      </c>
      <c r="N309" s="6" t="str">
        <f ca="1">IFERROR(VLOOKUP(IDNMaps[[#This Row],[Primary]],INDIRECT(VLOOKUP(IDNMaps[[#This Row],[Type]],RecordCount[],2,0)),VLOOKUP(IDNMaps[[#This Row],[Type]],RecordCount[],7,0),0),"")</f>
        <v/>
      </c>
      <c r="O309" s="6" t="str">
        <f ca="1">IF(IDNMaps[[#This Row],[Name]]="","","("&amp;IDNMaps[[#This Row],[Type]]&amp;") "&amp;IDNMaps[[#This Row],[Name]])</f>
        <v/>
      </c>
      <c r="P309" s="6" t="str">
        <f ca="1">IFERROR(VLOOKUP(IDNMaps[[#This Row],[Primary]],INDIRECT(VLOOKUP(IDNMaps[[#This Row],[Type]],RecordCount[],2,0)),VLOOKUP(IDNMaps[[#This Row],[Type]],RecordCount[],8,0),0),"")</f>
        <v/>
      </c>
    </row>
    <row r="310" spans="10:16" x14ac:dyDescent="0.25">
      <c r="J310" s="11">
        <f t="shared" si="4"/>
        <v>309</v>
      </c>
      <c r="K31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0" s="6" t="str">
        <f ca="1">IF(IDNMaps[[#This Row],[Type]]="","",COUNTIF($K$1:IDNMaps[[#This Row],[Type]],IDNMaps[[#This Row],[Type]]))</f>
        <v/>
      </c>
      <c r="M310" s="6" t="str">
        <f ca="1">IFERROR(VLOOKUP(IDNMaps[[#This Row],[Type]],RecordCount[],6,0)&amp;"-"&amp;IDNMaps[[#This Row],[Type Count]],"")</f>
        <v/>
      </c>
      <c r="N310" s="6" t="str">
        <f ca="1">IFERROR(VLOOKUP(IDNMaps[[#This Row],[Primary]],INDIRECT(VLOOKUP(IDNMaps[[#This Row],[Type]],RecordCount[],2,0)),VLOOKUP(IDNMaps[[#This Row],[Type]],RecordCount[],7,0),0),"")</f>
        <v/>
      </c>
      <c r="O310" s="6" t="str">
        <f ca="1">IF(IDNMaps[[#This Row],[Name]]="","","("&amp;IDNMaps[[#This Row],[Type]]&amp;") "&amp;IDNMaps[[#This Row],[Name]])</f>
        <v/>
      </c>
      <c r="P310" s="6" t="str">
        <f ca="1">IFERROR(VLOOKUP(IDNMaps[[#This Row],[Primary]],INDIRECT(VLOOKUP(IDNMaps[[#This Row],[Type]],RecordCount[],2,0)),VLOOKUP(IDNMaps[[#This Row],[Type]],RecordCount[],8,0),0),"")</f>
        <v/>
      </c>
    </row>
    <row r="311" spans="10:16" x14ac:dyDescent="0.25">
      <c r="J311" s="11">
        <f t="shared" si="4"/>
        <v>310</v>
      </c>
      <c r="K31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1" s="6" t="str">
        <f ca="1">IF(IDNMaps[[#This Row],[Type]]="","",COUNTIF($K$1:IDNMaps[[#This Row],[Type]],IDNMaps[[#This Row],[Type]]))</f>
        <v/>
      </c>
      <c r="M311" s="6" t="str">
        <f ca="1">IFERROR(VLOOKUP(IDNMaps[[#This Row],[Type]],RecordCount[],6,0)&amp;"-"&amp;IDNMaps[[#This Row],[Type Count]],"")</f>
        <v/>
      </c>
      <c r="N311" s="6" t="str">
        <f ca="1">IFERROR(VLOOKUP(IDNMaps[[#This Row],[Primary]],INDIRECT(VLOOKUP(IDNMaps[[#This Row],[Type]],RecordCount[],2,0)),VLOOKUP(IDNMaps[[#This Row],[Type]],RecordCount[],7,0),0),"")</f>
        <v/>
      </c>
      <c r="O311" s="6" t="str">
        <f ca="1">IF(IDNMaps[[#This Row],[Name]]="","","("&amp;IDNMaps[[#This Row],[Type]]&amp;") "&amp;IDNMaps[[#This Row],[Name]])</f>
        <v/>
      </c>
      <c r="P311" s="6" t="str">
        <f ca="1">IFERROR(VLOOKUP(IDNMaps[[#This Row],[Primary]],INDIRECT(VLOOKUP(IDNMaps[[#This Row],[Type]],RecordCount[],2,0)),VLOOKUP(IDNMaps[[#This Row],[Type]],RecordCount[],8,0),0),"")</f>
        <v/>
      </c>
    </row>
    <row r="312" spans="10:16" x14ac:dyDescent="0.25">
      <c r="J312" s="11">
        <f t="shared" si="4"/>
        <v>311</v>
      </c>
      <c r="K31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2" s="6" t="str">
        <f ca="1">IF(IDNMaps[[#This Row],[Type]]="","",COUNTIF($K$1:IDNMaps[[#This Row],[Type]],IDNMaps[[#This Row],[Type]]))</f>
        <v/>
      </c>
      <c r="M312" s="6" t="str">
        <f ca="1">IFERROR(VLOOKUP(IDNMaps[[#This Row],[Type]],RecordCount[],6,0)&amp;"-"&amp;IDNMaps[[#This Row],[Type Count]],"")</f>
        <v/>
      </c>
      <c r="N312" s="6" t="str">
        <f ca="1">IFERROR(VLOOKUP(IDNMaps[[#This Row],[Primary]],INDIRECT(VLOOKUP(IDNMaps[[#This Row],[Type]],RecordCount[],2,0)),VLOOKUP(IDNMaps[[#This Row],[Type]],RecordCount[],7,0),0),"")</f>
        <v/>
      </c>
      <c r="O312" s="6" t="str">
        <f ca="1">IF(IDNMaps[[#This Row],[Name]]="","","("&amp;IDNMaps[[#This Row],[Type]]&amp;") "&amp;IDNMaps[[#This Row],[Name]])</f>
        <v/>
      </c>
      <c r="P312" s="6" t="str">
        <f ca="1">IFERROR(VLOOKUP(IDNMaps[[#This Row],[Primary]],INDIRECT(VLOOKUP(IDNMaps[[#This Row],[Type]],RecordCount[],2,0)),VLOOKUP(IDNMaps[[#This Row],[Type]],RecordCount[],8,0),0),"")</f>
        <v/>
      </c>
    </row>
    <row r="313" spans="10:16" x14ac:dyDescent="0.25">
      <c r="J313" s="11">
        <f t="shared" si="4"/>
        <v>312</v>
      </c>
      <c r="K31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3" s="6" t="str">
        <f ca="1">IF(IDNMaps[[#This Row],[Type]]="","",COUNTIF($K$1:IDNMaps[[#This Row],[Type]],IDNMaps[[#This Row],[Type]]))</f>
        <v/>
      </c>
      <c r="M313" s="6" t="str">
        <f ca="1">IFERROR(VLOOKUP(IDNMaps[[#This Row],[Type]],RecordCount[],6,0)&amp;"-"&amp;IDNMaps[[#This Row],[Type Count]],"")</f>
        <v/>
      </c>
      <c r="N313" s="6" t="str">
        <f ca="1">IFERROR(VLOOKUP(IDNMaps[[#This Row],[Primary]],INDIRECT(VLOOKUP(IDNMaps[[#This Row],[Type]],RecordCount[],2,0)),VLOOKUP(IDNMaps[[#This Row],[Type]],RecordCount[],7,0),0),"")</f>
        <v/>
      </c>
      <c r="O313" s="6" t="str">
        <f ca="1">IF(IDNMaps[[#This Row],[Name]]="","","("&amp;IDNMaps[[#This Row],[Type]]&amp;") "&amp;IDNMaps[[#This Row],[Name]])</f>
        <v/>
      </c>
      <c r="P313" s="6" t="str">
        <f ca="1">IFERROR(VLOOKUP(IDNMaps[[#This Row],[Primary]],INDIRECT(VLOOKUP(IDNMaps[[#This Row],[Type]],RecordCount[],2,0)),VLOOKUP(IDNMaps[[#This Row],[Type]],RecordCount[],8,0),0),"")</f>
        <v/>
      </c>
    </row>
    <row r="314" spans="10:16" x14ac:dyDescent="0.25">
      <c r="J314" s="11">
        <f t="shared" si="4"/>
        <v>313</v>
      </c>
      <c r="K31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4" s="6" t="str">
        <f ca="1">IF(IDNMaps[[#This Row],[Type]]="","",COUNTIF($K$1:IDNMaps[[#This Row],[Type]],IDNMaps[[#This Row],[Type]]))</f>
        <v/>
      </c>
      <c r="M314" s="6" t="str">
        <f ca="1">IFERROR(VLOOKUP(IDNMaps[[#This Row],[Type]],RecordCount[],6,0)&amp;"-"&amp;IDNMaps[[#This Row],[Type Count]],"")</f>
        <v/>
      </c>
      <c r="N314" s="6" t="str">
        <f ca="1">IFERROR(VLOOKUP(IDNMaps[[#This Row],[Primary]],INDIRECT(VLOOKUP(IDNMaps[[#This Row],[Type]],RecordCount[],2,0)),VLOOKUP(IDNMaps[[#This Row],[Type]],RecordCount[],7,0),0),"")</f>
        <v/>
      </c>
      <c r="O314" s="6" t="str">
        <f ca="1">IF(IDNMaps[[#This Row],[Name]]="","","("&amp;IDNMaps[[#This Row],[Type]]&amp;") "&amp;IDNMaps[[#This Row],[Name]])</f>
        <v/>
      </c>
      <c r="P314" s="6" t="str">
        <f ca="1">IFERROR(VLOOKUP(IDNMaps[[#This Row],[Primary]],INDIRECT(VLOOKUP(IDNMaps[[#This Row],[Type]],RecordCount[],2,0)),VLOOKUP(IDNMaps[[#This Row],[Type]],RecordCount[],8,0),0),"")</f>
        <v/>
      </c>
    </row>
    <row r="315" spans="10:16" x14ac:dyDescent="0.25">
      <c r="J315" s="11">
        <f t="shared" si="4"/>
        <v>314</v>
      </c>
      <c r="K31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5" s="6" t="str">
        <f ca="1">IF(IDNMaps[[#This Row],[Type]]="","",COUNTIF($K$1:IDNMaps[[#This Row],[Type]],IDNMaps[[#This Row],[Type]]))</f>
        <v/>
      </c>
      <c r="M315" s="6" t="str">
        <f ca="1">IFERROR(VLOOKUP(IDNMaps[[#This Row],[Type]],RecordCount[],6,0)&amp;"-"&amp;IDNMaps[[#This Row],[Type Count]],"")</f>
        <v/>
      </c>
      <c r="N315" s="6" t="str">
        <f ca="1">IFERROR(VLOOKUP(IDNMaps[[#This Row],[Primary]],INDIRECT(VLOOKUP(IDNMaps[[#This Row],[Type]],RecordCount[],2,0)),VLOOKUP(IDNMaps[[#This Row],[Type]],RecordCount[],7,0),0),"")</f>
        <v/>
      </c>
      <c r="O315" s="6" t="str">
        <f ca="1">IF(IDNMaps[[#This Row],[Name]]="","","("&amp;IDNMaps[[#This Row],[Type]]&amp;") "&amp;IDNMaps[[#This Row],[Name]])</f>
        <v/>
      </c>
      <c r="P315" s="6" t="str">
        <f ca="1">IFERROR(VLOOKUP(IDNMaps[[#This Row],[Primary]],INDIRECT(VLOOKUP(IDNMaps[[#This Row],[Type]],RecordCount[],2,0)),VLOOKUP(IDNMaps[[#This Row],[Type]],RecordCount[],8,0),0),"")</f>
        <v/>
      </c>
    </row>
    <row r="316" spans="10:16" x14ac:dyDescent="0.25">
      <c r="J316" s="11">
        <f t="shared" si="4"/>
        <v>315</v>
      </c>
      <c r="K31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6" s="6" t="str">
        <f ca="1">IF(IDNMaps[[#This Row],[Type]]="","",COUNTIF($K$1:IDNMaps[[#This Row],[Type]],IDNMaps[[#This Row],[Type]]))</f>
        <v/>
      </c>
      <c r="M316" s="6" t="str">
        <f ca="1">IFERROR(VLOOKUP(IDNMaps[[#This Row],[Type]],RecordCount[],6,0)&amp;"-"&amp;IDNMaps[[#This Row],[Type Count]],"")</f>
        <v/>
      </c>
      <c r="N316" s="6" t="str">
        <f ca="1">IFERROR(VLOOKUP(IDNMaps[[#This Row],[Primary]],INDIRECT(VLOOKUP(IDNMaps[[#This Row],[Type]],RecordCount[],2,0)),VLOOKUP(IDNMaps[[#This Row],[Type]],RecordCount[],7,0),0),"")</f>
        <v/>
      </c>
      <c r="O316" s="6" t="str">
        <f ca="1">IF(IDNMaps[[#This Row],[Name]]="","","("&amp;IDNMaps[[#This Row],[Type]]&amp;") "&amp;IDNMaps[[#This Row],[Name]])</f>
        <v/>
      </c>
      <c r="P316" s="6" t="str">
        <f ca="1">IFERROR(VLOOKUP(IDNMaps[[#This Row],[Primary]],INDIRECT(VLOOKUP(IDNMaps[[#This Row],[Type]],RecordCount[],2,0)),VLOOKUP(IDNMaps[[#This Row],[Type]],RecordCount[],8,0),0),"")</f>
        <v/>
      </c>
    </row>
    <row r="317" spans="10:16" x14ac:dyDescent="0.25">
      <c r="J317" s="11">
        <f t="shared" si="4"/>
        <v>316</v>
      </c>
      <c r="K31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7" s="6" t="str">
        <f ca="1">IF(IDNMaps[[#This Row],[Type]]="","",COUNTIF($K$1:IDNMaps[[#This Row],[Type]],IDNMaps[[#This Row],[Type]]))</f>
        <v/>
      </c>
      <c r="M317" s="6" t="str">
        <f ca="1">IFERROR(VLOOKUP(IDNMaps[[#This Row],[Type]],RecordCount[],6,0)&amp;"-"&amp;IDNMaps[[#This Row],[Type Count]],"")</f>
        <v/>
      </c>
      <c r="N317" s="6" t="str">
        <f ca="1">IFERROR(VLOOKUP(IDNMaps[[#This Row],[Primary]],INDIRECT(VLOOKUP(IDNMaps[[#This Row],[Type]],RecordCount[],2,0)),VLOOKUP(IDNMaps[[#This Row],[Type]],RecordCount[],7,0),0),"")</f>
        <v/>
      </c>
      <c r="O317" s="6" t="str">
        <f ca="1">IF(IDNMaps[[#This Row],[Name]]="","","("&amp;IDNMaps[[#This Row],[Type]]&amp;") "&amp;IDNMaps[[#This Row],[Name]])</f>
        <v/>
      </c>
      <c r="P317" s="6" t="str">
        <f ca="1">IFERROR(VLOOKUP(IDNMaps[[#This Row],[Primary]],INDIRECT(VLOOKUP(IDNMaps[[#This Row],[Type]],RecordCount[],2,0)),VLOOKUP(IDNMaps[[#This Row],[Type]],RecordCount[],8,0),0),"")</f>
        <v/>
      </c>
    </row>
    <row r="318" spans="10:16" x14ac:dyDescent="0.25">
      <c r="J318" s="11">
        <f t="shared" si="4"/>
        <v>317</v>
      </c>
      <c r="K31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8" s="6" t="str">
        <f ca="1">IF(IDNMaps[[#This Row],[Type]]="","",COUNTIF($K$1:IDNMaps[[#This Row],[Type]],IDNMaps[[#This Row],[Type]]))</f>
        <v/>
      </c>
      <c r="M318" s="6" t="str">
        <f ca="1">IFERROR(VLOOKUP(IDNMaps[[#This Row],[Type]],RecordCount[],6,0)&amp;"-"&amp;IDNMaps[[#This Row],[Type Count]],"")</f>
        <v/>
      </c>
      <c r="N318" s="6" t="str">
        <f ca="1">IFERROR(VLOOKUP(IDNMaps[[#This Row],[Primary]],INDIRECT(VLOOKUP(IDNMaps[[#This Row],[Type]],RecordCount[],2,0)),VLOOKUP(IDNMaps[[#This Row],[Type]],RecordCount[],7,0),0),"")</f>
        <v/>
      </c>
      <c r="O318" s="6" t="str">
        <f ca="1">IF(IDNMaps[[#This Row],[Name]]="","","("&amp;IDNMaps[[#This Row],[Type]]&amp;") "&amp;IDNMaps[[#This Row],[Name]])</f>
        <v/>
      </c>
      <c r="P318" s="6" t="str">
        <f ca="1">IFERROR(VLOOKUP(IDNMaps[[#This Row],[Primary]],INDIRECT(VLOOKUP(IDNMaps[[#This Row],[Type]],RecordCount[],2,0)),VLOOKUP(IDNMaps[[#This Row],[Type]],RecordCount[],8,0),0),"")</f>
        <v/>
      </c>
    </row>
    <row r="319" spans="10:16" x14ac:dyDescent="0.25">
      <c r="J319" s="11">
        <f t="shared" si="4"/>
        <v>318</v>
      </c>
      <c r="K31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9" s="6" t="str">
        <f ca="1">IF(IDNMaps[[#This Row],[Type]]="","",COUNTIF($K$1:IDNMaps[[#This Row],[Type]],IDNMaps[[#This Row],[Type]]))</f>
        <v/>
      </c>
      <c r="M319" s="6" t="str">
        <f ca="1">IFERROR(VLOOKUP(IDNMaps[[#This Row],[Type]],RecordCount[],6,0)&amp;"-"&amp;IDNMaps[[#This Row],[Type Count]],"")</f>
        <v/>
      </c>
      <c r="N319" s="6" t="str">
        <f ca="1">IFERROR(VLOOKUP(IDNMaps[[#This Row],[Primary]],INDIRECT(VLOOKUP(IDNMaps[[#This Row],[Type]],RecordCount[],2,0)),VLOOKUP(IDNMaps[[#This Row],[Type]],RecordCount[],7,0),0),"")</f>
        <v/>
      </c>
      <c r="O319" s="6" t="str">
        <f ca="1">IF(IDNMaps[[#This Row],[Name]]="","","("&amp;IDNMaps[[#This Row],[Type]]&amp;") "&amp;IDNMaps[[#This Row],[Name]])</f>
        <v/>
      </c>
      <c r="P319" s="6" t="str">
        <f ca="1">IFERROR(VLOOKUP(IDNMaps[[#This Row],[Primary]],INDIRECT(VLOOKUP(IDNMaps[[#This Row],[Type]],RecordCount[],2,0)),VLOOKUP(IDNMaps[[#This Row],[Type]],RecordCount[],8,0),0),"")</f>
        <v/>
      </c>
    </row>
    <row r="320" spans="10:16" x14ac:dyDescent="0.25">
      <c r="J320" s="11">
        <f t="shared" si="4"/>
        <v>319</v>
      </c>
      <c r="K32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0" s="6" t="str">
        <f ca="1">IF(IDNMaps[[#This Row],[Type]]="","",COUNTIF($K$1:IDNMaps[[#This Row],[Type]],IDNMaps[[#This Row],[Type]]))</f>
        <v/>
      </c>
      <c r="M320" s="6" t="str">
        <f ca="1">IFERROR(VLOOKUP(IDNMaps[[#This Row],[Type]],RecordCount[],6,0)&amp;"-"&amp;IDNMaps[[#This Row],[Type Count]],"")</f>
        <v/>
      </c>
      <c r="N320" s="6" t="str">
        <f ca="1">IFERROR(VLOOKUP(IDNMaps[[#This Row],[Primary]],INDIRECT(VLOOKUP(IDNMaps[[#This Row],[Type]],RecordCount[],2,0)),VLOOKUP(IDNMaps[[#This Row],[Type]],RecordCount[],7,0),0),"")</f>
        <v/>
      </c>
      <c r="O320" s="6" t="str">
        <f ca="1">IF(IDNMaps[[#This Row],[Name]]="","","("&amp;IDNMaps[[#This Row],[Type]]&amp;") "&amp;IDNMaps[[#This Row],[Name]])</f>
        <v/>
      </c>
      <c r="P320" s="6" t="str">
        <f ca="1">IFERROR(VLOOKUP(IDNMaps[[#This Row],[Primary]],INDIRECT(VLOOKUP(IDNMaps[[#This Row],[Type]],RecordCount[],2,0)),VLOOKUP(IDNMaps[[#This Row],[Type]],RecordCount[],8,0),0),"")</f>
        <v/>
      </c>
    </row>
    <row r="321" spans="10:16" x14ac:dyDescent="0.25">
      <c r="J321" s="11">
        <f t="shared" si="4"/>
        <v>320</v>
      </c>
      <c r="K32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1" s="6" t="str">
        <f ca="1">IF(IDNMaps[[#This Row],[Type]]="","",COUNTIF($K$1:IDNMaps[[#This Row],[Type]],IDNMaps[[#This Row],[Type]]))</f>
        <v/>
      </c>
      <c r="M321" s="6" t="str">
        <f ca="1">IFERROR(VLOOKUP(IDNMaps[[#This Row],[Type]],RecordCount[],6,0)&amp;"-"&amp;IDNMaps[[#This Row],[Type Count]],"")</f>
        <v/>
      </c>
      <c r="N321" s="6" t="str">
        <f ca="1">IFERROR(VLOOKUP(IDNMaps[[#This Row],[Primary]],INDIRECT(VLOOKUP(IDNMaps[[#This Row],[Type]],RecordCount[],2,0)),VLOOKUP(IDNMaps[[#This Row],[Type]],RecordCount[],7,0),0),"")</f>
        <v/>
      </c>
      <c r="O321" s="6" t="str">
        <f ca="1">IF(IDNMaps[[#This Row],[Name]]="","","("&amp;IDNMaps[[#This Row],[Type]]&amp;") "&amp;IDNMaps[[#This Row],[Name]])</f>
        <v/>
      </c>
      <c r="P321" s="6" t="str">
        <f ca="1">IFERROR(VLOOKUP(IDNMaps[[#This Row],[Primary]],INDIRECT(VLOOKUP(IDNMaps[[#This Row],[Type]],RecordCount[],2,0)),VLOOKUP(IDNMaps[[#This Row],[Type]],RecordCount[],8,0),0),"")</f>
        <v/>
      </c>
    </row>
    <row r="322" spans="10:16" x14ac:dyDescent="0.25">
      <c r="J322" s="11">
        <f t="shared" ref="J322:J385" si="5">IFERROR($J321+1,1)</f>
        <v>321</v>
      </c>
      <c r="K32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2" s="6" t="str">
        <f ca="1">IF(IDNMaps[[#This Row],[Type]]="","",COUNTIF($K$1:IDNMaps[[#This Row],[Type]],IDNMaps[[#This Row],[Type]]))</f>
        <v/>
      </c>
      <c r="M322" s="6" t="str">
        <f ca="1">IFERROR(VLOOKUP(IDNMaps[[#This Row],[Type]],RecordCount[],6,0)&amp;"-"&amp;IDNMaps[[#This Row],[Type Count]],"")</f>
        <v/>
      </c>
      <c r="N322" s="6" t="str">
        <f ca="1">IFERROR(VLOOKUP(IDNMaps[[#This Row],[Primary]],INDIRECT(VLOOKUP(IDNMaps[[#This Row],[Type]],RecordCount[],2,0)),VLOOKUP(IDNMaps[[#This Row],[Type]],RecordCount[],7,0),0),"")</f>
        <v/>
      </c>
      <c r="O322" s="6" t="str">
        <f ca="1">IF(IDNMaps[[#This Row],[Name]]="","","("&amp;IDNMaps[[#This Row],[Type]]&amp;") "&amp;IDNMaps[[#This Row],[Name]])</f>
        <v/>
      </c>
      <c r="P322" s="6" t="str">
        <f ca="1">IFERROR(VLOOKUP(IDNMaps[[#This Row],[Primary]],INDIRECT(VLOOKUP(IDNMaps[[#This Row],[Type]],RecordCount[],2,0)),VLOOKUP(IDNMaps[[#This Row],[Type]],RecordCount[],8,0),0),"")</f>
        <v/>
      </c>
    </row>
    <row r="323" spans="10:16" x14ac:dyDescent="0.25">
      <c r="J323" s="11">
        <f t="shared" si="5"/>
        <v>322</v>
      </c>
      <c r="K32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3" s="6" t="str">
        <f ca="1">IF(IDNMaps[[#This Row],[Type]]="","",COUNTIF($K$1:IDNMaps[[#This Row],[Type]],IDNMaps[[#This Row],[Type]]))</f>
        <v/>
      </c>
      <c r="M323" s="6" t="str">
        <f ca="1">IFERROR(VLOOKUP(IDNMaps[[#This Row],[Type]],RecordCount[],6,0)&amp;"-"&amp;IDNMaps[[#This Row],[Type Count]],"")</f>
        <v/>
      </c>
      <c r="N323" s="6" t="str">
        <f ca="1">IFERROR(VLOOKUP(IDNMaps[[#This Row],[Primary]],INDIRECT(VLOOKUP(IDNMaps[[#This Row],[Type]],RecordCount[],2,0)),VLOOKUP(IDNMaps[[#This Row],[Type]],RecordCount[],7,0),0),"")</f>
        <v/>
      </c>
      <c r="O323" s="6" t="str">
        <f ca="1">IF(IDNMaps[[#This Row],[Name]]="","","("&amp;IDNMaps[[#This Row],[Type]]&amp;") "&amp;IDNMaps[[#This Row],[Name]])</f>
        <v/>
      </c>
      <c r="P323" s="6" t="str">
        <f ca="1">IFERROR(VLOOKUP(IDNMaps[[#This Row],[Primary]],INDIRECT(VLOOKUP(IDNMaps[[#This Row],[Type]],RecordCount[],2,0)),VLOOKUP(IDNMaps[[#This Row],[Type]],RecordCount[],8,0),0),"")</f>
        <v/>
      </c>
    </row>
    <row r="324" spans="10:16" x14ac:dyDescent="0.25">
      <c r="J324" s="11">
        <f t="shared" si="5"/>
        <v>323</v>
      </c>
      <c r="K32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4" s="6" t="str">
        <f ca="1">IF(IDNMaps[[#This Row],[Type]]="","",COUNTIF($K$1:IDNMaps[[#This Row],[Type]],IDNMaps[[#This Row],[Type]]))</f>
        <v/>
      </c>
      <c r="M324" s="6" t="str">
        <f ca="1">IFERROR(VLOOKUP(IDNMaps[[#This Row],[Type]],RecordCount[],6,0)&amp;"-"&amp;IDNMaps[[#This Row],[Type Count]],"")</f>
        <v/>
      </c>
      <c r="N324" s="6" t="str">
        <f ca="1">IFERROR(VLOOKUP(IDNMaps[[#This Row],[Primary]],INDIRECT(VLOOKUP(IDNMaps[[#This Row],[Type]],RecordCount[],2,0)),VLOOKUP(IDNMaps[[#This Row],[Type]],RecordCount[],7,0),0),"")</f>
        <v/>
      </c>
      <c r="O324" s="6" t="str">
        <f ca="1">IF(IDNMaps[[#This Row],[Name]]="","","("&amp;IDNMaps[[#This Row],[Type]]&amp;") "&amp;IDNMaps[[#This Row],[Name]])</f>
        <v/>
      </c>
      <c r="P324" s="6" t="str">
        <f ca="1">IFERROR(VLOOKUP(IDNMaps[[#This Row],[Primary]],INDIRECT(VLOOKUP(IDNMaps[[#This Row],[Type]],RecordCount[],2,0)),VLOOKUP(IDNMaps[[#This Row],[Type]],RecordCount[],8,0),0),"")</f>
        <v/>
      </c>
    </row>
    <row r="325" spans="10:16" x14ac:dyDescent="0.25">
      <c r="J325" s="11">
        <f t="shared" si="5"/>
        <v>324</v>
      </c>
      <c r="K32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5" s="6" t="str">
        <f ca="1">IF(IDNMaps[[#This Row],[Type]]="","",COUNTIF($K$1:IDNMaps[[#This Row],[Type]],IDNMaps[[#This Row],[Type]]))</f>
        <v/>
      </c>
      <c r="M325" s="6" t="str">
        <f ca="1">IFERROR(VLOOKUP(IDNMaps[[#This Row],[Type]],RecordCount[],6,0)&amp;"-"&amp;IDNMaps[[#This Row],[Type Count]],"")</f>
        <v/>
      </c>
      <c r="N325" s="6" t="str">
        <f ca="1">IFERROR(VLOOKUP(IDNMaps[[#This Row],[Primary]],INDIRECT(VLOOKUP(IDNMaps[[#This Row],[Type]],RecordCount[],2,0)),VLOOKUP(IDNMaps[[#This Row],[Type]],RecordCount[],7,0),0),"")</f>
        <v/>
      </c>
      <c r="O325" s="6" t="str">
        <f ca="1">IF(IDNMaps[[#This Row],[Name]]="","","("&amp;IDNMaps[[#This Row],[Type]]&amp;") "&amp;IDNMaps[[#This Row],[Name]])</f>
        <v/>
      </c>
      <c r="P325" s="6" t="str">
        <f ca="1">IFERROR(VLOOKUP(IDNMaps[[#This Row],[Primary]],INDIRECT(VLOOKUP(IDNMaps[[#This Row],[Type]],RecordCount[],2,0)),VLOOKUP(IDNMaps[[#This Row],[Type]],RecordCount[],8,0),0),"")</f>
        <v/>
      </c>
    </row>
    <row r="326" spans="10:16" x14ac:dyDescent="0.25">
      <c r="J326" s="11">
        <f t="shared" si="5"/>
        <v>325</v>
      </c>
      <c r="K32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6" s="6" t="str">
        <f ca="1">IF(IDNMaps[[#This Row],[Type]]="","",COUNTIF($K$1:IDNMaps[[#This Row],[Type]],IDNMaps[[#This Row],[Type]]))</f>
        <v/>
      </c>
      <c r="M326" s="6" t="str">
        <f ca="1">IFERROR(VLOOKUP(IDNMaps[[#This Row],[Type]],RecordCount[],6,0)&amp;"-"&amp;IDNMaps[[#This Row],[Type Count]],"")</f>
        <v/>
      </c>
      <c r="N326" s="6" t="str">
        <f ca="1">IFERROR(VLOOKUP(IDNMaps[[#This Row],[Primary]],INDIRECT(VLOOKUP(IDNMaps[[#This Row],[Type]],RecordCount[],2,0)),VLOOKUP(IDNMaps[[#This Row],[Type]],RecordCount[],7,0),0),"")</f>
        <v/>
      </c>
      <c r="O326" s="6" t="str">
        <f ca="1">IF(IDNMaps[[#This Row],[Name]]="","","("&amp;IDNMaps[[#This Row],[Type]]&amp;") "&amp;IDNMaps[[#This Row],[Name]])</f>
        <v/>
      </c>
      <c r="P326" s="6" t="str">
        <f ca="1">IFERROR(VLOOKUP(IDNMaps[[#This Row],[Primary]],INDIRECT(VLOOKUP(IDNMaps[[#This Row],[Type]],RecordCount[],2,0)),VLOOKUP(IDNMaps[[#This Row],[Type]],RecordCount[],8,0),0),"")</f>
        <v/>
      </c>
    </row>
    <row r="327" spans="10:16" x14ac:dyDescent="0.25">
      <c r="J327" s="11">
        <f t="shared" si="5"/>
        <v>326</v>
      </c>
      <c r="K32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7" s="6" t="str">
        <f ca="1">IF(IDNMaps[[#This Row],[Type]]="","",COUNTIF($K$1:IDNMaps[[#This Row],[Type]],IDNMaps[[#This Row],[Type]]))</f>
        <v/>
      </c>
      <c r="M327" s="6" t="str">
        <f ca="1">IFERROR(VLOOKUP(IDNMaps[[#This Row],[Type]],RecordCount[],6,0)&amp;"-"&amp;IDNMaps[[#This Row],[Type Count]],"")</f>
        <v/>
      </c>
      <c r="N327" s="6" t="str">
        <f ca="1">IFERROR(VLOOKUP(IDNMaps[[#This Row],[Primary]],INDIRECT(VLOOKUP(IDNMaps[[#This Row],[Type]],RecordCount[],2,0)),VLOOKUP(IDNMaps[[#This Row],[Type]],RecordCount[],7,0),0),"")</f>
        <v/>
      </c>
      <c r="O327" s="6" t="str">
        <f ca="1">IF(IDNMaps[[#This Row],[Name]]="","","("&amp;IDNMaps[[#This Row],[Type]]&amp;") "&amp;IDNMaps[[#This Row],[Name]])</f>
        <v/>
      </c>
      <c r="P327" s="6" t="str">
        <f ca="1">IFERROR(VLOOKUP(IDNMaps[[#This Row],[Primary]],INDIRECT(VLOOKUP(IDNMaps[[#This Row],[Type]],RecordCount[],2,0)),VLOOKUP(IDNMaps[[#This Row],[Type]],RecordCount[],8,0),0),"")</f>
        <v/>
      </c>
    </row>
    <row r="328" spans="10:16" x14ac:dyDescent="0.25">
      <c r="J328" s="11">
        <f t="shared" si="5"/>
        <v>327</v>
      </c>
      <c r="K32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8" s="6" t="str">
        <f ca="1">IF(IDNMaps[[#This Row],[Type]]="","",COUNTIF($K$1:IDNMaps[[#This Row],[Type]],IDNMaps[[#This Row],[Type]]))</f>
        <v/>
      </c>
      <c r="M328" s="6" t="str">
        <f ca="1">IFERROR(VLOOKUP(IDNMaps[[#This Row],[Type]],RecordCount[],6,0)&amp;"-"&amp;IDNMaps[[#This Row],[Type Count]],"")</f>
        <v/>
      </c>
      <c r="N328" s="6" t="str">
        <f ca="1">IFERROR(VLOOKUP(IDNMaps[[#This Row],[Primary]],INDIRECT(VLOOKUP(IDNMaps[[#This Row],[Type]],RecordCount[],2,0)),VLOOKUP(IDNMaps[[#This Row],[Type]],RecordCount[],7,0),0),"")</f>
        <v/>
      </c>
      <c r="O328" s="6" t="str">
        <f ca="1">IF(IDNMaps[[#This Row],[Name]]="","","("&amp;IDNMaps[[#This Row],[Type]]&amp;") "&amp;IDNMaps[[#This Row],[Name]])</f>
        <v/>
      </c>
      <c r="P328" s="6" t="str">
        <f ca="1">IFERROR(VLOOKUP(IDNMaps[[#This Row],[Primary]],INDIRECT(VLOOKUP(IDNMaps[[#This Row],[Type]],RecordCount[],2,0)),VLOOKUP(IDNMaps[[#This Row],[Type]],RecordCount[],8,0),0),"")</f>
        <v/>
      </c>
    </row>
    <row r="329" spans="10:16" x14ac:dyDescent="0.25">
      <c r="J329" s="11">
        <f t="shared" si="5"/>
        <v>328</v>
      </c>
      <c r="K32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9" s="6" t="str">
        <f ca="1">IF(IDNMaps[[#This Row],[Type]]="","",COUNTIF($K$1:IDNMaps[[#This Row],[Type]],IDNMaps[[#This Row],[Type]]))</f>
        <v/>
      </c>
      <c r="M329" s="6" t="str">
        <f ca="1">IFERROR(VLOOKUP(IDNMaps[[#This Row],[Type]],RecordCount[],6,0)&amp;"-"&amp;IDNMaps[[#This Row],[Type Count]],"")</f>
        <v/>
      </c>
      <c r="N329" s="6" t="str">
        <f ca="1">IFERROR(VLOOKUP(IDNMaps[[#This Row],[Primary]],INDIRECT(VLOOKUP(IDNMaps[[#This Row],[Type]],RecordCount[],2,0)),VLOOKUP(IDNMaps[[#This Row],[Type]],RecordCount[],7,0),0),"")</f>
        <v/>
      </c>
      <c r="O329" s="6" t="str">
        <f ca="1">IF(IDNMaps[[#This Row],[Name]]="","","("&amp;IDNMaps[[#This Row],[Type]]&amp;") "&amp;IDNMaps[[#This Row],[Name]])</f>
        <v/>
      </c>
      <c r="P329" s="6" t="str">
        <f ca="1">IFERROR(VLOOKUP(IDNMaps[[#This Row],[Primary]],INDIRECT(VLOOKUP(IDNMaps[[#This Row],[Type]],RecordCount[],2,0)),VLOOKUP(IDNMaps[[#This Row],[Type]],RecordCount[],8,0),0),"")</f>
        <v/>
      </c>
    </row>
    <row r="330" spans="10:16" x14ac:dyDescent="0.25">
      <c r="J330" s="11">
        <f t="shared" si="5"/>
        <v>329</v>
      </c>
      <c r="K33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0" s="6" t="str">
        <f ca="1">IF(IDNMaps[[#This Row],[Type]]="","",COUNTIF($K$1:IDNMaps[[#This Row],[Type]],IDNMaps[[#This Row],[Type]]))</f>
        <v/>
      </c>
      <c r="M330" s="6" t="str">
        <f ca="1">IFERROR(VLOOKUP(IDNMaps[[#This Row],[Type]],RecordCount[],6,0)&amp;"-"&amp;IDNMaps[[#This Row],[Type Count]],"")</f>
        <v/>
      </c>
      <c r="N330" s="6" t="str">
        <f ca="1">IFERROR(VLOOKUP(IDNMaps[[#This Row],[Primary]],INDIRECT(VLOOKUP(IDNMaps[[#This Row],[Type]],RecordCount[],2,0)),VLOOKUP(IDNMaps[[#This Row],[Type]],RecordCount[],7,0),0),"")</f>
        <v/>
      </c>
      <c r="O330" s="6" t="str">
        <f ca="1">IF(IDNMaps[[#This Row],[Name]]="","","("&amp;IDNMaps[[#This Row],[Type]]&amp;") "&amp;IDNMaps[[#This Row],[Name]])</f>
        <v/>
      </c>
      <c r="P330" s="6" t="str">
        <f ca="1">IFERROR(VLOOKUP(IDNMaps[[#This Row],[Primary]],INDIRECT(VLOOKUP(IDNMaps[[#This Row],[Type]],RecordCount[],2,0)),VLOOKUP(IDNMaps[[#This Row],[Type]],RecordCount[],8,0),0),"")</f>
        <v/>
      </c>
    </row>
    <row r="331" spans="10:16" x14ac:dyDescent="0.25">
      <c r="J331" s="11">
        <f t="shared" si="5"/>
        <v>330</v>
      </c>
      <c r="K33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1" s="6" t="str">
        <f ca="1">IF(IDNMaps[[#This Row],[Type]]="","",COUNTIF($K$1:IDNMaps[[#This Row],[Type]],IDNMaps[[#This Row],[Type]]))</f>
        <v/>
      </c>
      <c r="M331" s="6" t="str">
        <f ca="1">IFERROR(VLOOKUP(IDNMaps[[#This Row],[Type]],RecordCount[],6,0)&amp;"-"&amp;IDNMaps[[#This Row],[Type Count]],"")</f>
        <v/>
      </c>
      <c r="N331" s="6" t="str">
        <f ca="1">IFERROR(VLOOKUP(IDNMaps[[#This Row],[Primary]],INDIRECT(VLOOKUP(IDNMaps[[#This Row],[Type]],RecordCount[],2,0)),VLOOKUP(IDNMaps[[#This Row],[Type]],RecordCount[],7,0),0),"")</f>
        <v/>
      </c>
      <c r="O331" s="6" t="str">
        <f ca="1">IF(IDNMaps[[#This Row],[Name]]="","","("&amp;IDNMaps[[#This Row],[Type]]&amp;") "&amp;IDNMaps[[#This Row],[Name]])</f>
        <v/>
      </c>
      <c r="P331" s="6" t="str">
        <f ca="1">IFERROR(VLOOKUP(IDNMaps[[#This Row],[Primary]],INDIRECT(VLOOKUP(IDNMaps[[#This Row],[Type]],RecordCount[],2,0)),VLOOKUP(IDNMaps[[#This Row],[Type]],RecordCount[],8,0),0),"")</f>
        <v/>
      </c>
    </row>
    <row r="332" spans="10:16" x14ac:dyDescent="0.25">
      <c r="J332" s="11">
        <f t="shared" si="5"/>
        <v>331</v>
      </c>
      <c r="K33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2" s="6" t="str">
        <f ca="1">IF(IDNMaps[[#This Row],[Type]]="","",COUNTIF($K$1:IDNMaps[[#This Row],[Type]],IDNMaps[[#This Row],[Type]]))</f>
        <v/>
      </c>
      <c r="M332" s="6" t="str">
        <f ca="1">IFERROR(VLOOKUP(IDNMaps[[#This Row],[Type]],RecordCount[],6,0)&amp;"-"&amp;IDNMaps[[#This Row],[Type Count]],"")</f>
        <v/>
      </c>
      <c r="N332" s="6" t="str">
        <f ca="1">IFERROR(VLOOKUP(IDNMaps[[#This Row],[Primary]],INDIRECT(VLOOKUP(IDNMaps[[#This Row],[Type]],RecordCount[],2,0)),VLOOKUP(IDNMaps[[#This Row],[Type]],RecordCount[],7,0),0),"")</f>
        <v/>
      </c>
      <c r="O332" s="6" t="str">
        <f ca="1">IF(IDNMaps[[#This Row],[Name]]="","","("&amp;IDNMaps[[#This Row],[Type]]&amp;") "&amp;IDNMaps[[#This Row],[Name]])</f>
        <v/>
      </c>
      <c r="P332" s="6" t="str">
        <f ca="1">IFERROR(VLOOKUP(IDNMaps[[#This Row],[Primary]],INDIRECT(VLOOKUP(IDNMaps[[#This Row],[Type]],RecordCount[],2,0)),VLOOKUP(IDNMaps[[#This Row],[Type]],RecordCount[],8,0),0),"")</f>
        <v/>
      </c>
    </row>
    <row r="333" spans="10:16" x14ac:dyDescent="0.25">
      <c r="J333" s="11">
        <f t="shared" si="5"/>
        <v>332</v>
      </c>
      <c r="K33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3" s="6" t="str">
        <f ca="1">IF(IDNMaps[[#This Row],[Type]]="","",COUNTIF($K$1:IDNMaps[[#This Row],[Type]],IDNMaps[[#This Row],[Type]]))</f>
        <v/>
      </c>
      <c r="M333" s="6" t="str">
        <f ca="1">IFERROR(VLOOKUP(IDNMaps[[#This Row],[Type]],RecordCount[],6,0)&amp;"-"&amp;IDNMaps[[#This Row],[Type Count]],"")</f>
        <v/>
      </c>
      <c r="N333" s="6" t="str">
        <f ca="1">IFERROR(VLOOKUP(IDNMaps[[#This Row],[Primary]],INDIRECT(VLOOKUP(IDNMaps[[#This Row],[Type]],RecordCount[],2,0)),VLOOKUP(IDNMaps[[#This Row],[Type]],RecordCount[],7,0),0),"")</f>
        <v/>
      </c>
      <c r="O333" s="6" t="str">
        <f ca="1">IF(IDNMaps[[#This Row],[Name]]="","","("&amp;IDNMaps[[#This Row],[Type]]&amp;") "&amp;IDNMaps[[#This Row],[Name]])</f>
        <v/>
      </c>
      <c r="P333" s="6" t="str">
        <f ca="1">IFERROR(VLOOKUP(IDNMaps[[#This Row],[Primary]],INDIRECT(VLOOKUP(IDNMaps[[#This Row],[Type]],RecordCount[],2,0)),VLOOKUP(IDNMaps[[#This Row],[Type]],RecordCount[],8,0),0),"")</f>
        <v/>
      </c>
    </row>
    <row r="334" spans="10:16" x14ac:dyDescent="0.25">
      <c r="J334" s="11">
        <f t="shared" si="5"/>
        <v>333</v>
      </c>
      <c r="K33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4" s="6" t="str">
        <f ca="1">IF(IDNMaps[[#This Row],[Type]]="","",COUNTIF($K$1:IDNMaps[[#This Row],[Type]],IDNMaps[[#This Row],[Type]]))</f>
        <v/>
      </c>
      <c r="M334" s="6" t="str">
        <f ca="1">IFERROR(VLOOKUP(IDNMaps[[#This Row],[Type]],RecordCount[],6,0)&amp;"-"&amp;IDNMaps[[#This Row],[Type Count]],"")</f>
        <v/>
      </c>
      <c r="N334" s="6" t="str">
        <f ca="1">IFERROR(VLOOKUP(IDNMaps[[#This Row],[Primary]],INDIRECT(VLOOKUP(IDNMaps[[#This Row],[Type]],RecordCount[],2,0)),VLOOKUP(IDNMaps[[#This Row],[Type]],RecordCount[],7,0),0),"")</f>
        <v/>
      </c>
      <c r="O334" s="6" t="str">
        <f ca="1">IF(IDNMaps[[#This Row],[Name]]="","","("&amp;IDNMaps[[#This Row],[Type]]&amp;") "&amp;IDNMaps[[#This Row],[Name]])</f>
        <v/>
      </c>
      <c r="P334" s="6" t="str">
        <f ca="1">IFERROR(VLOOKUP(IDNMaps[[#This Row],[Primary]],INDIRECT(VLOOKUP(IDNMaps[[#This Row],[Type]],RecordCount[],2,0)),VLOOKUP(IDNMaps[[#This Row],[Type]],RecordCount[],8,0),0),"")</f>
        <v/>
      </c>
    </row>
    <row r="335" spans="10:16" x14ac:dyDescent="0.25">
      <c r="J335" s="11">
        <f t="shared" si="5"/>
        <v>334</v>
      </c>
      <c r="K33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5" s="6" t="str">
        <f ca="1">IF(IDNMaps[[#This Row],[Type]]="","",COUNTIF($K$1:IDNMaps[[#This Row],[Type]],IDNMaps[[#This Row],[Type]]))</f>
        <v/>
      </c>
      <c r="M335" s="6" t="str">
        <f ca="1">IFERROR(VLOOKUP(IDNMaps[[#This Row],[Type]],RecordCount[],6,0)&amp;"-"&amp;IDNMaps[[#This Row],[Type Count]],"")</f>
        <v/>
      </c>
      <c r="N335" s="6" t="str">
        <f ca="1">IFERROR(VLOOKUP(IDNMaps[[#This Row],[Primary]],INDIRECT(VLOOKUP(IDNMaps[[#This Row],[Type]],RecordCount[],2,0)),VLOOKUP(IDNMaps[[#This Row],[Type]],RecordCount[],7,0),0),"")</f>
        <v/>
      </c>
      <c r="O335" s="6" t="str">
        <f ca="1">IF(IDNMaps[[#This Row],[Name]]="","","("&amp;IDNMaps[[#This Row],[Type]]&amp;") "&amp;IDNMaps[[#This Row],[Name]])</f>
        <v/>
      </c>
      <c r="P335" s="6" t="str">
        <f ca="1">IFERROR(VLOOKUP(IDNMaps[[#This Row],[Primary]],INDIRECT(VLOOKUP(IDNMaps[[#This Row],[Type]],RecordCount[],2,0)),VLOOKUP(IDNMaps[[#This Row],[Type]],RecordCount[],8,0),0),"")</f>
        <v/>
      </c>
    </row>
    <row r="336" spans="10:16" x14ac:dyDescent="0.25">
      <c r="J336" s="11">
        <f t="shared" si="5"/>
        <v>335</v>
      </c>
      <c r="K33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6" s="6" t="str">
        <f ca="1">IF(IDNMaps[[#This Row],[Type]]="","",COUNTIF($K$1:IDNMaps[[#This Row],[Type]],IDNMaps[[#This Row],[Type]]))</f>
        <v/>
      </c>
      <c r="M336" s="6" t="str">
        <f ca="1">IFERROR(VLOOKUP(IDNMaps[[#This Row],[Type]],RecordCount[],6,0)&amp;"-"&amp;IDNMaps[[#This Row],[Type Count]],"")</f>
        <v/>
      </c>
      <c r="N336" s="6" t="str">
        <f ca="1">IFERROR(VLOOKUP(IDNMaps[[#This Row],[Primary]],INDIRECT(VLOOKUP(IDNMaps[[#This Row],[Type]],RecordCount[],2,0)),VLOOKUP(IDNMaps[[#This Row],[Type]],RecordCount[],7,0),0),"")</f>
        <v/>
      </c>
      <c r="O336" s="6" t="str">
        <f ca="1">IF(IDNMaps[[#This Row],[Name]]="","","("&amp;IDNMaps[[#This Row],[Type]]&amp;") "&amp;IDNMaps[[#This Row],[Name]])</f>
        <v/>
      </c>
      <c r="P336" s="6" t="str">
        <f ca="1">IFERROR(VLOOKUP(IDNMaps[[#This Row],[Primary]],INDIRECT(VLOOKUP(IDNMaps[[#This Row],[Type]],RecordCount[],2,0)),VLOOKUP(IDNMaps[[#This Row],[Type]],RecordCount[],8,0),0),"")</f>
        <v/>
      </c>
    </row>
    <row r="337" spans="10:16" x14ac:dyDescent="0.25">
      <c r="J337" s="11">
        <f t="shared" si="5"/>
        <v>336</v>
      </c>
      <c r="K33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7" s="6" t="str">
        <f ca="1">IF(IDNMaps[[#This Row],[Type]]="","",COUNTIF($K$1:IDNMaps[[#This Row],[Type]],IDNMaps[[#This Row],[Type]]))</f>
        <v/>
      </c>
      <c r="M337" s="6" t="str">
        <f ca="1">IFERROR(VLOOKUP(IDNMaps[[#This Row],[Type]],RecordCount[],6,0)&amp;"-"&amp;IDNMaps[[#This Row],[Type Count]],"")</f>
        <v/>
      </c>
      <c r="N337" s="6" t="str">
        <f ca="1">IFERROR(VLOOKUP(IDNMaps[[#This Row],[Primary]],INDIRECT(VLOOKUP(IDNMaps[[#This Row],[Type]],RecordCount[],2,0)),VLOOKUP(IDNMaps[[#This Row],[Type]],RecordCount[],7,0),0),"")</f>
        <v/>
      </c>
      <c r="O337" s="6" t="str">
        <f ca="1">IF(IDNMaps[[#This Row],[Name]]="","","("&amp;IDNMaps[[#This Row],[Type]]&amp;") "&amp;IDNMaps[[#This Row],[Name]])</f>
        <v/>
      </c>
      <c r="P337" s="6" t="str">
        <f ca="1">IFERROR(VLOOKUP(IDNMaps[[#This Row],[Primary]],INDIRECT(VLOOKUP(IDNMaps[[#This Row],[Type]],RecordCount[],2,0)),VLOOKUP(IDNMaps[[#This Row],[Type]],RecordCount[],8,0),0),"")</f>
        <v/>
      </c>
    </row>
    <row r="338" spans="10:16" x14ac:dyDescent="0.25">
      <c r="J338" s="11">
        <f t="shared" si="5"/>
        <v>337</v>
      </c>
      <c r="K33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8" s="6" t="str">
        <f ca="1">IF(IDNMaps[[#This Row],[Type]]="","",COUNTIF($K$1:IDNMaps[[#This Row],[Type]],IDNMaps[[#This Row],[Type]]))</f>
        <v/>
      </c>
      <c r="M338" s="6" t="str">
        <f ca="1">IFERROR(VLOOKUP(IDNMaps[[#This Row],[Type]],RecordCount[],6,0)&amp;"-"&amp;IDNMaps[[#This Row],[Type Count]],"")</f>
        <v/>
      </c>
      <c r="N338" s="6" t="str">
        <f ca="1">IFERROR(VLOOKUP(IDNMaps[[#This Row],[Primary]],INDIRECT(VLOOKUP(IDNMaps[[#This Row],[Type]],RecordCount[],2,0)),VLOOKUP(IDNMaps[[#This Row],[Type]],RecordCount[],7,0),0),"")</f>
        <v/>
      </c>
      <c r="O338" s="6" t="str">
        <f ca="1">IF(IDNMaps[[#This Row],[Name]]="","","("&amp;IDNMaps[[#This Row],[Type]]&amp;") "&amp;IDNMaps[[#This Row],[Name]])</f>
        <v/>
      </c>
      <c r="P338" s="6" t="str">
        <f ca="1">IFERROR(VLOOKUP(IDNMaps[[#This Row],[Primary]],INDIRECT(VLOOKUP(IDNMaps[[#This Row],[Type]],RecordCount[],2,0)),VLOOKUP(IDNMaps[[#This Row],[Type]],RecordCount[],8,0),0),"")</f>
        <v/>
      </c>
    </row>
    <row r="339" spans="10:16" x14ac:dyDescent="0.25">
      <c r="J339" s="11">
        <f t="shared" si="5"/>
        <v>338</v>
      </c>
      <c r="K33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9" s="6" t="str">
        <f ca="1">IF(IDNMaps[[#This Row],[Type]]="","",COUNTIF($K$1:IDNMaps[[#This Row],[Type]],IDNMaps[[#This Row],[Type]]))</f>
        <v/>
      </c>
      <c r="M339" s="6" t="str">
        <f ca="1">IFERROR(VLOOKUP(IDNMaps[[#This Row],[Type]],RecordCount[],6,0)&amp;"-"&amp;IDNMaps[[#This Row],[Type Count]],"")</f>
        <v/>
      </c>
      <c r="N339" s="6" t="str">
        <f ca="1">IFERROR(VLOOKUP(IDNMaps[[#This Row],[Primary]],INDIRECT(VLOOKUP(IDNMaps[[#This Row],[Type]],RecordCount[],2,0)),VLOOKUP(IDNMaps[[#This Row],[Type]],RecordCount[],7,0),0),"")</f>
        <v/>
      </c>
      <c r="O339" s="6" t="str">
        <f ca="1">IF(IDNMaps[[#This Row],[Name]]="","","("&amp;IDNMaps[[#This Row],[Type]]&amp;") "&amp;IDNMaps[[#This Row],[Name]])</f>
        <v/>
      </c>
      <c r="P339" s="6" t="str">
        <f ca="1">IFERROR(VLOOKUP(IDNMaps[[#This Row],[Primary]],INDIRECT(VLOOKUP(IDNMaps[[#This Row],[Type]],RecordCount[],2,0)),VLOOKUP(IDNMaps[[#This Row],[Type]],RecordCount[],8,0),0),"")</f>
        <v/>
      </c>
    </row>
    <row r="340" spans="10:16" x14ac:dyDescent="0.25">
      <c r="J340" s="11">
        <f t="shared" si="5"/>
        <v>339</v>
      </c>
      <c r="K34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0" s="6" t="str">
        <f ca="1">IF(IDNMaps[[#This Row],[Type]]="","",COUNTIF($K$1:IDNMaps[[#This Row],[Type]],IDNMaps[[#This Row],[Type]]))</f>
        <v/>
      </c>
      <c r="M340" s="6" t="str">
        <f ca="1">IFERROR(VLOOKUP(IDNMaps[[#This Row],[Type]],RecordCount[],6,0)&amp;"-"&amp;IDNMaps[[#This Row],[Type Count]],"")</f>
        <v/>
      </c>
      <c r="N340" s="6" t="str">
        <f ca="1">IFERROR(VLOOKUP(IDNMaps[[#This Row],[Primary]],INDIRECT(VLOOKUP(IDNMaps[[#This Row],[Type]],RecordCount[],2,0)),VLOOKUP(IDNMaps[[#This Row],[Type]],RecordCount[],7,0),0),"")</f>
        <v/>
      </c>
      <c r="O340" s="6" t="str">
        <f ca="1">IF(IDNMaps[[#This Row],[Name]]="","","("&amp;IDNMaps[[#This Row],[Type]]&amp;") "&amp;IDNMaps[[#This Row],[Name]])</f>
        <v/>
      </c>
      <c r="P340" s="6" t="str">
        <f ca="1">IFERROR(VLOOKUP(IDNMaps[[#This Row],[Primary]],INDIRECT(VLOOKUP(IDNMaps[[#This Row],[Type]],RecordCount[],2,0)),VLOOKUP(IDNMaps[[#This Row],[Type]],RecordCount[],8,0),0),"")</f>
        <v/>
      </c>
    </row>
    <row r="341" spans="10:16" x14ac:dyDescent="0.25">
      <c r="J341" s="11">
        <f t="shared" si="5"/>
        <v>340</v>
      </c>
      <c r="K34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1" s="6" t="str">
        <f ca="1">IF(IDNMaps[[#This Row],[Type]]="","",COUNTIF($K$1:IDNMaps[[#This Row],[Type]],IDNMaps[[#This Row],[Type]]))</f>
        <v/>
      </c>
      <c r="M341" s="6" t="str">
        <f ca="1">IFERROR(VLOOKUP(IDNMaps[[#This Row],[Type]],RecordCount[],6,0)&amp;"-"&amp;IDNMaps[[#This Row],[Type Count]],"")</f>
        <v/>
      </c>
      <c r="N341" s="6" t="str">
        <f ca="1">IFERROR(VLOOKUP(IDNMaps[[#This Row],[Primary]],INDIRECT(VLOOKUP(IDNMaps[[#This Row],[Type]],RecordCount[],2,0)),VLOOKUP(IDNMaps[[#This Row],[Type]],RecordCount[],7,0),0),"")</f>
        <v/>
      </c>
      <c r="O341" s="6" t="str">
        <f ca="1">IF(IDNMaps[[#This Row],[Name]]="","","("&amp;IDNMaps[[#This Row],[Type]]&amp;") "&amp;IDNMaps[[#This Row],[Name]])</f>
        <v/>
      </c>
      <c r="P341" s="6" t="str">
        <f ca="1">IFERROR(VLOOKUP(IDNMaps[[#This Row],[Primary]],INDIRECT(VLOOKUP(IDNMaps[[#This Row],[Type]],RecordCount[],2,0)),VLOOKUP(IDNMaps[[#This Row],[Type]],RecordCount[],8,0),0),"")</f>
        <v/>
      </c>
    </row>
    <row r="342" spans="10:16" x14ac:dyDescent="0.25">
      <c r="J342" s="11">
        <f t="shared" si="5"/>
        <v>341</v>
      </c>
      <c r="K34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2" s="6" t="str">
        <f ca="1">IF(IDNMaps[[#This Row],[Type]]="","",COUNTIF($K$1:IDNMaps[[#This Row],[Type]],IDNMaps[[#This Row],[Type]]))</f>
        <v/>
      </c>
      <c r="M342" s="6" t="str">
        <f ca="1">IFERROR(VLOOKUP(IDNMaps[[#This Row],[Type]],RecordCount[],6,0)&amp;"-"&amp;IDNMaps[[#This Row],[Type Count]],"")</f>
        <v/>
      </c>
      <c r="N342" s="6" t="str">
        <f ca="1">IFERROR(VLOOKUP(IDNMaps[[#This Row],[Primary]],INDIRECT(VLOOKUP(IDNMaps[[#This Row],[Type]],RecordCount[],2,0)),VLOOKUP(IDNMaps[[#This Row],[Type]],RecordCount[],7,0),0),"")</f>
        <v/>
      </c>
      <c r="O342" s="6" t="str">
        <f ca="1">IF(IDNMaps[[#This Row],[Name]]="","","("&amp;IDNMaps[[#This Row],[Type]]&amp;") "&amp;IDNMaps[[#This Row],[Name]])</f>
        <v/>
      </c>
      <c r="P342" s="6" t="str">
        <f ca="1">IFERROR(VLOOKUP(IDNMaps[[#This Row],[Primary]],INDIRECT(VLOOKUP(IDNMaps[[#This Row],[Type]],RecordCount[],2,0)),VLOOKUP(IDNMaps[[#This Row],[Type]],RecordCount[],8,0),0),"")</f>
        <v/>
      </c>
    </row>
    <row r="343" spans="10:16" x14ac:dyDescent="0.25">
      <c r="J343" s="11">
        <f t="shared" si="5"/>
        <v>342</v>
      </c>
      <c r="K34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3" s="6" t="str">
        <f ca="1">IF(IDNMaps[[#This Row],[Type]]="","",COUNTIF($K$1:IDNMaps[[#This Row],[Type]],IDNMaps[[#This Row],[Type]]))</f>
        <v/>
      </c>
      <c r="M343" s="6" t="str">
        <f ca="1">IFERROR(VLOOKUP(IDNMaps[[#This Row],[Type]],RecordCount[],6,0)&amp;"-"&amp;IDNMaps[[#This Row],[Type Count]],"")</f>
        <v/>
      </c>
      <c r="N343" s="6" t="str">
        <f ca="1">IFERROR(VLOOKUP(IDNMaps[[#This Row],[Primary]],INDIRECT(VLOOKUP(IDNMaps[[#This Row],[Type]],RecordCount[],2,0)),VLOOKUP(IDNMaps[[#This Row],[Type]],RecordCount[],7,0),0),"")</f>
        <v/>
      </c>
      <c r="O343" s="6" t="str">
        <f ca="1">IF(IDNMaps[[#This Row],[Name]]="","","("&amp;IDNMaps[[#This Row],[Type]]&amp;") "&amp;IDNMaps[[#This Row],[Name]])</f>
        <v/>
      </c>
      <c r="P343" s="6" t="str">
        <f ca="1">IFERROR(VLOOKUP(IDNMaps[[#This Row],[Primary]],INDIRECT(VLOOKUP(IDNMaps[[#This Row],[Type]],RecordCount[],2,0)),VLOOKUP(IDNMaps[[#This Row],[Type]],RecordCount[],8,0),0),"")</f>
        <v/>
      </c>
    </row>
    <row r="344" spans="10:16" x14ac:dyDescent="0.25">
      <c r="J344" s="11">
        <f t="shared" si="5"/>
        <v>343</v>
      </c>
      <c r="K34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4" s="6" t="str">
        <f ca="1">IF(IDNMaps[[#This Row],[Type]]="","",COUNTIF($K$1:IDNMaps[[#This Row],[Type]],IDNMaps[[#This Row],[Type]]))</f>
        <v/>
      </c>
      <c r="M344" s="6" t="str">
        <f ca="1">IFERROR(VLOOKUP(IDNMaps[[#This Row],[Type]],RecordCount[],6,0)&amp;"-"&amp;IDNMaps[[#This Row],[Type Count]],"")</f>
        <v/>
      </c>
      <c r="N344" s="6" t="str">
        <f ca="1">IFERROR(VLOOKUP(IDNMaps[[#This Row],[Primary]],INDIRECT(VLOOKUP(IDNMaps[[#This Row],[Type]],RecordCount[],2,0)),VLOOKUP(IDNMaps[[#This Row],[Type]],RecordCount[],7,0),0),"")</f>
        <v/>
      </c>
      <c r="O344" s="6" t="str">
        <f ca="1">IF(IDNMaps[[#This Row],[Name]]="","","("&amp;IDNMaps[[#This Row],[Type]]&amp;") "&amp;IDNMaps[[#This Row],[Name]])</f>
        <v/>
      </c>
      <c r="P344" s="6" t="str">
        <f ca="1">IFERROR(VLOOKUP(IDNMaps[[#This Row],[Primary]],INDIRECT(VLOOKUP(IDNMaps[[#This Row],[Type]],RecordCount[],2,0)),VLOOKUP(IDNMaps[[#This Row],[Type]],RecordCount[],8,0),0),"")</f>
        <v/>
      </c>
    </row>
    <row r="345" spans="10:16" x14ac:dyDescent="0.25">
      <c r="J345" s="11">
        <f t="shared" si="5"/>
        <v>344</v>
      </c>
      <c r="K34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5" s="6" t="str">
        <f ca="1">IF(IDNMaps[[#This Row],[Type]]="","",COUNTIF($K$1:IDNMaps[[#This Row],[Type]],IDNMaps[[#This Row],[Type]]))</f>
        <v/>
      </c>
      <c r="M345" s="6" t="str">
        <f ca="1">IFERROR(VLOOKUP(IDNMaps[[#This Row],[Type]],RecordCount[],6,0)&amp;"-"&amp;IDNMaps[[#This Row],[Type Count]],"")</f>
        <v/>
      </c>
      <c r="N345" s="6" t="str">
        <f ca="1">IFERROR(VLOOKUP(IDNMaps[[#This Row],[Primary]],INDIRECT(VLOOKUP(IDNMaps[[#This Row],[Type]],RecordCount[],2,0)),VLOOKUP(IDNMaps[[#This Row],[Type]],RecordCount[],7,0),0),"")</f>
        <v/>
      </c>
      <c r="O345" s="6" t="str">
        <f ca="1">IF(IDNMaps[[#This Row],[Name]]="","","("&amp;IDNMaps[[#This Row],[Type]]&amp;") "&amp;IDNMaps[[#This Row],[Name]])</f>
        <v/>
      </c>
      <c r="P345" s="6" t="str">
        <f ca="1">IFERROR(VLOOKUP(IDNMaps[[#This Row],[Primary]],INDIRECT(VLOOKUP(IDNMaps[[#This Row],[Type]],RecordCount[],2,0)),VLOOKUP(IDNMaps[[#This Row],[Type]],RecordCount[],8,0),0),"")</f>
        <v/>
      </c>
    </row>
    <row r="346" spans="10:16" x14ac:dyDescent="0.25">
      <c r="J346" s="11">
        <f t="shared" si="5"/>
        <v>345</v>
      </c>
      <c r="K34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6" s="6" t="str">
        <f ca="1">IF(IDNMaps[[#This Row],[Type]]="","",COUNTIF($K$1:IDNMaps[[#This Row],[Type]],IDNMaps[[#This Row],[Type]]))</f>
        <v/>
      </c>
      <c r="M346" s="6" t="str">
        <f ca="1">IFERROR(VLOOKUP(IDNMaps[[#This Row],[Type]],RecordCount[],6,0)&amp;"-"&amp;IDNMaps[[#This Row],[Type Count]],"")</f>
        <v/>
      </c>
      <c r="N346" s="6" t="str">
        <f ca="1">IFERROR(VLOOKUP(IDNMaps[[#This Row],[Primary]],INDIRECT(VLOOKUP(IDNMaps[[#This Row],[Type]],RecordCount[],2,0)),VLOOKUP(IDNMaps[[#This Row],[Type]],RecordCount[],7,0),0),"")</f>
        <v/>
      </c>
      <c r="O346" s="6" t="str">
        <f ca="1">IF(IDNMaps[[#This Row],[Name]]="","","("&amp;IDNMaps[[#This Row],[Type]]&amp;") "&amp;IDNMaps[[#This Row],[Name]])</f>
        <v/>
      </c>
      <c r="P346" s="6" t="str">
        <f ca="1">IFERROR(VLOOKUP(IDNMaps[[#This Row],[Primary]],INDIRECT(VLOOKUP(IDNMaps[[#This Row],[Type]],RecordCount[],2,0)),VLOOKUP(IDNMaps[[#This Row],[Type]],RecordCount[],8,0),0),"")</f>
        <v/>
      </c>
    </row>
    <row r="347" spans="10:16" x14ac:dyDescent="0.25">
      <c r="J347" s="11">
        <f t="shared" si="5"/>
        <v>346</v>
      </c>
      <c r="K34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7" s="6" t="str">
        <f ca="1">IF(IDNMaps[[#This Row],[Type]]="","",COUNTIF($K$1:IDNMaps[[#This Row],[Type]],IDNMaps[[#This Row],[Type]]))</f>
        <v/>
      </c>
      <c r="M347" s="6" t="str">
        <f ca="1">IFERROR(VLOOKUP(IDNMaps[[#This Row],[Type]],RecordCount[],6,0)&amp;"-"&amp;IDNMaps[[#This Row],[Type Count]],"")</f>
        <v/>
      </c>
      <c r="N347" s="6" t="str">
        <f ca="1">IFERROR(VLOOKUP(IDNMaps[[#This Row],[Primary]],INDIRECT(VLOOKUP(IDNMaps[[#This Row],[Type]],RecordCount[],2,0)),VLOOKUP(IDNMaps[[#This Row],[Type]],RecordCount[],7,0),0),"")</f>
        <v/>
      </c>
      <c r="O347" s="6" t="str">
        <f ca="1">IF(IDNMaps[[#This Row],[Name]]="","","("&amp;IDNMaps[[#This Row],[Type]]&amp;") "&amp;IDNMaps[[#This Row],[Name]])</f>
        <v/>
      </c>
      <c r="P347" s="6" t="str">
        <f ca="1">IFERROR(VLOOKUP(IDNMaps[[#This Row],[Primary]],INDIRECT(VLOOKUP(IDNMaps[[#This Row],[Type]],RecordCount[],2,0)),VLOOKUP(IDNMaps[[#This Row],[Type]],RecordCount[],8,0),0),"")</f>
        <v/>
      </c>
    </row>
    <row r="348" spans="10:16" x14ac:dyDescent="0.25">
      <c r="J348" s="11">
        <f t="shared" si="5"/>
        <v>347</v>
      </c>
      <c r="K34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8" s="6" t="str">
        <f ca="1">IF(IDNMaps[[#This Row],[Type]]="","",COUNTIF($K$1:IDNMaps[[#This Row],[Type]],IDNMaps[[#This Row],[Type]]))</f>
        <v/>
      </c>
      <c r="M348" s="6" t="str">
        <f ca="1">IFERROR(VLOOKUP(IDNMaps[[#This Row],[Type]],RecordCount[],6,0)&amp;"-"&amp;IDNMaps[[#This Row],[Type Count]],"")</f>
        <v/>
      </c>
      <c r="N348" s="6" t="str">
        <f ca="1">IFERROR(VLOOKUP(IDNMaps[[#This Row],[Primary]],INDIRECT(VLOOKUP(IDNMaps[[#This Row],[Type]],RecordCount[],2,0)),VLOOKUP(IDNMaps[[#This Row],[Type]],RecordCount[],7,0),0),"")</f>
        <v/>
      </c>
      <c r="O348" s="6" t="str">
        <f ca="1">IF(IDNMaps[[#This Row],[Name]]="","","("&amp;IDNMaps[[#This Row],[Type]]&amp;") "&amp;IDNMaps[[#This Row],[Name]])</f>
        <v/>
      </c>
      <c r="P348" s="6" t="str">
        <f ca="1">IFERROR(VLOOKUP(IDNMaps[[#This Row],[Primary]],INDIRECT(VLOOKUP(IDNMaps[[#This Row],[Type]],RecordCount[],2,0)),VLOOKUP(IDNMaps[[#This Row],[Type]],RecordCount[],8,0),0),"")</f>
        <v/>
      </c>
    </row>
    <row r="349" spans="10:16" x14ac:dyDescent="0.25">
      <c r="J349" s="11">
        <f t="shared" si="5"/>
        <v>348</v>
      </c>
      <c r="K34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9" s="6" t="str">
        <f ca="1">IF(IDNMaps[[#This Row],[Type]]="","",COUNTIF($K$1:IDNMaps[[#This Row],[Type]],IDNMaps[[#This Row],[Type]]))</f>
        <v/>
      </c>
      <c r="M349" s="6" t="str">
        <f ca="1">IFERROR(VLOOKUP(IDNMaps[[#This Row],[Type]],RecordCount[],6,0)&amp;"-"&amp;IDNMaps[[#This Row],[Type Count]],"")</f>
        <v/>
      </c>
      <c r="N349" s="6" t="str">
        <f ca="1">IFERROR(VLOOKUP(IDNMaps[[#This Row],[Primary]],INDIRECT(VLOOKUP(IDNMaps[[#This Row],[Type]],RecordCount[],2,0)),VLOOKUP(IDNMaps[[#This Row],[Type]],RecordCount[],7,0),0),"")</f>
        <v/>
      </c>
      <c r="O349" s="6" t="str">
        <f ca="1">IF(IDNMaps[[#This Row],[Name]]="","","("&amp;IDNMaps[[#This Row],[Type]]&amp;") "&amp;IDNMaps[[#This Row],[Name]])</f>
        <v/>
      </c>
      <c r="P349" s="6" t="str">
        <f ca="1">IFERROR(VLOOKUP(IDNMaps[[#This Row],[Primary]],INDIRECT(VLOOKUP(IDNMaps[[#This Row],[Type]],RecordCount[],2,0)),VLOOKUP(IDNMaps[[#This Row],[Type]],RecordCount[],8,0),0),"")</f>
        <v/>
      </c>
    </row>
    <row r="350" spans="10:16" x14ac:dyDescent="0.25">
      <c r="J350" s="11">
        <f t="shared" si="5"/>
        <v>349</v>
      </c>
      <c r="K35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0" s="6" t="str">
        <f ca="1">IF(IDNMaps[[#This Row],[Type]]="","",COUNTIF($K$1:IDNMaps[[#This Row],[Type]],IDNMaps[[#This Row],[Type]]))</f>
        <v/>
      </c>
      <c r="M350" s="6" t="str">
        <f ca="1">IFERROR(VLOOKUP(IDNMaps[[#This Row],[Type]],RecordCount[],6,0)&amp;"-"&amp;IDNMaps[[#This Row],[Type Count]],"")</f>
        <v/>
      </c>
      <c r="N350" s="6" t="str">
        <f ca="1">IFERROR(VLOOKUP(IDNMaps[[#This Row],[Primary]],INDIRECT(VLOOKUP(IDNMaps[[#This Row],[Type]],RecordCount[],2,0)),VLOOKUP(IDNMaps[[#This Row],[Type]],RecordCount[],7,0),0),"")</f>
        <v/>
      </c>
      <c r="O350" s="6" t="str">
        <f ca="1">IF(IDNMaps[[#This Row],[Name]]="","","("&amp;IDNMaps[[#This Row],[Type]]&amp;") "&amp;IDNMaps[[#This Row],[Name]])</f>
        <v/>
      </c>
      <c r="P350" s="6" t="str">
        <f ca="1">IFERROR(VLOOKUP(IDNMaps[[#This Row],[Primary]],INDIRECT(VLOOKUP(IDNMaps[[#This Row],[Type]],RecordCount[],2,0)),VLOOKUP(IDNMaps[[#This Row],[Type]],RecordCount[],8,0),0),"")</f>
        <v/>
      </c>
    </row>
    <row r="351" spans="10:16" x14ac:dyDescent="0.25">
      <c r="J351" s="11">
        <f t="shared" si="5"/>
        <v>350</v>
      </c>
      <c r="K35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1" s="6" t="str">
        <f ca="1">IF(IDNMaps[[#This Row],[Type]]="","",COUNTIF($K$1:IDNMaps[[#This Row],[Type]],IDNMaps[[#This Row],[Type]]))</f>
        <v/>
      </c>
      <c r="M351" s="6" t="str">
        <f ca="1">IFERROR(VLOOKUP(IDNMaps[[#This Row],[Type]],RecordCount[],6,0)&amp;"-"&amp;IDNMaps[[#This Row],[Type Count]],"")</f>
        <v/>
      </c>
      <c r="N351" s="6" t="str">
        <f ca="1">IFERROR(VLOOKUP(IDNMaps[[#This Row],[Primary]],INDIRECT(VLOOKUP(IDNMaps[[#This Row],[Type]],RecordCount[],2,0)),VLOOKUP(IDNMaps[[#This Row],[Type]],RecordCount[],7,0),0),"")</f>
        <v/>
      </c>
      <c r="O351" s="6" t="str">
        <f ca="1">IF(IDNMaps[[#This Row],[Name]]="","","("&amp;IDNMaps[[#This Row],[Type]]&amp;") "&amp;IDNMaps[[#This Row],[Name]])</f>
        <v/>
      </c>
      <c r="P351" s="6" t="str">
        <f ca="1">IFERROR(VLOOKUP(IDNMaps[[#This Row],[Primary]],INDIRECT(VLOOKUP(IDNMaps[[#This Row],[Type]],RecordCount[],2,0)),VLOOKUP(IDNMaps[[#This Row],[Type]],RecordCount[],8,0),0),"")</f>
        <v/>
      </c>
    </row>
    <row r="352" spans="10:16" x14ac:dyDescent="0.25">
      <c r="J352" s="11">
        <f t="shared" si="5"/>
        <v>351</v>
      </c>
      <c r="K35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2" s="6" t="str">
        <f ca="1">IF(IDNMaps[[#This Row],[Type]]="","",COUNTIF($K$1:IDNMaps[[#This Row],[Type]],IDNMaps[[#This Row],[Type]]))</f>
        <v/>
      </c>
      <c r="M352" s="6" t="str">
        <f ca="1">IFERROR(VLOOKUP(IDNMaps[[#This Row],[Type]],RecordCount[],6,0)&amp;"-"&amp;IDNMaps[[#This Row],[Type Count]],"")</f>
        <v/>
      </c>
      <c r="N352" s="6" t="str">
        <f ca="1">IFERROR(VLOOKUP(IDNMaps[[#This Row],[Primary]],INDIRECT(VLOOKUP(IDNMaps[[#This Row],[Type]],RecordCount[],2,0)),VLOOKUP(IDNMaps[[#This Row],[Type]],RecordCount[],7,0),0),"")</f>
        <v/>
      </c>
      <c r="O352" s="6" t="str">
        <f ca="1">IF(IDNMaps[[#This Row],[Name]]="","","("&amp;IDNMaps[[#This Row],[Type]]&amp;") "&amp;IDNMaps[[#This Row],[Name]])</f>
        <v/>
      </c>
      <c r="P352" s="6" t="str">
        <f ca="1">IFERROR(VLOOKUP(IDNMaps[[#This Row],[Primary]],INDIRECT(VLOOKUP(IDNMaps[[#This Row],[Type]],RecordCount[],2,0)),VLOOKUP(IDNMaps[[#This Row],[Type]],RecordCount[],8,0),0),"")</f>
        <v/>
      </c>
    </row>
    <row r="353" spans="10:16" x14ac:dyDescent="0.25">
      <c r="J353" s="11">
        <f t="shared" si="5"/>
        <v>352</v>
      </c>
      <c r="K35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3" s="6" t="str">
        <f ca="1">IF(IDNMaps[[#This Row],[Type]]="","",COUNTIF($K$1:IDNMaps[[#This Row],[Type]],IDNMaps[[#This Row],[Type]]))</f>
        <v/>
      </c>
      <c r="M353" s="6" t="str">
        <f ca="1">IFERROR(VLOOKUP(IDNMaps[[#This Row],[Type]],RecordCount[],6,0)&amp;"-"&amp;IDNMaps[[#This Row],[Type Count]],"")</f>
        <v/>
      </c>
      <c r="N353" s="6" t="str">
        <f ca="1">IFERROR(VLOOKUP(IDNMaps[[#This Row],[Primary]],INDIRECT(VLOOKUP(IDNMaps[[#This Row],[Type]],RecordCount[],2,0)),VLOOKUP(IDNMaps[[#This Row],[Type]],RecordCount[],7,0),0),"")</f>
        <v/>
      </c>
      <c r="O353" s="6" t="str">
        <f ca="1">IF(IDNMaps[[#This Row],[Name]]="","","("&amp;IDNMaps[[#This Row],[Type]]&amp;") "&amp;IDNMaps[[#This Row],[Name]])</f>
        <v/>
      </c>
      <c r="P353" s="6" t="str">
        <f ca="1">IFERROR(VLOOKUP(IDNMaps[[#This Row],[Primary]],INDIRECT(VLOOKUP(IDNMaps[[#This Row],[Type]],RecordCount[],2,0)),VLOOKUP(IDNMaps[[#This Row],[Type]],RecordCount[],8,0),0),"")</f>
        <v/>
      </c>
    </row>
    <row r="354" spans="10:16" x14ac:dyDescent="0.25">
      <c r="J354" s="11">
        <f t="shared" si="5"/>
        <v>353</v>
      </c>
      <c r="K35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4" s="6" t="str">
        <f ca="1">IF(IDNMaps[[#This Row],[Type]]="","",COUNTIF($K$1:IDNMaps[[#This Row],[Type]],IDNMaps[[#This Row],[Type]]))</f>
        <v/>
      </c>
      <c r="M354" s="6" t="str">
        <f ca="1">IFERROR(VLOOKUP(IDNMaps[[#This Row],[Type]],RecordCount[],6,0)&amp;"-"&amp;IDNMaps[[#This Row],[Type Count]],"")</f>
        <v/>
      </c>
      <c r="N354" s="6" t="str">
        <f ca="1">IFERROR(VLOOKUP(IDNMaps[[#This Row],[Primary]],INDIRECT(VLOOKUP(IDNMaps[[#This Row],[Type]],RecordCount[],2,0)),VLOOKUP(IDNMaps[[#This Row],[Type]],RecordCount[],7,0),0),"")</f>
        <v/>
      </c>
      <c r="O354" s="6" t="str">
        <f ca="1">IF(IDNMaps[[#This Row],[Name]]="","","("&amp;IDNMaps[[#This Row],[Type]]&amp;") "&amp;IDNMaps[[#This Row],[Name]])</f>
        <v/>
      </c>
      <c r="P354" s="6" t="str">
        <f ca="1">IFERROR(VLOOKUP(IDNMaps[[#This Row],[Primary]],INDIRECT(VLOOKUP(IDNMaps[[#This Row],[Type]],RecordCount[],2,0)),VLOOKUP(IDNMaps[[#This Row],[Type]],RecordCount[],8,0),0),"")</f>
        <v/>
      </c>
    </row>
    <row r="355" spans="10:16" x14ac:dyDescent="0.25">
      <c r="J355" s="11">
        <f t="shared" si="5"/>
        <v>354</v>
      </c>
      <c r="K35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5" s="6" t="str">
        <f ca="1">IF(IDNMaps[[#This Row],[Type]]="","",COUNTIF($K$1:IDNMaps[[#This Row],[Type]],IDNMaps[[#This Row],[Type]]))</f>
        <v/>
      </c>
      <c r="M355" s="6" t="str">
        <f ca="1">IFERROR(VLOOKUP(IDNMaps[[#This Row],[Type]],RecordCount[],6,0)&amp;"-"&amp;IDNMaps[[#This Row],[Type Count]],"")</f>
        <v/>
      </c>
      <c r="N355" s="6" t="str">
        <f ca="1">IFERROR(VLOOKUP(IDNMaps[[#This Row],[Primary]],INDIRECT(VLOOKUP(IDNMaps[[#This Row],[Type]],RecordCount[],2,0)),VLOOKUP(IDNMaps[[#This Row],[Type]],RecordCount[],7,0),0),"")</f>
        <v/>
      </c>
      <c r="O355" s="6" t="str">
        <f ca="1">IF(IDNMaps[[#This Row],[Name]]="","","("&amp;IDNMaps[[#This Row],[Type]]&amp;") "&amp;IDNMaps[[#This Row],[Name]])</f>
        <v/>
      </c>
      <c r="P355" s="6" t="str">
        <f ca="1">IFERROR(VLOOKUP(IDNMaps[[#This Row],[Primary]],INDIRECT(VLOOKUP(IDNMaps[[#This Row],[Type]],RecordCount[],2,0)),VLOOKUP(IDNMaps[[#This Row],[Type]],RecordCount[],8,0),0),"")</f>
        <v/>
      </c>
    </row>
    <row r="356" spans="10:16" x14ac:dyDescent="0.25">
      <c r="J356" s="11">
        <f t="shared" si="5"/>
        <v>355</v>
      </c>
      <c r="K35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6" s="6" t="str">
        <f ca="1">IF(IDNMaps[[#This Row],[Type]]="","",COUNTIF($K$1:IDNMaps[[#This Row],[Type]],IDNMaps[[#This Row],[Type]]))</f>
        <v/>
      </c>
      <c r="M356" s="6" t="str">
        <f ca="1">IFERROR(VLOOKUP(IDNMaps[[#This Row],[Type]],RecordCount[],6,0)&amp;"-"&amp;IDNMaps[[#This Row],[Type Count]],"")</f>
        <v/>
      </c>
      <c r="N356" s="6" t="str">
        <f ca="1">IFERROR(VLOOKUP(IDNMaps[[#This Row],[Primary]],INDIRECT(VLOOKUP(IDNMaps[[#This Row],[Type]],RecordCount[],2,0)),VLOOKUP(IDNMaps[[#This Row],[Type]],RecordCount[],7,0),0),"")</f>
        <v/>
      </c>
      <c r="O356" s="6" t="str">
        <f ca="1">IF(IDNMaps[[#This Row],[Name]]="","","("&amp;IDNMaps[[#This Row],[Type]]&amp;") "&amp;IDNMaps[[#This Row],[Name]])</f>
        <v/>
      </c>
      <c r="P356" s="6" t="str">
        <f ca="1">IFERROR(VLOOKUP(IDNMaps[[#This Row],[Primary]],INDIRECT(VLOOKUP(IDNMaps[[#This Row],[Type]],RecordCount[],2,0)),VLOOKUP(IDNMaps[[#This Row],[Type]],RecordCount[],8,0),0),"")</f>
        <v/>
      </c>
    </row>
    <row r="357" spans="10:16" x14ac:dyDescent="0.25">
      <c r="J357" s="11">
        <f t="shared" si="5"/>
        <v>356</v>
      </c>
      <c r="K35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7" s="6" t="str">
        <f ca="1">IF(IDNMaps[[#This Row],[Type]]="","",COUNTIF($K$1:IDNMaps[[#This Row],[Type]],IDNMaps[[#This Row],[Type]]))</f>
        <v/>
      </c>
      <c r="M357" s="6" t="str">
        <f ca="1">IFERROR(VLOOKUP(IDNMaps[[#This Row],[Type]],RecordCount[],6,0)&amp;"-"&amp;IDNMaps[[#This Row],[Type Count]],"")</f>
        <v/>
      </c>
      <c r="N357" s="6" t="str">
        <f ca="1">IFERROR(VLOOKUP(IDNMaps[[#This Row],[Primary]],INDIRECT(VLOOKUP(IDNMaps[[#This Row],[Type]],RecordCount[],2,0)),VLOOKUP(IDNMaps[[#This Row],[Type]],RecordCount[],7,0),0),"")</f>
        <v/>
      </c>
      <c r="O357" s="6" t="str">
        <f ca="1">IF(IDNMaps[[#This Row],[Name]]="","","("&amp;IDNMaps[[#This Row],[Type]]&amp;") "&amp;IDNMaps[[#This Row],[Name]])</f>
        <v/>
      </c>
      <c r="P357" s="6" t="str">
        <f ca="1">IFERROR(VLOOKUP(IDNMaps[[#This Row],[Primary]],INDIRECT(VLOOKUP(IDNMaps[[#This Row],[Type]],RecordCount[],2,0)),VLOOKUP(IDNMaps[[#This Row],[Type]],RecordCount[],8,0),0),"")</f>
        <v/>
      </c>
    </row>
    <row r="358" spans="10:16" x14ac:dyDescent="0.25">
      <c r="J358" s="11">
        <f t="shared" si="5"/>
        <v>357</v>
      </c>
      <c r="K35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8" s="6" t="str">
        <f ca="1">IF(IDNMaps[[#This Row],[Type]]="","",COUNTIF($K$1:IDNMaps[[#This Row],[Type]],IDNMaps[[#This Row],[Type]]))</f>
        <v/>
      </c>
      <c r="M358" s="6" t="str">
        <f ca="1">IFERROR(VLOOKUP(IDNMaps[[#This Row],[Type]],RecordCount[],6,0)&amp;"-"&amp;IDNMaps[[#This Row],[Type Count]],"")</f>
        <v/>
      </c>
      <c r="N358" s="6" t="str">
        <f ca="1">IFERROR(VLOOKUP(IDNMaps[[#This Row],[Primary]],INDIRECT(VLOOKUP(IDNMaps[[#This Row],[Type]],RecordCount[],2,0)),VLOOKUP(IDNMaps[[#This Row],[Type]],RecordCount[],7,0),0),"")</f>
        <v/>
      </c>
      <c r="O358" s="6" t="str">
        <f ca="1">IF(IDNMaps[[#This Row],[Name]]="","","("&amp;IDNMaps[[#This Row],[Type]]&amp;") "&amp;IDNMaps[[#This Row],[Name]])</f>
        <v/>
      </c>
      <c r="P358" s="6" t="str">
        <f ca="1">IFERROR(VLOOKUP(IDNMaps[[#This Row],[Primary]],INDIRECT(VLOOKUP(IDNMaps[[#This Row],[Type]],RecordCount[],2,0)),VLOOKUP(IDNMaps[[#This Row],[Type]],RecordCount[],8,0),0),"")</f>
        <v/>
      </c>
    </row>
    <row r="359" spans="10:16" x14ac:dyDescent="0.25">
      <c r="J359" s="11">
        <f t="shared" si="5"/>
        <v>358</v>
      </c>
      <c r="K35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9" s="6" t="str">
        <f ca="1">IF(IDNMaps[[#This Row],[Type]]="","",COUNTIF($K$1:IDNMaps[[#This Row],[Type]],IDNMaps[[#This Row],[Type]]))</f>
        <v/>
      </c>
      <c r="M359" s="6" t="str">
        <f ca="1">IFERROR(VLOOKUP(IDNMaps[[#This Row],[Type]],RecordCount[],6,0)&amp;"-"&amp;IDNMaps[[#This Row],[Type Count]],"")</f>
        <v/>
      </c>
      <c r="N359" s="6" t="str">
        <f ca="1">IFERROR(VLOOKUP(IDNMaps[[#This Row],[Primary]],INDIRECT(VLOOKUP(IDNMaps[[#This Row],[Type]],RecordCount[],2,0)),VLOOKUP(IDNMaps[[#This Row],[Type]],RecordCount[],7,0),0),"")</f>
        <v/>
      </c>
      <c r="O359" s="6" t="str">
        <f ca="1">IF(IDNMaps[[#This Row],[Name]]="","","("&amp;IDNMaps[[#This Row],[Type]]&amp;") "&amp;IDNMaps[[#This Row],[Name]])</f>
        <v/>
      </c>
      <c r="P359" s="6" t="str">
        <f ca="1">IFERROR(VLOOKUP(IDNMaps[[#This Row],[Primary]],INDIRECT(VLOOKUP(IDNMaps[[#This Row],[Type]],RecordCount[],2,0)),VLOOKUP(IDNMaps[[#This Row],[Type]],RecordCount[],8,0),0),"")</f>
        <v/>
      </c>
    </row>
    <row r="360" spans="10:16" x14ac:dyDescent="0.25">
      <c r="J360" s="11">
        <f t="shared" si="5"/>
        <v>359</v>
      </c>
      <c r="K36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0" s="6" t="str">
        <f ca="1">IF(IDNMaps[[#This Row],[Type]]="","",COUNTIF($K$1:IDNMaps[[#This Row],[Type]],IDNMaps[[#This Row],[Type]]))</f>
        <v/>
      </c>
      <c r="M360" s="6" t="str">
        <f ca="1">IFERROR(VLOOKUP(IDNMaps[[#This Row],[Type]],RecordCount[],6,0)&amp;"-"&amp;IDNMaps[[#This Row],[Type Count]],"")</f>
        <v/>
      </c>
      <c r="N360" s="6" t="str">
        <f ca="1">IFERROR(VLOOKUP(IDNMaps[[#This Row],[Primary]],INDIRECT(VLOOKUP(IDNMaps[[#This Row],[Type]],RecordCount[],2,0)),VLOOKUP(IDNMaps[[#This Row],[Type]],RecordCount[],7,0),0),"")</f>
        <v/>
      </c>
      <c r="O360" s="6" t="str">
        <f ca="1">IF(IDNMaps[[#This Row],[Name]]="","","("&amp;IDNMaps[[#This Row],[Type]]&amp;") "&amp;IDNMaps[[#This Row],[Name]])</f>
        <v/>
      </c>
      <c r="P360" s="6" t="str">
        <f ca="1">IFERROR(VLOOKUP(IDNMaps[[#This Row],[Primary]],INDIRECT(VLOOKUP(IDNMaps[[#This Row],[Type]],RecordCount[],2,0)),VLOOKUP(IDNMaps[[#This Row],[Type]],RecordCount[],8,0),0),"")</f>
        <v/>
      </c>
    </row>
    <row r="361" spans="10:16" x14ac:dyDescent="0.25">
      <c r="J361" s="11">
        <f t="shared" si="5"/>
        <v>360</v>
      </c>
      <c r="K36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1" s="6" t="str">
        <f ca="1">IF(IDNMaps[[#This Row],[Type]]="","",COUNTIF($K$1:IDNMaps[[#This Row],[Type]],IDNMaps[[#This Row],[Type]]))</f>
        <v/>
      </c>
      <c r="M361" s="6" t="str">
        <f ca="1">IFERROR(VLOOKUP(IDNMaps[[#This Row],[Type]],RecordCount[],6,0)&amp;"-"&amp;IDNMaps[[#This Row],[Type Count]],"")</f>
        <v/>
      </c>
      <c r="N361" s="6" t="str">
        <f ca="1">IFERROR(VLOOKUP(IDNMaps[[#This Row],[Primary]],INDIRECT(VLOOKUP(IDNMaps[[#This Row],[Type]],RecordCount[],2,0)),VLOOKUP(IDNMaps[[#This Row],[Type]],RecordCount[],7,0),0),"")</f>
        <v/>
      </c>
      <c r="O361" s="6" t="str">
        <f ca="1">IF(IDNMaps[[#This Row],[Name]]="","","("&amp;IDNMaps[[#This Row],[Type]]&amp;") "&amp;IDNMaps[[#This Row],[Name]])</f>
        <v/>
      </c>
      <c r="P361" s="6" t="str">
        <f ca="1">IFERROR(VLOOKUP(IDNMaps[[#This Row],[Primary]],INDIRECT(VLOOKUP(IDNMaps[[#This Row],[Type]],RecordCount[],2,0)),VLOOKUP(IDNMaps[[#This Row],[Type]],RecordCount[],8,0),0),"")</f>
        <v/>
      </c>
    </row>
    <row r="362" spans="10:16" x14ac:dyDescent="0.25">
      <c r="J362" s="11">
        <f t="shared" si="5"/>
        <v>361</v>
      </c>
      <c r="K36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2" s="6" t="str">
        <f ca="1">IF(IDNMaps[[#This Row],[Type]]="","",COUNTIF($K$1:IDNMaps[[#This Row],[Type]],IDNMaps[[#This Row],[Type]]))</f>
        <v/>
      </c>
      <c r="M362" s="6" t="str">
        <f ca="1">IFERROR(VLOOKUP(IDNMaps[[#This Row],[Type]],RecordCount[],6,0)&amp;"-"&amp;IDNMaps[[#This Row],[Type Count]],"")</f>
        <v/>
      </c>
      <c r="N362" s="6" t="str">
        <f ca="1">IFERROR(VLOOKUP(IDNMaps[[#This Row],[Primary]],INDIRECT(VLOOKUP(IDNMaps[[#This Row],[Type]],RecordCount[],2,0)),VLOOKUP(IDNMaps[[#This Row],[Type]],RecordCount[],7,0),0),"")</f>
        <v/>
      </c>
      <c r="O362" s="6" t="str">
        <f ca="1">IF(IDNMaps[[#This Row],[Name]]="","","("&amp;IDNMaps[[#This Row],[Type]]&amp;") "&amp;IDNMaps[[#This Row],[Name]])</f>
        <v/>
      </c>
      <c r="P362" s="6" t="str">
        <f ca="1">IFERROR(VLOOKUP(IDNMaps[[#This Row],[Primary]],INDIRECT(VLOOKUP(IDNMaps[[#This Row],[Type]],RecordCount[],2,0)),VLOOKUP(IDNMaps[[#This Row],[Type]],RecordCount[],8,0),0),"")</f>
        <v/>
      </c>
    </row>
    <row r="363" spans="10:16" x14ac:dyDescent="0.25">
      <c r="J363" s="11">
        <f t="shared" si="5"/>
        <v>362</v>
      </c>
      <c r="K36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3" s="6" t="str">
        <f ca="1">IF(IDNMaps[[#This Row],[Type]]="","",COUNTIF($K$1:IDNMaps[[#This Row],[Type]],IDNMaps[[#This Row],[Type]]))</f>
        <v/>
      </c>
      <c r="M363" s="6" t="str">
        <f ca="1">IFERROR(VLOOKUP(IDNMaps[[#This Row],[Type]],RecordCount[],6,0)&amp;"-"&amp;IDNMaps[[#This Row],[Type Count]],"")</f>
        <v/>
      </c>
      <c r="N363" s="6" t="str">
        <f ca="1">IFERROR(VLOOKUP(IDNMaps[[#This Row],[Primary]],INDIRECT(VLOOKUP(IDNMaps[[#This Row],[Type]],RecordCount[],2,0)),VLOOKUP(IDNMaps[[#This Row],[Type]],RecordCount[],7,0),0),"")</f>
        <v/>
      </c>
      <c r="O363" s="6" t="str">
        <f ca="1">IF(IDNMaps[[#This Row],[Name]]="","","("&amp;IDNMaps[[#This Row],[Type]]&amp;") "&amp;IDNMaps[[#This Row],[Name]])</f>
        <v/>
      </c>
      <c r="P363" s="6" t="str">
        <f ca="1">IFERROR(VLOOKUP(IDNMaps[[#This Row],[Primary]],INDIRECT(VLOOKUP(IDNMaps[[#This Row],[Type]],RecordCount[],2,0)),VLOOKUP(IDNMaps[[#This Row],[Type]],RecordCount[],8,0),0),"")</f>
        <v/>
      </c>
    </row>
    <row r="364" spans="10:16" x14ac:dyDescent="0.25">
      <c r="J364" s="11">
        <f t="shared" si="5"/>
        <v>363</v>
      </c>
      <c r="K36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4" s="6" t="str">
        <f ca="1">IF(IDNMaps[[#This Row],[Type]]="","",COUNTIF($K$1:IDNMaps[[#This Row],[Type]],IDNMaps[[#This Row],[Type]]))</f>
        <v/>
      </c>
      <c r="M364" s="6" t="str">
        <f ca="1">IFERROR(VLOOKUP(IDNMaps[[#This Row],[Type]],RecordCount[],6,0)&amp;"-"&amp;IDNMaps[[#This Row],[Type Count]],"")</f>
        <v/>
      </c>
      <c r="N364" s="6" t="str">
        <f ca="1">IFERROR(VLOOKUP(IDNMaps[[#This Row],[Primary]],INDIRECT(VLOOKUP(IDNMaps[[#This Row],[Type]],RecordCount[],2,0)),VLOOKUP(IDNMaps[[#This Row],[Type]],RecordCount[],7,0),0),"")</f>
        <v/>
      </c>
      <c r="O364" s="6" t="str">
        <f ca="1">IF(IDNMaps[[#This Row],[Name]]="","","("&amp;IDNMaps[[#This Row],[Type]]&amp;") "&amp;IDNMaps[[#This Row],[Name]])</f>
        <v/>
      </c>
      <c r="P364" s="6" t="str">
        <f ca="1">IFERROR(VLOOKUP(IDNMaps[[#This Row],[Primary]],INDIRECT(VLOOKUP(IDNMaps[[#This Row],[Type]],RecordCount[],2,0)),VLOOKUP(IDNMaps[[#This Row],[Type]],RecordCount[],8,0),0),"")</f>
        <v/>
      </c>
    </row>
    <row r="365" spans="10:16" x14ac:dyDescent="0.25">
      <c r="J365" s="11">
        <f t="shared" si="5"/>
        <v>364</v>
      </c>
      <c r="K36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5" s="6" t="str">
        <f ca="1">IF(IDNMaps[[#This Row],[Type]]="","",COUNTIF($K$1:IDNMaps[[#This Row],[Type]],IDNMaps[[#This Row],[Type]]))</f>
        <v/>
      </c>
      <c r="M365" s="6" t="str">
        <f ca="1">IFERROR(VLOOKUP(IDNMaps[[#This Row],[Type]],RecordCount[],6,0)&amp;"-"&amp;IDNMaps[[#This Row],[Type Count]],"")</f>
        <v/>
      </c>
      <c r="N365" s="6" t="str">
        <f ca="1">IFERROR(VLOOKUP(IDNMaps[[#This Row],[Primary]],INDIRECT(VLOOKUP(IDNMaps[[#This Row],[Type]],RecordCount[],2,0)),VLOOKUP(IDNMaps[[#This Row],[Type]],RecordCount[],7,0),0),"")</f>
        <v/>
      </c>
      <c r="O365" s="6" t="str">
        <f ca="1">IF(IDNMaps[[#This Row],[Name]]="","","("&amp;IDNMaps[[#This Row],[Type]]&amp;") "&amp;IDNMaps[[#This Row],[Name]])</f>
        <v/>
      </c>
      <c r="P365" s="6" t="str">
        <f ca="1">IFERROR(VLOOKUP(IDNMaps[[#This Row],[Primary]],INDIRECT(VLOOKUP(IDNMaps[[#This Row],[Type]],RecordCount[],2,0)),VLOOKUP(IDNMaps[[#This Row],[Type]],RecordCount[],8,0),0),"")</f>
        <v/>
      </c>
    </row>
    <row r="366" spans="10:16" x14ac:dyDescent="0.25">
      <c r="J366" s="11">
        <f t="shared" si="5"/>
        <v>365</v>
      </c>
      <c r="K36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6" s="6" t="str">
        <f ca="1">IF(IDNMaps[[#This Row],[Type]]="","",COUNTIF($K$1:IDNMaps[[#This Row],[Type]],IDNMaps[[#This Row],[Type]]))</f>
        <v/>
      </c>
      <c r="M366" s="6" t="str">
        <f ca="1">IFERROR(VLOOKUP(IDNMaps[[#This Row],[Type]],RecordCount[],6,0)&amp;"-"&amp;IDNMaps[[#This Row],[Type Count]],"")</f>
        <v/>
      </c>
      <c r="N366" s="6" t="str">
        <f ca="1">IFERROR(VLOOKUP(IDNMaps[[#This Row],[Primary]],INDIRECT(VLOOKUP(IDNMaps[[#This Row],[Type]],RecordCount[],2,0)),VLOOKUP(IDNMaps[[#This Row],[Type]],RecordCount[],7,0),0),"")</f>
        <v/>
      </c>
      <c r="O366" s="6" t="str">
        <f ca="1">IF(IDNMaps[[#This Row],[Name]]="","","("&amp;IDNMaps[[#This Row],[Type]]&amp;") "&amp;IDNMaps[[#This Row],[Name]])</f>
        <v/>
      </c>
      <c r="P366" s="6" t="str">
        <f ca="1">IFERROR(VLOOKUP(IDNMaps[[#This Row],[Primary]],INDIRECT(VLOOKUP(IDNMaps[[#This Row],[Type]],RecordCount[],2,0)),VLOOKUP(IDNMaps[[#This Row],[Type]],RecordCount[],8,0),0),"")</f>
        <v/>
      </c>
    </row>
    <row r="367" spans="10:16" x14ac:dyDescent="0.25">
      <c r="J367" s="11">
        <f t="shared" si="5"/>
        <v>366</v>
      </c>
      <c r="K36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7" s="6" t="str">
        <f ca="1">IF(IDNMaps[[#This Row],[Type]]="","",COUNTIF($K$1:IDNMaps[[#This Row],[Type]],IDNMaps[[#This Row],[Type]]))</f>
        <v/>
      </c>
      <c r="M367" s="6" t="str">
        <f ca="1">IFERROR(VLOOKUP(IDNMaps[[#This Row],[Type]],RecordCount[],6,0)&amp;"-"&amp;IDNMaps[[#This Row],[Type Count]],"")</f>
        <v/>
      </c>
      <c r="N367" s="6" t="str">
        <f ca="1">IFERROR(VLOOKUP(IDNMaps[[#This Row],[Primary]],INDIRECT(VLOOKUP(IDNMaps[[#This Row],[Type]],RecordCount[],2,0)),VLOOKUP(IDNMaps[[#This Row],[Type]],RecordCount[],7,0),0),"")</f>
        <v/>
      </c>
      <c r="O367" s="6" t="str">
        <f ca="1">IF(IDNMaps[[#This Row],[Name]]="","","("&amp;IDNMaps[[#This Row],[Type]]&amp;") "&amp;IDNMaps[[#This Row],[Name]])</f>
        <v/>
      </c>
      <c r="P367" s="6" t="str">
        <f ca="1">IFERROR(VLOOKUP(IDNMaps[[#This Row],[Primary]],INDIRECT(VLOOKUP(IDNMaps[[#This Row],[Type]],RecordCount[],2,0)),VLOOKUP(IDNMaps[[#This Row],[Type]],RecordCount[],8,0),0),"")</f>
        <v/>
      </c>
    </row>
    <row r="368" spans="10:16" x14ac:dyDescent="0.25">
      <c r="J368" s="11">
        <f t="shared" si="5"/>
        <v>367</v>
      </c>
      <c r="K36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8" s="6" t="str">
        <f ca="1">IF(IDNMaps[[#This Row],[Type]]="","",COUNTIF($K$1:IDNMaps[[#This Row],[Type]],IDNMaps[[#This Row],[Type]]))</f>
        <v/>
      </c>
      <c r="M368" s="6" t="str">
        <f ca="1">IFERROR(VLOOKUP(IDNMaps[[#This Row],[Type]],RecordCount[],6,0)&amp;"-"&amp;IDNMaps[[#This Row],[Type Count]],"")</f>
        <v/>
      </c>
      <c r="N368" s="6" t="str">
        <f ca="1">IFERROR(VLOOKUP(IDNMaps[[#This Row],[Primary]],INDIRECT(VLOOKUP(IDNMaps[[#This Row],[Type]],RecordCount[],2,0)),VLOOKUP(IDNMaps[[#This Row],[Type]],RecordCount[],7,0),0),"")</f>
        <v/>
      </c>
      <c r="O368" s="6" t="str">
        <f ca="1">IF(IDNMaps[[#This Row],[Name]]="","","("&amp;IDNMaps[[#This Row],[Type]]&amp;") "&amp;IDNMaps[[#This Row],[Name]])</f>
        <v/>
      </c>
      <c r="P368" s="6" t="str">
        <f ca="1">IFERROR(VLOOKUP(IDNMaps[[#This Row],[Primary]],INDIRECT(VLOOKUP(IDNMaps[[#This Row],[Type]],RecordCount[],2,0)),VLOOKUP(IDNMaps[[#This Row],[Type]],RecordCount[],8,0),0),"")</f>
        <v/>
      </c>
    </row>
    <row r="369" spans="10:16" x14ac:dyDescent="0.25">
      <c r="J369" s="11">
        <f t="shared" si="5"/>
        <v>368</v>
      </c>
      <c r="K36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9" s="6" t="str">
        <f ca="1">IF(IDNMaps[[#This Row],[Type]]="","",COUNTIF($K$1:IDNMaps[[#This Row],[Type]],IDNMaps[[#This Row],[Type]]))</f>
        <v/>
      </c>
      <c r="M369" s="6" t="str">
        <f ca="1">IFERROR(VLOOKUP(IDNMaps[[#This Row],[Type]],RecordCount[],6,0)&amp;"-"&amp;IDNMaps[[#This Row],[Type Count]],"")</f>
        <v/>
      </c>
      <c r="N369" s="6" t="str">
        <f ca="1">IFERROR(VLOOKUP(IDNMaps[[#This Row],[Primary]],INDIRECT(VLOOKUP(IDNMaps[[#This Row],[Type]],RecordCount[],2,0)),VLOOKUP(IDNMaps[[#This Row],[Type]],RecordCount[],7,0),0),"")</f>
        <v/>
      </c>
      <c r="O369" s="6" t="str">
        <f ca="1">IF(IDNMaps[[#This Row],[Name]]="","","("&amp;IDNMaps[[#This Row],[Type]]&amp;") "&amp;IDNMaps[[#This Row],[Name]])</f>
        <v/>
      </c>
      <c r="P369" s="6" t="str">
        <f ca="1">IFERROR(VLOOKUP(IDNMaps[[#This Row],[Primary]],INDIRECT(VLOOKUP(IDNMaps[[#This Row],[Type]],RecordCount[],2,0)),VLOOKUP(IDNMaps[[#This Row],[Type]],RecordCount[],8,0),0),"")</f>
        <v/>
      </c>
    </row>
    <row r="370" spans="10:16" x14ac:dyDescent="0.25">
      <c r="J370" s="11">
        <f t="shared" si="5"/>
        <v>369</v>
      </c>
      <c r="K37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0" s="6" t="str">
        <f ca="1">IF(IDNMaps[[#This Row],[Type]]="","",COUNTIF($K$1:IDNMaps[[#This Row],[Type]],IDNMaps[[#This Row],[Type]]))</f>
        <v/>
      </c>
      <c r="M370" s="6" t="str">
        <f ca="1">IFERROR(VLOOKUP(IDNMaps[[#This Row],[Type]],RecordCount[],6,0)&amp;"-"&amp;IDNMaps[[#This Row],[Type Count]],"")</f>
        <v/>
      </c>
      <c r="N370" s="6" t="str">
        <f ca="1">IFERROR(VLOOKUP(IDNMaps[[#This Row],[Primary]],INDIRECT(VLOOKUP(IDNMaps[[#This Row],[Type]],RecordCount[],2,0)),VLOOKUP(IDNMaps[[#This Row],[Type]],RecordCount[],7,0),0),"")</f>
        <v/>
      </c>
      <c r="O370" s="6" t="str">
        <f ca="1">IF(IDNMaps[[#This Row],[Name]]="","","("&amp;IDNMaps[[#This Row],[Type]]&amp;") "&amp;IDNMaps[[#This Row],[Name]])</f>
        <v/>
      </c>
      <c r="P370" s="6" t="str">
        <f ca="1">IFERROR(VLOOKUP(IDNMaps[[#This Row],[Primary]],INDIRECT(VLOOKUP(IDNMaps[[#This Row],[Type]],RecordCount[],2,0)),VLOOKUP(IDNMaps[[#This Row],[Type]],RecordCount[],8,0),0),"")</f>
        <v/>
      </c>
    </row>
    <row r="371" spans="10:16" x14ac:dyDescent="0.25">
      <c r="J371" s="11">
        <f t="shared" si="5"/>
        <v>370</v>
      </c>
      <c r="K37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1" s="6" t="str">
        <f ca="1">IF(IDNMaps[[#This Row],[Type]]="","",COUNTIF($K$1:IDNMaps[[#This Row],[Type]],IDNMaps[[#This Row],[Type]]))</f>
        <v/>
      </c>
      <c r="M371" s="6" t="str">
        <f ca="1">IFERROR(VLOOKUP(IDNMaps[[#This Row],[Type]],RecordCount[],6,0)&amp;"-"&amp;IDNMaps[[#This Row],[Type Count]],"")</f>
        <v/>
      </c>
      <c r="N371" s="6" t="str">
        <f ca="1">IFERROR(VLOOKUP(IDNMaps[[#This Row],[Primary]],INDIRECT(VLOOKUP(IDNMaps[[#This Row],[Type]],RecordCount[],2,0)),VLOOKUP(IDNMaps[[#This Row],[Type]],RecordCount[],7,0),0),"")</f>
        <v/>
      </c>
      <c r="O371" s="6" t="str">
        <f ca="1">IF(IDNMaps[[#This Row],[Name]]="","","("&amp;IDNMaps[[#This Row],[Type]]&amp;") "&amp;IDNMaps[[#This Row],[Name]])</f>
        <v/>
      </c>
      <c r="P371" s="6" t="str">
        <f ca="1">IFERROR(VLOOKUP(IDNMaps[[#This Row],[Primary]],INDIRECT(VLOOKUP(IDNMaps[[#This Row],[Type]],RecordCount[],2,0)),VLOOKUP(IDNMaps[[#This Row],[Type]],RecordCount[],8,0),0),"")</f>
        <v/>
      </c>
    </row>
    <row r="372" spans="10:16" x14ac:dyDescent="0.25">
      <c r="J372" s="11">
        <f t="shared" si="5"/>
        <v>371</v>
      </c>
      <c r="K37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2" s="6" t="str">
        <f ca="1">IF(IDNMaps[[#This Row],[Type]]="","",COUNTIF($K$1:IDNMaps[[#This Row],[Type]],IDNMaps[[#This Row],[Type]]))</f>
        <v/>
      </c>
      <c r="M372" s="6" t="str">
        <f ca="1">IFERROR(VLOOKUP(IDNMaps[[#This Row],[Type]],RecordCount[],6,0)&amp;"-"&amp;IDNMaps[[#This Row],[Type Count]],"")</f>
        <v/>
      </c>
      <c r="N372" s="6" t="str">
        <f ca="1">IFERROR(VLOOKUP(IDNMaps[[#This Row],[Primary]],INDIRECT(VLOOKUP(IDNMaps[[#This Row],[Type]],RecordCount[],2,0)),VLOOKUP(IDNMaps[[#This Row],[Type]],RecordCount[],7,0),0),"")</f>
        <v/>
      </c>
      <c r="O372" s="6" t="str">
        <f ca="1">IF(IDNMaps[[#This Row],[Name]]="","","("&amp;IDNMaps[[#This Row],[Type]]&amp;") "&amp;IDNMaps[[#This Row],[Name]])</f>
        <v/>
      </c>
      <c r="P372" s="6" t="str">
        <f ca="1">IFERROR(VLOOKUP(IDNMaps[[#This Row],[Primary]],INDIRECT(VLOOKUP(IDNMaps[[#This Row],[Type]],RecordCount[],2,0)),VLOOKUP(IDNMaps[[#This Row],[Type]],RecordCount[],8,0),0),"")</f>
        <v/>
      </c>
    </row>
    <row r="373" spans="10:16" x14ac:dyDescent="0.25">
      <c r="J373" s="11">
        <f t="shared" si="5"/>
        <v>372</v>
      </c>
      <c r="K37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3" s="6" t="str">
        <f ca="1">IF(IDNMaps[[#This Row],[Type]]="","",COUNTIF($K$1:IDNMaps[[#This Row],[Type]],IDNMaps[[#This Row],[Type]]))</f>
        <v/>
      </c>
      <c r="M373" s="6" t="str">
        <f ca="1">IFERROR(VLOOKUP(IDNMaps[[#This Row],[Type]],RecordCount[],6,0)&amp;"-"&amp;IDNMaps[[#This Row],[Type Count]],"")</f>
        <v/>
      </c>
      <c r="N373" s="6" t="str">
        <f ca="1">IFERROR(VLOOKUP(IDNMaps[[#This Row],[Primary]],INDIRECT(VLOOKUP(IDNMaps[[#This Row],[Type]],RecordCount[],2,0)),VLOOKUP(IDNMaps[[#This Row],[Type]],RecordCount[],7,0),0),"")</f>
        <v/>
      </c>
      <c r="O373" s="6" t="str">
        <f ca="1">IF(IDNMaps[[#This Row],[Name]]="","","("&amp;IDNMaps[[#This Row],[Type]]&amp;") "&amp;IDNMaps[[#This Row],[Name]])</f>
        <v/>
      </c>
      <c r="P373" s="6" t="str">
        <f ca="1">IFERROR(VLOOKUP(IDNMaps[[#This Row],[Primary]],INDIRECT(VLOOKUP(IDNMaps[[#This Row],[Type]],RecordCount[],2,0)),VLOOKUP(IDNMaps[[#This Row],[Type]],RecordCount[],8,0),0),"")</f>
        <v/>
      </c>
    </row>
    <row r="374" spans="10:16" x14ac:dyDescent="0.25">
      <c r="J374" s="11">
        <f t="shared" si="5"/>
        <v>373</v>
      </c>
      <c r="K37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4" s="6" t="str">
        <f ca="1">IF(IDNMaps[[#This Row],[Type]]="","",COUNTIF($K$1:IDNMaps[[#This Row],[Type]],IDNMaps[[#This Row],[Type]]))</f>
        <v/>
      </c>
      <c r="M374" s="6" t="str">
        <f ca="1">IFERROR(VLOOKUP(IDNMaps[[#This Row],[Type]],RecordCount[],6,0)&amp;"-"&amp;IDNMaps[[#This Row],[Type Count]],"")</f>
        <v/>
      </c>
      <c r="N374" s="6" t="str">
        <f ca="1">IFERROR(VLOOKUP(IDNMaps[[#This Row],[Primary]],INDIRECT(VLOOKUP(IDNMaps[[#This Row],[Type]],RecordCount[],2,0)),VLOOKUP(IDNMaps[[#This Row],[Type]],RecordCount[],7,0),0),"")</f>
        <v/>
      </c>
      <c r="O374" s="6" t="str">
        <f ca="1">IF(IDNMaps[[#This Row],[Name]]="","","("&amp;IDNMaps[[#This Row],[Type]]&amp;") "&amp;IDNMaps[[#This Row],[Name]])</f>
        <v/>
      </c>
      <c r="P374" s="6" t="str">
        <f ca="1">IFERROR(VLOOKUP(IDNMaps[[#This Row],[Primary]],INDIRECT(VLOOKUP(IDNMaps[[#This Row],[Type]],RecordCount[],2,0)),VLOOKUP(IDNMaps[[#This Row],[Type]],RecordCount[],8,0),0),"")</f>
        <v/>
      </c>
    </row>
    <row r="375" spans="10:16" x14ac:dyDescent="0.25">
      <c r="J375" s="11">
        <f t="shared" si="5"/>
        <v>374</v>
      </c>
      <c r="K37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5" s="6" t="str">
        <f ca="1">IF(IDNMaps[[#This Row],[Type]]="","",COUNTIF($K$1:IDNMaps[[#This Row],[Type]],IDNMaps[[#This Row],[Type]]))</f>
        <v/>
      </c>
      <c r="M375" s="6" t="str">
        <f ca="1">IFERROR(VLOOKUP(IDNMaps[[#This Row],[Type]],RecordCount[],6,0)&amp;"-"&amp;IDNMaps[[#This Row],[Type Count]],"")</f>
        <v/>
      </c>
      <c r="N375" s="6" t="str">
        <f ca="1">IFERROR(VLOOKUP(IDNMaps[[#This Row],[Primary]],INDIRECT(VLOOKUP(IDNMaps[[#This Row],[Type]],RecordCount[],2,0)),VLOOKUP(IDNMaps[[#This Row],[Type]],RecordCount[],7,0),0),"")</f>
        <v/>
      </c>
      <c r="O375" s="6" t="str">
        <f ca="1">IF(IDNMaps[[#This Row],[Name]]="","","("&amp;IDNMaps[[#This Row],[Type]]&amp;") "&amp;IDNMaps[[#This Row],[Name]])</f>
        <v/>
      </c>
      <c r="P375" s="6" t="str">
        <f ca="1">IFERROR(VLOOKUP(IDNMaps[[#This Row],[Primary]],INDIRECT(VLOOKUP(IDNMaps[[#This Row],[Type]],RecordCount[],2,0)),VLOOKUP(IDNMaps[[#This Row],[Type]],RecordCount[],8,0),0),"")</f>
        <v/>
      </c>
    </row>
    <row r="376" spans="10:16" x14ac:dyDescent="0.25">
      <c r="J376" s="11">
        <f t="shared" si="5"/>
        <v>375</v>
      </c>
      <c r="K37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6" s="6" t="str">
        <f ca="1">IF(IDNMaps[[#This Row],[Type]]="","",COUNTIF($K$1:IDNMaps[[#This Row],[Type]],IDNMaps[[#This Row],[Type]]))</f>
        <v/>
      </c>
      <c r="M376" s="6" t="str">
        <f ca="1">IFERROR(VLOOKUP(IDNMaps[[#This Row],[Type]],RecordCount[],6,0)&amp;"-"&amp;IDNMaps[[#This Row],[Type Count]],"")</f>
        <v/>
      </c>
      <c r="N376" s="6" t="str">
        <f ca="1">IFERROR(VLOOKUP(IDNMaps[[#This Row],[Primary]],INDIRECT(VLOOKUP(IDNMaps[[#This Row],[Type]],RecordCount[],2,0)),VLOOKUP(IDNMaps[[#This Row],[Type]],RecordCount[],7,0),0),"")</f>
        <v/>
      </c>
      <c r="O376" s="6" t="str">
        <f ca="1">IF(IDNMaps[[#This Row],[Name]]="","","("&amp;IDNMaps[[#This Row],[Type]]&amp;") "&amp;IDNMaps[[#This Row],[Name]])</f>
        <v/>
      </c>
      <c r="P376" s="6" t="str">
        <f ca="1">IFERROR(VLOOKUP(IDNMaps[[#This Row],[Primary]],INDIRECT(VLOOKUP(IDNMaps[[#This Row],[Type]],RecordCount[],2,0)),VLOOKUP(IDNMaps[[#This Row],[Type]],RecordCount[],8,0),0),"")</f>
        <v/>
      </c>
    </row>
    <row r="377" spans="10:16" x14ac:dyDescent="0.25">
      <c r="J377" s="11">
        <f t="shared" si="5"/>
        <v>376</v>
      </c>
      <c r="K37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7" s="6" t="str">
        <f ca="1">IF(IDNMaps[[#This Row],[Type]]="","",COUNTIF($K$1:IDNMaps[[#This Row],[Type]],IDNMaps[[#This Row],[Type]]))</f>
        <v/>
      </c>
      <c r="M377" s="6" t="str">
        <f ca="1">IFERROR(VLOOKUP(IDNMaps[[#This Row],[Type]],RecordCount[],6,0)&amp;"-"&amp;IDNMaps[[#This Row],[Type Count]],"")</f>
        <v/>
      </c>
      <c r="N377" s="6" t="str">
        <f ca="1">IFERROR(VLOOKUP(IDNMaps[[#This Row],[Primary]],INDIRECT(VLOOKUP(IDNMaps[[#This Row],[Type]],RecordCount[],2,0)),VLOOKUP(IDNMaps[[#This Row],[Type]],RecordCount[],7,0),0),"")</f>
        <v/>
      </c>
      <c r="O377" s="6" t="str">
        <f ca="1">IF(IDNMaps[[#This Row],[Name]]="","","("&amp;IDNMaps[[#This Row],[Type]]&amp;") "&amp;IDNMaps[[#This Row],[Name]])</f>
        <v/>
      </c>
      <c r="P377" s="6" t="str">
        <f ca="1">IFERROR(VLOOKUP(IDNMaps[[#This Row],[Primary]],INDIRECT(VLOOKUP(IDNMaps[[#This Row],[Type]],RecordCount[],2,0)),VLOOKUP(IDNMaps[[#This Row],[Type]],RecordCount[],8,0),0),"")</f>
        <v/>
      </c>
    </row>
    <row r="378" spans="10:16" x14ac:dyDescent="0.25">
      <c r="J378" s="11">
        <f t="shared" si="5"/>
        <v>377</v>
      </c>
      <c r="K37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8" s="6" t="str">
        <f ca="1">IF(IDNMaps[[#This Row],[Type]]="","",COUNTIF($K$1:IDNMaps[[#This Row],[Type]],IDNMaps[[#This Row],[Type]]))</f>
        <v/>
      </c>
      <c r="M378" s="6" t="str">
        <f ca="1">IFERROR(VLOOKUP(IDNMaps[[#This Row],[Type]],RecordCount[],6,0)&amp;"-"&amp;IDNMaps[[#This Row],[Type Count]],"")</f>
        <v/>
      </c>
      <c r="N378" s="6" t="str">
        <f ca="1">IFERROR(VLOOKUP(IDNMaps[[#This Row],[Primary]],INDIRECT(VLOOKUP(IDNMaps[[#This Row],[Type]],RecordCount[],2,0)),VLOOKUP(IDNMaps[[#This Row],[Type]],RecordCount[],7,0),0),"")</f>
        <v/>
      </c>
      <c r="O378" s="6" t="str">
        <f ca="1">IF(IDNMaps[[#This Row],[Name]]="","","("&amp;IDNMaps[[#This Row],[Type]]&amp;") "&amp;IDNMaps[[#This Row],[Name]])</f>
        <v/>
      </c>
      <c r="P378" s="6" t="str">
        <f ca="1">IFERROR(VLOOKUP(IDNMaps[[#This Row],[Primary]],INDIRECT(VLOOKUP(IDNMaps[[#This Row],[Type]],RecordCount[],2,0)),VLOOKUP(IDNMaps[[#This Row],[Type]],RecordCount[],8,0),0),"")</f>
        <v/>
      </c>
    </row>
    <row r="379" spans="10:16" x14ac:dyDescent="0.25">
      <c r="J379" s="11">
        <f t="shared" si="5"/>
        <v>378</v>
      </c>
      <c r="K37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9" s="6" t="str">
        <f ca="1">IF(IDNMaps[[#This Row],[Type]]="","",COUNTIF($K$1:IDNMaps[[#This Row],[Type]],IDNMaps[[#This Row],[Type]]))</f>
        <v/>
      </c>
      <c r="M379" s="6" t="str">
        <f ca="1">IFERROR(VLOOKUP(IDNMaps[[#This Row],[Type]],RecordCount[],6,0)&amp;"-"&amp;IDNMaps[[#This Row],[Type Count]],"")</f>
        <v/>
      </c>
      <c r="N379" s="6" t="str">
        <f ca="1">IFERROR(VLOOKUP(IDNMaps[[#This Row],[Primary]],INDIRECT(VLOOKUP(IDNMaps[[#This Row],[Type]],RecordCount[],2,0)),VLOOKUP(IDNMaps[[#This Row],[Type]],RecordCount[],7,0),0),"")</f>
        <v/>
      </c>
      <c r="O379" s="6" t="str">
        <f ca="1">IF(IDNMaps[[#This Row],[Name]]="","","("&amp;IDNMaps[[#This Row],[Type]]&amp;") "&amp;IDNMaps[[#This Row],[Name]])</f>
        <v/>
      </c>
      <c r="P379" s="6" t="str">
        <f ca="1">IFERROR(VLOOKUP(IDNMaps[[#This Row],[Primary]],INDIRECT(VLOOKUP(IDNMaps[[#This Row],[Type]],RecordCount[],2,0)),VLOOKUP(IDNMaps[[#This Row],[Type]],RecordCount[],8,0),0),"")</f>
        <v/>
      </c>
    </row>
    <row r="380" spans="10:16" x14ac:dyDescent="0.25">
      <c r="J380" s="11">
        <f t="shared" si="5"/>
        <v>379</v>
      </c>
      <c r="K38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0" s="6" t="str">
        <f ca="1">IF(IDNMaps[[#This Row],[Type]]="","",COUNTIF($K$1:IDNMaps[[#This Row],[Type]],IDNMaps[[#This Row],[Type]]))</f>
        <v/>
      </c>
      <c r="M380" s="6" t="str">
        <f ca="1">IFERROR(VLOOKUP(IDNMaps[[#This Row],[Type]],RecordCount[],6,0)&amp;"-"&amp;IDNMaps[[#This Row],[Type Count]],"")</f>
        <v/>
      </c>
      <c r="N380" s="6" t="str">
        <f ca="1">IFERROR(VLOOKUP(IDNMaps[[#This Row],[Primary]],INDIRECT(VLOOKUP(IDNMaps[[#This Row],[Type]],RecordCount[],2,0)),VLOOKUP(IDNMaps[[#This Row],[Type]],RecordCount[],7,0),0),"")</f>
        <v/>
      </c>
      <c r="O380" s="6" t="str">
        <f ca="1">IF(IDNMaps[[#This Row],[Name]]="","","("&amp;IDNMaps[[#This Row],[Type]]&amp;") "&amp;IDNMaps[[#This Row],[Name]])</f>
        <v/>
      </c>
      <c r="P380" s="6" t="str">
        <f ca="1">IFERROR(VLOOKUP(IDNMaps[[#This Row],[Primary]],INDIRECT(VLOOKUP(IDNMaps[[#This Row],[Type]],RecordCount[],2,0)),VLOOKUP(IDNMaps[[#This Row],[Type]],RecordCount[],8,0),0),"")</f>
        <v/>
      </c>
    </row>
    <row r="381" spans="10:16" x14ac:dyDescent="0.25">
      <c r="J381" s="11">
        <f t="shared" si="5"/>
        <v>380</v>
      </c>
      <c r="K38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1" s="6" t="str">
        <f ca="1">IF(IDNMaps[[#This Row],[Type]]="","",COUNTIF($K$1:IDNMaps[[#This Row],[Type]],IDNMaps[[#This Row],[Type]]))</f>
        <v/>
      </c>
      <c r="M381" s="6" t="str">
        <f ca="1">IFERROR(VLOOKUP(IDNMaps[[#This Row],[Type]],RecordCount[],6,0)&amp;"-"&amp;IDNMaps[[#This Row],[Type Count]],"")</f>
        <v/>
      </c>
      <c r="N381" s="6" t="str">
        <f ca="1">IFERROR(VLOOKUP(IDNMaps[[#This Row],[Primary]],INDIRECT(VLOOKUP(IDNMaps[[#This Row],[Type]],RecordCount[],2,0)),VLOOKUP(IDNMaps[[#This Row],[Type]],RecordCount[],7,0),0),"")</f>
        <v/>
      </c>
      <c r="O381" s="6" t="str">
        <f ca="1">IF(IDNMaps[[#This Row],[Name]]="","","("&amp;IDNMaps[[#This Row],[Type]]&amp;") "&amp;IDNMaps[[#This Row],[Name]])</f>
        <v/>
      </c>
      <c r="P381" s="6" t="str">
        <f ca="1">IFERROR(VLOOKUP(IDNMaps[[#This Row],[Primary]],INDIRECT(VLOOKUP(IDNMaps[[#This Row],[Type]],RecordCount[],2,0)),VLOOKUP(IDNMaps[[#This Row],[Type]],RecordCount[],8,0),0),"")</f>
        <v/>
      </c>
    </row>
    <row r="382" spans="10:16" x14ac:dyDescent="0.25">
      <c r="J382" s="11">
        <f t="shared" si="5"/>
        <v>381</v>
      </c>
      <c r="K38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2" s="6" t="str">
        <f ca="1">IF(IDNMaps[[#This Row],[Type]]="","",COUNTIF($K$1:IDNMaps[[#This Row],[Type]],IDNMaps[[#This Row],[Type]]))</f>
        <v/>
      </c>
      <c r="M382" s="6" t="str">
        <f ca="1">IFERROR(VLOOKUP(IDNMaps[[#This Row],[Type]],RecordCount[],6,0)&amp;"-"&amp;IDNMaps[[#This Row],[Type Count]],"")</f>
        <v/>
      </c>
      <c r="N382" s="6" t="str">
        <f ca="1">IFERROR(VLOOKUP(IDNMaps[[#This Row],[Primary]],INDIRECT(VLOOKUP(IDNMaps[[#This Row],[Type]],RecordCount[],2,0)),VLOOKUP(IDNMaps[[#This Row],[Type]],RecordCount[],7,0),0),"")</f>
        <v/>
      </c>
      <c r="O382" s="6" t="str">
        <f ca="1">IF(IDNMaps[[#This Row],[Name]]="","","("&amp;IDNMaps[[#This Row],[Type]]&amp;") "&amp;IDNMaps[[#This Row],[Name]])</f>
        <v/>
      </c>
      <c r="P382" s="6" t="str">
        <f ca="1">IFERROR(VLOOKUP(IDNMaps[[#This Row],[Primary]],INDIRECT(VLOOKUP(IDNMaps[[#This Row],[Type]],RecordCount[],2,0)),VLOOKUP(IDNMaps[[#This Row],[Type]],RecordCount[],8,0),0),"")</f>
        <v/>
      </c>
    </row>
    <row r="383" spans="10:16" x14ac:dyDescent="0.25">
      <c r="J383" s="11">
        <f t="shared" si="5"/>
        <v>382</v>
      </c>
      <c r="K38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3" s="6" t="str">
        <f ca="1">IF(IDNMaps[[#This Row],[Type]]="","",COUNTIF($K$1:IDNMaps[[#This Row],[Type]],IDNMaps[[#This Row],[Type]]))</f>
        <v/>
      </c>
      <c r="M383" s="6" t="str">
        <f ca="1">IFERROR(VLOOKUP(IDNMaps[[#This Row],[Type]],RecordCount[],6,0)&amp;"-"&amp;IDNMaps[[#This Row],[Type Count]],"")</f>
        <v/>
      </c>
      <c r="N383" s="6" t="str">
        <f ca="1">IFERROR(VLOOKUP(IDNMaps[[#This Row],[Primary]],INDIRECT(VLOOKUP(IDNMaps[[#This Row],[Type]],RecordCount[],2,0)),VLOOKUP(IDNMaps[[#This Row],[Type]],RecordCount[],7,0),0),"")</f>
        <v/>
      </c>
      <c r="O383" s="6" t="str">
        <f ca="1">IF(IDNMaps[[#This Row],[Name]]="","","("&amp;IDNMaps[[#This Row],[Type]]&amp;") "&amp;IDNMaps[[#This Row],[Name]])</f>
        <v/>
      </c>
      <c r="P383" s="6" t="str">
        <f ca="1">IFERROR(VLOOKUP(IDNMaps[[#This Row],[Primary]],INDIRECT(VLOOKUP(IDNMaps[[#This Row],[Type]],RecordCount[],2,0)),VLOOKUP(IDNMaps[[#This Row],[Type]],RecordCount[],8,0),0),"")</f>
        <v/>
      </c>
    </row>
    <row r="384" spans="10:16" x14ac:dyDescent="0.25">
      <c r="J384" s="11">
        <f t="shared" si="5"/>
        <v>383</v>
      </c>
      <c r="K38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4" s="6" t="str">
        <f ca="1">IF(IDNMaps[[#This Row],[Type]]="","",COUNTIF($K$1:IDNMaps[[#This Row],[Type]],IDNMaps[[#This Row],[Type]]))</f>
        <v/>
      </c>
      <c r="M384" s="6" t="str">
        <f ca="1">IFERROR(VLOOKUP(IDNMaps[[#This Row],[Type]],RecordCount[],6,0)&amp;"-"&amp;IDNMaps[[#This Row],[Type Count]],"")</f>
        <v/>
      </c>
      <c r="N384" s="6" t="str">
        <f ca="1">IFERROR(VLOOKUP(IDNMaps[[#This Row],[Primary]],INDIRECT(VLOOKUP(IDNMaps[[#This Row],[Type]],RecordCount[],2,0)),VLOOKUP(IDNMaps[[#This Row],[Type]],RecordCount[],7,0),0),"")</f>
        <v/>
      </c>
      <c r="O384" s="6" t="str">
        <f ca="1">IF(IDNMaps[[#This Row],[Name]]="","","("&amp;IDNMaps[[#This Row],[Type]]&amp;") "&amp;IDNMaps[[#This Row],[Name]])</f>
        <v/>
      </c>
      <c r="P384" s="6" t="str">
        <f ca="1">IFERROR(VLOOKUP(IDNMaps[[#This Row],[Primary]],INDIRECT(VLOOKUP(IDNMaps[[#This Row],[Type]],RecordCount[],2,0)),VLOOKUP(IDNMaps[[#This Row],[Type]],RecordCount[],8,0),0),"")</f>
        <v/>
      </c>
    </row>
    <row r="385" spans="10:16" x14ac:dyDescent="0.25">
      <c r="J385" s="11">
        <f t="shared" si="5"/>
        <v>384</v>
      </c>
      <c r="K38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5" s="6" t="str">
        <f ca="1">IF(IDNMaps[[#This Row],[Type]]="","",COUNTIF($K$1:IDNMaps[[#This Row],[Type]],IDNMaps[[#This Row],[Type]]))</f>
        <v/>
      </c>
      <c r="M385" s="6" t="str">
        <f ca="1">IFERROR(VLOOKUP(IDNMaps[[#This Row],[Type]],RecordCount[],6,0)&amp;"-"&amp;IDNMaps[[#This Row],[Type Count]],"")</f>
        <v/>
      </c>
      <c r="N385" s="6" t="str">
        <f ca="1">IFERROR(VLOOKUP(IDNMaps[[#This Row],[Primary]],INDIRECT(VLOOKUP(IDNMaps[[#This Row],[Type]],RecordCount[],2,0)),VLOOKUP(IDNMaps[[#This Row],[Type]],RecordCount[],7,0),0),"")</f>
        <v/>
      </c>
      <c r="O385" s="6" t="str">
        <f ca="1">IF(IDNMaps[[#This Row],[Name]]="","","("&amp;IDNMaps[[#This Row],[Type]]&amp;") "&amp;IDNMaps[[#This Row],[Name]])</f>
        <v/>
      </c>
      <c r="P385" s="6" t="str">
        <f ca="1">IFERROR(VLOOKUP(IDNMaps[[#This Row],[Primary]],INDIRECT(VLOOKUP(IDNMaps[[#This Row],[Type]],RecordCount[],2,0)),VLOOKUP(IDNMaps[[#This Row],[Type]],RecordCount[],8,0),0),"")</f>
        <v/>
      </c>
    </row>
    <row r="386" spans="10:16" x14ac:dyDescent="0.25">
      <c r="J386" s="11">
        <f t="shared" ref="J386:J449" si="6">IFERROR($J385+1,1)</f>
        <v>385</v>
      </c>
      <c r="K38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6" s="6" t="str">
        <f ca="1">IF(IDNMaps[[#This Row],[Type]]="","",COUNTIF($K$1:IDNMaps[[#This Row],[Type]],IDNMaps[[#This Row],[Type]]))</f>
        <v/>
      </c>
      <c r="M386" s="6" t="str">
        <f ca="1">IFERROR(VLOOKUP(IDNMaps[[#This Row],[Type]],RecordCount[],6,0)&amp;"-"&amp;IDNMaps[[#This Row],[Type Count]],"")</f>
        <v/>
      </c>
      <c r="N386" s="6" t="str">
        <f ca="1">IFERROR(VLOOKUP(IDNMaps[[#This Row],[Primary]],INDIRECT(VLOOKUP(IDNMaps[[#This Row],[Type]],RecordCount[],2,0)),VLOOKUP(IDNMaps[[#This Row],[Type]],RecordCount[],7,0),0),"")</f>
        <v/>
      </c>
      <c r="O386" s="6" t="str">
        <f ca="1">IF(IDNMaps[[#This Row],[Name]]="","","("&amp;IDNMaps[[#This Row],[Type]]&amp;") "&amp;IDNMaps[[#This Row],[Name]])</f>
        <v/>
      </c>
      <c r="P386" s="6" t="str">
        <f ca="1">IFERROR(VLOOKUP(IDNMaps[[#This Row],[Primary]],INDIRECT(VLOOKUP(IDNMaps[[#This Row],[Type]],RecordCount[],2,0)),VLOOKUP(IDNMaps[[#This Row],[Type]],RecordCount[],8,0),0),"")</f>
        <v/>
      </c>
    </row>
    <row r="387" spans="10:16" x14ac:dyDescent="0.25">
      <c r="J387" s="11">
        <f t="shared" si="6"/>
        <v>386</v>
      </c>
      <c r="K38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7" s="6" t="str">
        <f ca="1">IF(IDNMaps[[#This Row],[Type]]="","",COUNTIF($K$1:IDNMaps[[#This Row],[Type]],IDNMaps[[#This Row],[Type]]))</f>
        <v/>
      </c>
      <c r="M387" s="6" t="str">
        <f ca="1">IFERROR(VLOOKUP(IDNMaps[[#This Row],[Type]],RecordCount[],6,0)&amp;"-"&amp;IDNMaps[[#This Row],[Type Count]],"")</f>
        <v/>
      </c>
      <c r="N387" s="6" t="str">
        <f ca="1">IFERROR(VLOOKUP(IDNMaps[[#This Row],[Primary]],INDIRECT(VLOOKUP(IDNMaps[[#This Row],[Type]],RecordCount[],2,0)),VLOOKUP(IDNMaps[[#This Row],[Type]],RecordCount[],7,0),0),"")</f>
        <v/>
      </c>
      <c r="O387" s="6" t="str">
        <f ca="1">IF(IDNMaps[[#This Row],[Name]]="","","("&amp;IDNMaps[[#This Row],[Type]]&amp;") "&amp;IDNMaps[[#This Row],[Name]])</f>
        <v/>
      </c>
      <c r="P387" s="6" t="str">
        <f ca="1">IFERROR(VLOOKUP(IDNMaps[[#This Row],[Primary]],INDIRECT(VLOOKUP(IDNMaps[[#This Row],[Type]],RecordCount[],2,0)),VLOOKUP(IDNMaps[[#This Row],[Type]],RecordCount[],8,0),0),"")</f>
        <v/>
      </c>
    </row>
    <row r="388" spans="10:16" x14ac:dyDescent="0.25">
      <c r="J388" s="11">
        <f t="shared" si="6"/>
        <v>387</v>
      </c>
      <c r="K38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8" s="6" t="str">
        <f ca="1">IF(IDNMaps[[#This Row],[Type]]="","",COUNTIF($K$1:IDNMaps[[#This Row],[Type]],IDNMaps[[#This Row],[Type]]))</f>
        <v/>
      </c>
      <c r="M388" s="6" t="str">
        <f ca="1">IFERROR(VLOOKUP(IDNMaps[[#This Row],[Type]],RecordCount[],6,0)&amp;"-"&amp;IDNMaps[[#This Row],[Type Count]],"")</f>
        <v/>
      </c>
      <c r="N388" s="6" t="str">
        <f ca="1">IFERROR(VLOOKUP(IDNMaps[[#This Row],[Primary]],INDIRECT(VLOOKUP(IDNMaps[[#This Row],[Type]],RecordCount[],2,0)),VLOOKUP(IDNMaps[[#This Row],[Type]],RecordCount[],7,0),0),"")</f>
        <v/>
      </c>
      <c r="O388" s="6" t="str">
        <f ca="1">IF(IDNMaps[[#This Row],[Name]]="","","("&amp;IDNMaps[[#This Row],[Type]]&amp;") "&amp;IDNMaps[[#This Row],[Name]])</f>
        <v/>
      </c>
      <c r="P388" s="6" t="str">
        <f ca="1">IFERROR(VLOOKUP(IDNMaps[[#This Row],[Primary]],INDIRECT(VLOOKUP(IDNMaps[[#This Row],[Type]],RecordCount[],2,0)),VLOOKUP(IDNMaps[[#This Row],[Type]],RecordCount[],8,0),0),"")</f>
        <v/>
      </c>
    </row>
    <row r="389" spans="10:16" x14ac:dyDescent="0.25">
      <c r="J389" s="11">
        <f t="shared" si="6"/>
        <v>388</v>
      </c>
      <c r="K38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9" s="6" t="str">
        <f ca="1">IF(IDNMaps[[#This Row],[Type]]="","",COUNTIF($K$1:IDNMaps[[#This Row],[Type]],IDNMaps[[#This Row],[Type]]))</f>
        <v/>
      </c>
      <c r="M389" s="6" t="str">
        <f ca="1">IFERROR(VLOOKUP(IDNMaps[[#This Row],[Type]],RecordCount[],6,0)&amp;"-"&amp;IDNMaps[[#This Row],[Type Count]],"")</f>
        <v/>
      </c>
      <c r="N389" s="6" t="str">
        <f ca="1">IFERROR(VLOOKUP(IDNMaps[[#This Row],[Primary]],INDIRECT(VLOOKUP(IDNMaps[[#This Row],[Type]],RecordCount[],2,0)),VLOOKUP(IDNMaps[[#This Row],[Type]],RecordCount[],7,0),0),"")</f>
        <v/>
      </c>
      <c r="O389" s="6" t="str">
        <f ca="1">IF(IDNMaps[[#This Row],[Name]]="","","("&amp;IDNMaps[[#This Row],[Type]]&amp;") "&amp;IDNMaps[[#This Row],[Name]])</f>
        <v/>
      </c>
      <c r="P389" s="6" t="str">
        <f ca="1">IFERROR(VLOOKUP(IDNMaps[[#This Row],[Primary]],INDIRECT(VLOOKUP(IDNMaps[[#This Row],[Type]],RecordCount[],2,0)),VLOOKUP(IDNMaps[[#This Row],[Type]],RecordCount[],8,0),0),"")</f>
        <v/>
      </c>
    </row>
    <row r="390" spans="10:16" x14ac:dyDescent="0.25">
      <c r="J390" s="11">
        <f t="shared" si="6"/>
        <v>389</v>
      </c>
      <c r="K39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0" s="6" t="str">
        <f ca="1">IF(IDNMaps[[#This Row],[Type]]="","",COUNTIF($K$1:IDNMaps[[#This Row],[Type]],IDNMaps[[#This Row],[Type]]))</f>
        <v/>
      </c>
      <c r="M390" s="6" t="str">
        <f ca="1">IFERROR(VLOOKUP(IDNMaps[[#This Row],[Type]],RecordCount[],6,0)&amp;"-"&amp;IDNMaps[[#This Row],[Type Count]],"")</f>
        <v/>
      </c>
      <c r="N390" s="6" t="str">
        <f ca="1">IFERROR(VLOOKUP(IDNMaps[[#This Row],[Primary]],INDIRECT(VLOOKUP(IDNMaps[[#This Row],[Type]],RecordCount[],2,0)),VLOOKUP(IDNMaps[[#This Row],[Type]],RecordCount[],7,0),0),"")</f>
        <v/>
      </c>
      <c r="O390" s="6" t="str">
        <f ca="1">IF(IDNMaps[[#This Row],[Name]]="","","("&amp;IDNMaps[[#This Row],[Type]]&amp;") "&amp;IDNMaps[[#This Row],[Name]])</f>
        <v/>
      </c>
      <c r="P390" s="6" t="str">
        <f ca="1">IFERROR(VLOOKUP(IDNMaps[[#This Row],[Primary]],INDIRECT(VLOOKUP(IDNMaps[[#This Row],[Type]],RecordCount[],2,0)),VLOOKUP(IDNMaps[[#This Row],[Type]],RecordCount[],8,0),0),"")</f>
        <v/>
      </c>
    </row>
    <row r="391" spans="10:16" x14ac:dyDescent="0.25">
      <c r="J391" s="11">
        <f t="shared" si="6"/>
        <v>390</v>
      </c>
      <c r="K39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1" s="6" t="str">
        <f ca="1">IF(IDNMaps[[#This Row],[Type]]="","",COUNTIF($K$1:IDNMaps[[#This Row],[Type]],IDNMaps[[#This Row],[Type]]))</f>
        <v/>
      </c>
      <c r="M391" s="6" t="str">
        <f ca="1">IFERROR(VLOOKUP(IDNMaps[[#This Row],[Type]],RecordCount[],6,0)&amp;"-"&amp;IDNMaps[[#This Row],[Type Count]],"")</f>
        <v/>
      </c>
      <c r="N391" s="6" t="str">
        <f ca="1">IFERROR(VLOOKUP(IDNMaps[[#This Row],[Primary]],INDIRECT(VLOOKUP(IDNMaps[[#This Row],[Type]],RecordCount[],2,0)),VLOOKUP(IDNMaps[[#This Row],[Type]],RecordCount[],7,0),0),"")</f>
        <v/>
      </c>
      <c r="O391" s="6" t="str">
        <f ca="1">IF(IDNMaps[[#This Row],[Name]]="","","("&amp;IDNMaps[[#This Row],[Type]]&amp;") "&amp;IDNMaps[[#This Row],[Name]])</f>
        <v/>
      </c>
      <c r="P391" s="6" t="str">
        <f ca="1">IFERROR(VLOOKUP(IDNMaps[[#This Row],[Primary]],INDIRECT(VLOOKUP(IDNMaps[[#This Row],[Type]],RecordCount[],2,0)),VLOOKUP(IDNMaps[[#This Row],[Type]],RecordCount[],8,0),0),"")</f>
        <v/>
      </c>
    </row>
    <row r="392" spans="10:16" x14ac:dyDescent="0.25">
      <c r="J392" s="11">
        <f t="shared" si="6"/>
        <v>391</v>
      </c>
      <c r="K39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2" s="6" t="str">
        <f ca="1">IF(IDNMaps[[#This Row],[Type]]="","",COUNTIF($K$1:IDNMaps[[#This Row],[Type]],IDNMaps[[#This Row],[Type]]))</f>
        <v/>
      </c>
      <c r="M392" s="6" t="str">
        <f ca="1">IFERROR(VLOOKUP(IDNMaps[[#This Row],[Type]],RecordCount[],6,0)&amp;"-"&amp;IDNMaps[[#This Row],[Type Count]],"")</f>
        <v/>
      </c>
      <c r="N392" s="6" t="str">
        <f ca="1">IFERROR(VLOOKUP(IDNMaps[[#This Row],[Primary]],INDIRECT(VLOOKUP(IDNMaps[[#This Row],[Type]],RecordCount[],2,0)),VLOOKUP(IDNMaps[[#This Row],[Type]],RecordCount[],7,0),0),"")</f>
        <v/>
      </c>
      <c r="O392" s="6" t="str">
        <f ca="1">IF(IDNMaps[[#This Row],[Name]]="","","("&amp;IDNMaps[[#This Row],[Type]]&amp;") "&amp;IDNMaps[[#This Row],[Name]])</f>
        <v/>
      </c>
      <c r="P392" s="6" t="str">
        <f ca="1">IFERROR(VLOOKUP(IDNMaps[[#This Row],[Primary]],INDIRECT(VLOOKUP(IDNMaps[[#This Row],[Type]],RecordCount[],2,0)),VLOOKUP(IDNMaps[[#This Row],[Type]],RecordCount[],8,0),0),"")</f>
        <v/>
      </c>
    </row>
    <row r="393" spans="10:16" x14ac:dyDescent="0.25">
      <c r="J393" s="11">
        <f t="shared" si="6"/>
        <v>392</v>
      </c>
      <c r="K39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3" s="6" t="str">
        <f ca="1">IF(IDNMaps[[#This Row],[Type]]="","",COUNTIF($K$1:IDNMaps[[#This Row],[Type]],IDNMaps[[#This Row],[Type]]))</f>
        <v/>
      </c>
      <c r="M393" s="6" t="str">
        <f ca="1">IFERROR(VLOOKUP(IDNMaps[[#This Row],[Type]],RecordCount[],6,0)&amp;"-"&amp;IDNMaps[[#This Row],[Type Count]],"")</f>
        <v/>
      </c>
      <c r="N393" s="6" t="str">
        <f ca="1">IFERROR(VLOOKUP(IDNMaps[[#This Row],[Primary]],INDIRECT(VLOOKUP(IDNMaps[[#This Row],[Type]],RecordCount[],2,0)),VLOOKUP(IDNMaps[[#This Row],[Type]],RecordCount[],7,0),0),"")</f>
        <v/>
      </c>
      <c r="O393" s="6" t="str">
        <f ca="1">IF(IDNMaps[[#This Row],[Name]]="","","("&amp;IDNMaps[[#This Row],[Type]]&amp;") "&amp;IDNMaps[[#This Row],[Name]])</f>
        <v/>
      </c>
      <c r="P393" s="6" t="str">
        <f ca="1">IFERROR(VLOOKUP(IDNMaps[[#This Row],[Primary]],INDIRECT(VLOOKUP(IDNMaps[[#This Row],[Type]],RecordCount[],2,0)),VLOOKUP(IDNMaps[[#This Row],[Type]],RecordCount[],8,0),0),"")</f>
        <v/>
      </c>
    </row>
    <row r="394" spans="10:16" x14ac:dyDescent="0.25">
      <c r="J394" s="11">
        <f t="shared" si="6"/>
        <v>393</v>
      </c>
      <c r="K39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4" s="6" t="str">
        <f ca="1">IF(IDNMaps[[#This Row],[Type]]="","",COUNTIF($K$1:IDNMaps[[#This Row],[Type]],IDNMaps[[#This Row],[Type]]))</f>
        <v/>
      </c>
      <c r="M394" s="6" t="str">
        <f ca="1">IFERROR(VLOOKUP(IDNMaps[[#This Row],[Type]],RecordCount[],6,0)&amp;"-"&amp;IDNMaps[[#This Row],[Type Count]],"")</f>
        <v/>
      </c>
      <c r="N394" s="6" t="str">
        <f ca="1">IFERROR(VLOOKUP(IDNMaps[[#This Row],[Primary]],INDIRECT(VLOOKUP(IDNMaps[[#This Row],[Type]],RecordCount[],2,0)),VLOOKUP(IDNMaps[[#This Row],[Type]],RecordCount[],7,0),0),"")</f>
        <v/>
      </c>
      <c r="O394" s="6" t="str">
        <f ca="1">IF(IDNMaps[[#This Row],[Name]]="","","("&amp;IDNMaps[[#This Row],[Type]]&amp;") "&amp;IDNMaps[[#This Row],[Name]])</f>
        <v/>
      </c>
      <c r="P394" s="6" t="str">
        <f ca="1">IFERROR(VLOOKUP(IDNMaps[[#This Row],[Primary]],INDIRECT(VLOOKUP(IDNMaps[[#This Row],[Type]],RecordCount[],2,0)),VLOOKUP(IDNMaps[[#This Row],[Type]],RecordCount[],8,0),0),"")</f>
        <v/>
      </c>
    </row>
    <row r="395" spans="10:16" x14ac:dyDescent="0.25">
      <c r="J395" s="11">
        <f t="shared" si="6"/>
        <v>394</v>
      </c>
      <c r="K39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5" s="6" t="str">
        <f ca="1">IF(IDNMaps[[#This Row],[Type]]="","",COUNTIF($K$1:IDNMaps[[#This Row],[Type]],IDNMaps[[#This Row],[Type]]))</f>
        <v/>
      </c>
      <c r="M395" s="6" t="str">
        <f ca="1">IFERROR(VLOOKUP(IDNMaps[[#This Row],[Type]],RecordCount[],6,0)&amp;"-"&amp;IDNMaps[[#This Row],[Type Count]],"")</f>
        <v/>
      </c>
      <c r="N395" s="6" t="str">
        <f ca="1">IFERROR(VLOOKUP(IDNMaps[[#This Row],[Primary]],INDIRECT(VLOOKUP(IDNMaps[[#This Row],[Type]],RecordCount[],2,0)),VLOOKUP(IDNMaps[[#This Row],[Type]],RecordCount[],7,0),0),"")</f>
        <v/>
      </c>
      <c r="O395" s="6" t="str">
        <f ca="1">IF(IDNMaps[[#This Row],[Name]]="","","("&amp;IDNMaps[[#This Row],[Type]]&amp;") "&amp;IDNMaps[[#This Row],[Name]])</f>
        <v/>
      </c>
      <c r="P395" s="6" t="str">
        <f ca="1">IFERROR(VLOOKUP(IDNMaps[[#This Row],[Primary]],INDIRECT(VLOOKUP(IDNMaps[[#This Row],[Type]],RecordCount[],2,0)),VLOOKUP(IDNMaps[[#This Row],[Type]],RecordCount[],8,0),0),"")</f>
        <v/>
      </c>
    </row>
    <row r="396" spans="10:16" x14ac:dyDescent="0.25">
      <c r="J396" s="11">
        <f t="shared" si="6"/>
        <v>395</v>
      </c>
      <c r="K39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6" s="6" t="str">
        <f ca="1">IF(IDNMaps[[#This Row],[Type]]="","",COUNTIF($K$1:IDNMaps[[#This Row],[Type]],IDNMaps[[#This Row],[Type]]))</f>
        <v/>
      </c>
      <c r="M396" s="6" t="str">
        <f ca="1">IFERROR(VLOOKUP(IDNMaps[[#This Row],[Type]],RecordCount[],6,0)&amp;"-"&amp;IDNMaps[[#This Row],[Type Count]],"")</f>
        <v/>
      </c>
      <c r="N396" s="6" t="str">
        <f ca="1">IFERROR(VLOOKUP(IDNMaps[[#This Row],[Primary]],INDIRECT(VLOOKUP(IDNMaps[[#This Row],[Type]],RecordCount[],2,0)),VLOOKUP(IDNMaps[[#This Row],[Type]],RecordCount[],7,0),0),"")</f>
        <v/>
      </c>
      <c r="O396" s="6" t="str">
        <f ca="1">IF(IDNMaps[[#This Row],[Name]]="","","("&amp;IDNMaps[[#This Row],[Type]]&amp;") "&amp;IDNMaps[[#This Row],[Name]])</f>
        <v/>
      </c>
      <c r="P396" s="6" t="str">
        <f ca="1">IFERROR(VLOOKUP(IDNMaps[[#This Row],[Primary]],INDIRECT(VLOOKUP(IDNMaps[[#This Row],[Type]],RecordCount[],2,0)),VLOOKUP(IDNMaps[[#This Row],[Type]],RecordCount[],8,0),0),"")</f>
        <v/>
      </c>
    </row>
    <row r="397" spans="10:16" x14ac:dyDescent="0.25">
      <c r="J397" s="11">
        <f t="shared" si="6"/>
        <v>396</v>
      </c>
      <c r="K39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7" s="6" t="str">
        <f ca="1">IF(IDNMaps[[#This Row],[Type]]="","",COUNTIF($K$1:IDNMaps[[#This Row],[Type]],IDNMaps[[#This Row],[Type]]))</f>
        <v/>
      </c>
      <c r="M397" s="6" t="str">
        <f ca="1">IFERROR(VLOOKUP(IDNMaps[[#This Row],[Type]],RecordCount[],6,0)&amp;"-"&amp;IDNMaps[[#This Row],[Type Count]],"")</f>
        <v/>
      </c>
      <c r="N397" s="6" t="str">
        <f ca="1">IFERROR(VLOOKUP(IDNMaps[[#This Row],[Primary]],INDIRECT(VLOOKUP(IDNMaps[[#This Row],[Type]],RecordCount[],2,0)),VLOOKUP(IDNMaps[[#This Row],[Type]],RecordCount[],7,0),0),"")</f>
        <v/>
      </c>
      <c r="O397" s="6" t="str">
        <f ca="1">IF(IDNMaps[[#This Row],[Name]]="","","("&amp;IDNMaps[[#This Row],[Type]]&amp;") "&amp;IDNMaps[[#This Row],[Name]])</f>
        <v/>
      </c>
      <c r="P397" s="6" t="str">
        <f ca="1">IFERROR(VLOOKUP(IDNMaps[[#This Row],[Primary]],INDIRECT(VLOOKUP(IDNMaps[[#This Row],[Type]],RecordCount[],2,0)),VLOOKUP(IDNMaps[[#This Row],[Type]],RecordCount[],8,0),0),"")</f>
        <v/>
      </c>
    </row>
    <row r="398" spans="10:16" x14ac:dyDescent="0.25">
      <c r="J398" s="11">
        <f t="shared" si="6"/>
        <v>397</v>
      </c>
      <c r="K39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8" s="6" t="str">
        <f ca="1">IF(IDNMaps[[#This Row],[Type]]="","",COUNTIF($K$1:IDNMaps[[#This Row],[Type]],IDNMaps[[#This Row],[Type]]))</f>
        <v/>
      </c>
      <c r="M398" s="6" t="str">
        <f ca="1">IFERROR(VLOOKUP(IDNMaps[[#This Row],[Type]],RecordCount[],6,0)&amp;"-"&amp;IDNMaps[[#This Row],[Type Count]],"")</f>
        <v/>
      </c>
      <c r="N398" s="6" t="str">
        <f ca="1">IFERROR(VLOOKUP(IDNMaps[[#This Row],[Primary]],INDIRECT(VLOOKUP(IDNMaps[[#This Row],[Type]],RecordCount[],2,0)),VLOOKUP(IDNMaps[[#This Row],[Type]],RecordCount[],7,0),0),"")</f>
        <v/>
      </c>
      <c r="O398" s="6" t="str">
        <f ca="1">IF(IDNMaps[[#This Row],[Name]]="","","("&amp;IDNMaps[[#This Row],[Type]]&amp;") "&amp;IDNMaps[[#This Row],[Name]])</f>
        <v/>
      </c>
      <c r="P398" s="6" t="str">
        <f ca="1">IFERROR(VLOOKUP(IDNMaps[[#This Row],[Primary]],INDIRECT(VLOOKUP(IDNMaps[[#This Row],[Type]],RecordCount[],2,0)),VLOOKUP(IDNMaps[[#This Row],[Type]],RecordCount[],8,0),0),"")</f>
        <v/>
      </c>
    </row>
    <row r="399" spans="10:16" x14ac:dyDescent="0.25">
      <c r="J399" s="11">
        <f t="shared" si="6"/>
        <v>398</v>
      </c>
      <c r="K39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9" s="6" t="str">
        <f ca="1">IF(IDNMaps[[#This Row],[Type]]="","",COUNTIF($K$1:IDNMaps[[#This Row],[Type]],IDNMaps[[#This Row],[Type]]))</f>
        <v/>
      </c>
      <c r="M399" s="6" t="str">
        <f ca="1">IFERROR(VLOOKUP(IDNMaps[[#This Row],[Type]],RecordCount[],6,0)&amp;"-"&amp;IDNMaps[[#This Row],[Type Count]],"")</f>
        <v/>
      </c>
      <c r="N399" s="6" t="str">
        <f ca="1">IFERROR(VLOOKUP(IDNMaps[[#This Row],[Primary]],INDIRECT(VLOOKUP(IDNMaps[[#This Row],[Type]],RecordCount[],2,0)),VLOOKUP(IDNMaps[[#This Row],[Type]],RecordCount[],7,0),0),"")</f>
        <v/>
      </c>
      <c r="O399" s="6" t="str">
        <f ca="1">IF(IDNMaps[[#This Row],[Name]]="","","("&amp;IDNMaps[[#This Row],[Type]]&amp;") "&amp;IDNMaps[[#This Row],[Name]])</f>
        <v/>
      </c>
      <c r="P399" s="6" t="str">
        <f ca="1">IFERROR(VLOOKUP(IDNMaps[[#This Row],[Primary]],INDIRECT(VLOOKUP(IDNMaps[[#This Row],[Type]],RecordCount[],2,0)),VLOOKUP(IDNMaps[[#This Row],[Type]],RecordCount[],8,0),0),"")</f>
        <v/>
      </c>
    </row>
    <row r="400" spans="10:16" x14ac:dyDescent="0.25">
      <c r="J400" s="11">
        <f t="shared" si="6"/>
        <v>399</v>
      </c>
      <c r="K40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0" s="6" t="str">
        <f ca="1">IF(IDNMaps[[#This Row],[Type]]="","",COUNTIF($K$1:IDNMaps[[#This Row],[Type]],IDNMaps[[#This Row],[Type]]))</f>
        <v/>
      </c>
      <c r="M400" s="6" t="str">
        <f ca="1">IFERROR(VLOOKUP(IDNMaps[[#This Row],[Type]],RecordCount[],6,0)&amp;"-"&amp;IDNMaps[[#This Row],[Type Count]],"")</f>
        <v/>
      </c>
      <c r="N400" s="6" t="str">
        <f ca="1">IFERROR(VLOOKUP(IDNMaps[[#This Row],[Primary]],INDIRECT(VLOOKUP(IDNMaps[[#This Row],[Type]],RecordCount[],2,0)),VLOOKUP(IDNMaps[[#This Row],[Type]],RecordCount[],7,0),0),"")</f>
        <v/>
      </c>
      <c r="O400" s="6" t="str">
        <f ca="1">IF(IDNMaps[[#This Row],[Name]]="","","("&amp;IDNMaps[[#This Row],[Type]]&amp;") "&amp;IDNMaps[[#This Row],[Name]])</f>
        <v/>
      </c>
      <c r="P400" s="6" t="str">
        <f ca="1">IFERROR(VLOOKUP(IDNMaps[[#This Row],[Primary]],INDIRECT(VLOOKUP(IDNMaps[[#This Row],[Type]],RecordCount[],2,0)),VLOOKUP(IDNMaps[[#This Row],[Type]],RecordCount[],8,0),0),"")</f>
        <v/>
      </c>
    </row>
    <row r="401" spans="10:16" x14ac:dyDescent="0.25">
      <c r="J401" s="11">
        <f t="shared" si="6"/>
        <v>400</v>
      </c>
      <c r="K40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1" s="6" t="str">
        <f ca="1">IF(IDNMaps[[#This Row],[Type]]="","",COUNTIF($K$1:IDNMaps[[#This Row],[Type]],IDNMaps[[#This Row],[Type]]))</f>
        <v/>
      </c>
      <c r="M401" s="6" t="str">
        <f ca="1">IFERROR(VLOOKUP(IDNMaps[[#This Row],[Type]],RecordCount[],6,0)&amp;"-"&amp;IDNMaps[[#This Row],[Type Count]],"")</f>
        <v/>
      </c>
      <c r="N401" s="6" t="str">
        <f ca="1">IFERROR(VLOOKUP(IDNMaps[[#This Row],[Primary]],INDIRECT(VLOOKUP(IDNMaps[[#This Row],[Type]],RecordCount[],2,0)),VLOOKUP(IDNMaps[[#This Row],[Type]],RecordCount[],7,0),0),"")</f>
        <v/>
      </c>
      <c r="O401" s="6" t="str">
        <f ca="1">IF(IDNMaps[[#This Row],[Name]]="","","("&amp;IDNMaps[[#This Row],[Type]]&amp;") "&amp;IDNMaps[[#This Row],[Name]])</f>
        <v/>
      </c>
      <c r="P401" s="6" t="str">
        <f ca="1">IFERROR(VLOOKUP(IDNMaps[[#This Row],[Primary]],INDIRECT(VLOOKUP(IDNMaps[[#This Row],[Type]],RecordCount[],2,0)),VLOOKUP(IDNMaps[[#This Row],[Type]],RecordCount[],8,0),0),"")</f>
        <v/>
      </c>
    </row>
    <row r="402" spans="10:16" x14ac:dyDescent="0.25">
      <c r="J402" s="11">
        <f t="shared" si="6"/>
        <v>401</v>
      </c>
      <c r="K40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2" s="6" t="str">
        <f ca="1">IF(IDNMaps[[#This Row],[Type]]="","",COUNTIF($K$1:IDNMaps[[#This Row],[Type]],IDNMaps[[#This Row],[Type]]))</f>
        <v/>
      </c>
      <c r="M402" s="6" t="str">
        <f ca="1">IFERROR(VLOOKUP(IDNMaps[[#This Row],[Type]],RecordCount[],6,0)&amp;"-"&amp;IDNMaps[[#This Row],[Type Count]],"")</f>
        <v/>
      </c>
      <c r="N402" s="6" t="str">
        <f ca="1">IFERROR(VLOOKUP(IDNMaps[[#This Row],[Primary]],INDIRECT(VLOOKUP(IDNMaps[[#This Row],[Type]],RecordCount[],2,0)),VLOOKUP(IDNMaps[[#This Row],[Type]],RecordCount[],7,0),0),"")</f>
        <v/>
      </c>
      <c r="O402" s="6" t="str">
        <f ca="1">IF(IDNMaps[[#This Row],[Name]]="","","("&amp;IDNMaps[[#This Row],[Type]]&amp;") "&amp;IDNMaps[[#This Row],[Name]])</f>
        <v/>
      </c>
      <c r="P402" s="6" t="str">
        <f ca="1">IFERROR(VLOOKUP(IDNMaps[[#This Row],[Primary]],INDIRECT(VLOOKUP(IDNMaps[[#This Row],[Type]],RecordCount[],2,0)),VLOOKUP(IDNMaps[[#This Row],[Type]],RecordCount[],8,0),0),"")</f>
        <v/>
      </c>
    </row>
    <row r="403" spans="10:16" x14ac:dyDescent="0.25">
      <c r="J403" s="11">
        <f t="shared" si="6"/>
        <v>402</v>
      </c>
      <c r="K40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3" s="6" t="str">
        <f ca="1">IF(IDNMaps[[#This Row],[Type]]="","",COUNTIF($K$1:IDNMaps[[#This Row],[Type]],IDNMaps[[#This Row],[Type]]))</f>
        <v/>
      </c>
      <c r="M403" s="6" t="str">
        <f ca="1">IFERROR(VLOOKUP(IDNMaps[[#This Row],[Type]],RecordCount[],6,0)&amp;"-"&amp;IDNMaps[[#This Row],[Type Count]],"")</f>
        <v/>
      </c>
      <c r="N403" s="6" t="str">
        <f ca="1">IFERROR(VLOOKUP(IDNMaps[[#This Row],[Primary]],INDIRECT(VLOOKUP(IDNMaps[[#This Row],[Type]],RecordCount[],2,0)),VLOOKUP(IDNMaps[[#This Row],[Type]],RecordCount[],7,0),0),"")</f>
        <v/>
      </c>
      <c r="O403" s="6" t="str">
        <f ca="1">IF(IDNMaps[[#This Row],[Name]]="","","("&amp;IDNMaps[[#This Row],[Type]]&amp;") "&amp;IDNMaps[[#This Row],[Name]])</f>
        <v/>
      </c>
      <c r="P403" s="6" t="str">
        <f ca="1">IFERROR(VLOOKUP(IDNMaps[[#This Row],[Primary]],INDIRECT(VLOOKUP(IDNMaps[[#This Row],[Type]],RecordCount[],2,0)),VLOOKUP(IDNMaps[[#This Row],[Type]],RecordCount[],8,0),0),"")</f>
        <v/>
      </c>
    </row>
    <row r="404" spans="10:16" x14ac:dyDescent="0.25">
      <c r="J404" s="11">
        <f t="shared" si="6"/>
        <v>403</v>
      </c>
      <c r="K40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4" s="6" t="str">
        <f ca="1">IF(IDNMaps[[#This Row],[Type]]="","",COUNTIF($K$1:IDNMaps[[#This Row],[Type]],IDNMaps[[#This Row],[Type]]))</f>
        <v/>
      </c>
      <c r="M404" s="6" t="str">
        <f ca="1">IFERROR(VLOOKUP(IDNMaps[[#This Row],[Type]],RecordCount[],6,0)&amp;"-"&amp;IDNMaps[[#This Row],[Type Count]],"")</f>
        <v/>
      </c>
      <c r="N404" s="6" t="str">
        <f ca="1">IFERROR(VLOOKUP(IDNMaps[[#This Row],[Primary]],INDIRECT(VLOOKUP(IDNMaps[[#This Row],[Type]],RecordCount[],2,0)),VLOOKUP(IDNMaps[[#This Row],[Type]],RecordCount[],7,0),0),"")</f>
        <v/>
      </c>
      <c r="O404" s="6" t="str">
        <f ca="1">IF(IDNMaps[[#This Row],[Name]]="","","("&amp;IDNMaps[[#This Row],[Type]]&amp;") "&amp;IDNMaps[[#This Row],[Name]])</f>
        <v/>
      </c>
      <c r="P404" s="6" t="str">
        <f ca="1">IFERROR(VLOOKUP(IDNMaps[[#This Row],[Primary]],INDIRECT(VLOOKUP(IDNMaps[[#This Row],[Type]],RecordCount[],2,0)),VLOOKUP(IDNMaps[[#This Row],[Type]],RecordCount[],8,0),0),"")</f>
        <v/>
      </c>
    </row>
    <row r="405" spans="10:16" x14ac:dyDescent="0.25">
      <c r="J405" s="11">
        <f t="shared" si="6"/>
        <v>404</v>
      </c>
      <c r="K40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5" s="6" t="str">
        <f ca="1">IF(IDNMaps[[#This Row],[Type]]="","",COUNTIF($K$1:IDNMaps[[#This Row],[Type]],IDNMaps[[#This Row],[Type]]))</f>
        <v/>
      </c>
      <c r="M405" s="6" t="str">
        <f ca="1">IFERROR(VLOOKUP(IDNMaps[[#This Row],[Type]],RecordCount[],6,0)&amp;"-"&amp;IDNMaps[[#This Row],[Type Count]],"")</f>
        <v/>
      </c>
      <c r="N405" s="6" t="str">
        <f ca="1">IFERROR(VLOOKUP(IDNMaps[[#This Row],[Primary]],INDIRECT(VLOOKUP(IDNMaps[[#This Row],[Type]],RecordCount[],2,0)),VLOOKUP(IDNMaps[[#This Row],[Type]],RecordCount[],7,0),0),"")</f>
        <v/>
      </c>
      <c r="O405" s="6" t="str">
        <f ca="1">IF(IDNMaps[[#This Row],[Name]]="","","("&amp;IDNMaps[[#This Row],[Type]]&amp;") "&amp;IDNMaps[[#This Row],[Name]])</f>
        <v/>
      </c>
      <c r="P405" s="6" t="str">
        <f ca="1">IFERROR(VLOOKUP(IDNMaps[[#This Row],[Primary]],INDIRECT(VLOOKUP(IDNMaps[[#This Row],[Type]],RecordCount[],2,0)),VLOOKUP(IDNMaps[[#This Row],[Type]],RecordCount[],8,0),0),"")</f>
        <v/>
      </c>
    </row>
    <row r="406" spans="10:16" x14ac:dyDescent="0.25">
      <c r="J406" s="11">
        <f t="shared" si="6"/>
        <v>405</v>
      </c>
      <c r="K40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6" s="6" t="str">
        <f ca="1">IF(IDNMaps[[#This Row],[Type]]="","",COUNTIF($K$1:IDNMaps[[#This Row],[Type]],IDNMaps[[#This Row],[Type]]))</f>
        <v/>
      </c>
      <c r="M406" s="6" t="str">
        <f ca="1">IFERROR(VLOOKUP(IDNMaps[[#This Row],[Type]],RecordCount[],6,0)&amp;"-"&amp;IDNMaps[[#This Row],[Type Count]],"")</f>
        <v/>
      </c>
      <c r="N406" s="6" t="str">
        <f ca="1">IFERROR(VLOOKUP(IDNMaps[[#This Row],[Primary]],INDIRECT(VLOOKUP(IDNMaps[[#This Row],[Type]],RecordCount[],2,0)),VLOOKUP(IDNMaps[[#This Row],[Type]],RecordCount[],7,0),0),"")</f>
        <v/>
      </c>
      <c r="O406" s="6" t="str">
        <f ca="1">IF(IDNMaps[[#This Row],[Name]]="","","("&amp;IDNMaps[[#This Row],[Type]]&amp;") "&amp;IDNMaps[[#This Row],[Name]])</f>
        <v/>
      </c>
      <c r="P406" s="6" t="str">
        <f ca="1">IFERROR(VLOOKUP(IDNMaps[[#This Row],[Primary]],INDIRECT(VLOOKUP(IDNMaps[[#This Row],[Type]],RecordCount[],2,0)),VLOOKUP(IDNMaps[[#This Row],[Type]],RecordCount[],8,0),0),"")</f>
        <v/>
      </c>
    </row>
    <row r="407" spans="10:16" x14ac:dyDescent="0.25">
      <c r="J407" s="11">
        <f t="shared" si="6"/>
        <v>406</v>
      </c>
      <c r="K40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7" s="6" t="str">
        <f ca="1">IF(IDNMaps[[#This Row],[Type]]="","",COUNTIF($K$1:IDNMaps[[#This Row],[Type]],IDNMaps[[#This Row],[Type]]))</f>
        <v/>
      </c>
      <c r="M407" s="6" t="str">
        <f ca="1">IFERROR(VLOOKUP(IDNMaps[[#This Row],[Type]],RecordCount[],6,0)&amp;"-"&amp;IDNMaps[[#This Row],[Type Count]],"")</f>
        <v/>
      </c>
      <c r="N407" s="6" t="str">
        <f ca="1">IFERROR(VLOOKUP(IDNMaps[[#This Row],[Primary]],INDIRECT(VLOOKUP(IDNMaps[[#This Row],[Type]],RecordCount[],2,0)),VLOOKUP(IDNMaps[[#This Row],[Type]],RecordCount[],7,0),0),"")</f>
        <v/>
      </c>
      <c r="O407" s="6" t="str">
        <f ca="1">IF(IDNMaps[[#This Row],[Name]]="","","("&amp;IDNMaps[[#This Row],[Type]]&amp;") "&amp;IDNMaps[[#This Row],[Name]])</f>
        <v/>
      </c>
      <c r="P407" s="6" t="str">
        <f ca="1">IFERROR(VLOOKUP(IDNMaps[[#This Row],[Primary]],INDIRECT(VLOOKUP(IDNMaps[[#This Row],[Type]],RecordCount[],2,0)),VLOOKUP(IDNMaps[[#This Row],[Type]],RecordCount[],8,0),0),"")</f>
        <v/>
      </c>
    </row>
    <row r="408" spans="10:16" x14ac:dyDescent="0.25">
      <c r="J408" s="11">
        <f t="shared" si="6"/>
        <v>407</v>
      </c>
      <c r="K40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8" s="6" t="str">
        <f ca="1">IF(IDNMaps[[#This Row],[Type]]="","",COUNTIF($K$1:IDNMaps[[#This Row],[Type]],IDNMaps[[#This Row],[Type]]))</f>
        <v/>
      </c>
      <c r="M408" s="6" t="str">
        <f ca="1">IFERROR(VLOOKUP(IDNMaps[[#This Row],[Type]],RecordCount[],6,0)&amp;"-"&amp;IDNMaps[[#This Row],[Type Count]],"")</f>
        <v/>
      </c>
      <c r="N408" s="6" t="str">
        <f ca="1">IFERROR(VLOOKUP(IDNMaps[[#This Row],[Primary]],INDIRECT(VLOOKUP(IDNMaps[[#This Row],[Type]],RecordCount[],2,0)),VLOOKUP(IDNMaps[[#This Row],[Type]],RecordCount[],7,0),0),"")</f>
        <v/>
      </c>
      <c r="O408" s="6" t="str">
        <f ca="1">IF(IDNMaps[[#This Row],[Name]]="","","("&amp;IDNMaps[[#This Row],[Type]]&amp;") "&amp;IDNMaps[[#This Row],[Name]])</f>
        <v/>
      </c>
      <c r="P408" s="6" t="str">
        <f ca="1">IFERROR(VLOOKUP(IDNMaps[[#This Row],[Primary]],INDIRECT(VLOOKUP(IDNMaps[[#This Row],[Type]],RecordCount[],2,0)),VLOOKUP(IDNMaps[[#This Row],[Type]],RecordCount[],8,0),0),"")</f>
        <v/>
      </c>
    </row>
    <row r="409" spans="10:16" x14ac:dyDescent="0.25">
      <c r="J409" s="11">
        <f t="shared" si="6"/>
        <v>408</v>
      </c>
      <c r="K40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9" s="6" t="str">
        <f ca="1">IF(IDNMaps[[#This Row],[Type]]="","",COUNTIF($K$1:IDNMaps[[#This Row],[Type]],IDNMaps[[#This Row],[Type]]))</f>
        <v/>
      </c>
      <c r="M409" s="6" t="str">
        <f ca="1">IFERROR(VLOOKUP(IDNMaps[[#This Row],[Type]],RecordCount[],6,0)&amp;"-"&amp;IDNMaps[[#This Row],[Type Count]],"")</f>
        <v/>
      </c>
      <c r="N409" s="6" t="str">
        <f ca="1">IFERROR(VLOOKUP(IDNMaps[[#This Row],[Primary]],INDIRECT(VLOOKUP(IDNMaps[[#This Row],[Type]],RecordCount[],2,0)),VLOOKUP(IDNMaps[[#This Row],[Type]],RecordCount[],7,0),0),"")</f>
        <v/>
      </c>
      <c r="O409" s="6" t="str">
        <f ca="1">IF(IDNMaps[[#This Row],[Name]]="","","("&amp;IDNMaps[[#This Row],[Type]]&amp;") "&amp;IDNMaps[[#This Row],[Name]])</f>
        <v/>
      </c>
      <c r="P409" s="6" t="str">
        <f ca="1">IFERROR(VLOOKUP(IDNMaps[[#This Row],[Primary]],INDIRECT(VLOOKUP(IDNMaps[[#This Row],[Type]],RecordCount[],2,0)),VLOOKUP(IDNMaps[[#This Row],[Type]],RecordCount[],8,0),0),"")</f>
        <v/>
      </c>
    </row>
    <row r="410" spans="10:16" x14ac:dyDescent="0.25">
      <c r="J410" s="11">
        <f t="shared" si="6"/>
        <v>409</v>
      </c>
      <c r="K41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0" s="6" t="str">
        <f ca="1">IF(IDNMaps[[#This Row],[Type]]="","",COUNTIF($K$1:IDNMaps[[#This Row],[Type]],IDNMaps[[#This Row],[Type]]))</f>
        <v/>
      </c>
      <c r="M410" s="6" t="str">
        <f ca="1">IFERROR(VLOOKUP(IDNMaps[[#This Row],[Type]],RecordCount[],6,0)&amp;"-"&amp;IDNMaps[[#This Row],[Type Count]],"")</f>
        <v/>
      </c>
      <c r="N410" s="6" t="str">
        <f ca="1">IFERROR(VLOOKUP(IDNMaps[[#This Row],[Primary]],INDIRECT(VLOOKUP(IDNMaps[[#This Row],[Type]],RecordCount[],2,0)),VLOOKUP(IDNMaps[[#This Row],[Type]],RecordCount[],7,0),0),"")</f>
        <v/>
      </c>
      <c r="O410" s="6" t="str">
        <f ca="1">IF(IDNMaps[[#This Row],[Name]]="","","("&amp;IDNMaps[[#This Row],[Type]]&amp;") "&amp;IDNMaps[[#This Row],[Name]])</f>
        <v/>
      </c>
      <c r="P410" s="6" t="str">
        <f ca="1">IFERROR(VLOOKUP(IDNMaps[[#This Row],[Primary]],INDIRECT(VLOOKUP(IDNMaps[[#This Row],[Type]],RecordCount[],2,0)),VLOOKUP(IDNMaps[[#This Row],[Type]],RecordCount[],8,0),0),"")</f>
        <v/>
      </c>
    </row>
    <row r="411" spans="10:16" x14ac:dyDescent="0.25">
      <c r="J411" s="11">
        <f t="shared" si="6"/>
        <v>410</v>
      </c>
      <c r="K41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1" s="6" t="str">
        <f ca="1">IF(IDNMaps[[#This Row],[Type]]="","",COUNTIF($K$1:IDNMaps[[#This Row],[Type]],IDNMaps[[#This Row],[Type]]))</f>
        <v/>
      </c>
      <c r="M411" s="6" t="str">
        <f ca="1">IFERROR(VLOOKUP(IDNMaps[[#This Row],[Type]],RecordCount[],6,0)&amp;"-"&amp;IDNMaps[[#This Row],[Type Count]],"")</f>
        <v/>
      </c>
      <c r="N411" s="6" t="str">
        <f ca="1">IFERROR(VLOOKUP(IDNMaps[[#This Row],[Primary]],INDIRECT(VLOOKUP(IDNMaps[[#This Row],[Type]],RecordCount[],2,0)),VLOOKUP(IDNMaps[[#This Row],[Type]],RecordCount[],7,0),0),"")</f>
        <v/>
      </c>
      <c r="O411" s="6" t="str">
        <f ca="1">IF(IDNMaps[[#This Row],[Name]]="","","("&amp;IDNMaps[[#This Row],[Type]]&amp;") "&amp;IDNMaps[[#This Row],[Name]])</f>
        <v/>
      </c>
      <c r="P411" s="6" t="str">
        <f ca="1">IFERROR(VLOOKUP(IDNMaps[[#This Row],[Primary]],INDIRECT(VLOOKUP(IDNMaps[[#This Row],[Type]],RecordCount[],2,0)),VLOOKUP(IDNMaps[[#This Row],[Type]],RecordCount[],8,0),0),"")</f>
        <v/>
      </c>
    </row>
    <row r="412" spans="10:16" x14ac:dyDescent="0.25">
      <c r="J412" s="11">
        <f t="shared" si="6"/>
        <v>411</v>
      </c>
      <c r="K41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2" s="6" t="str">
        <f ca="1">IF(IDNMaps[[#This Row],[Type]]="","",COUNTIF($K$1:IDNMaps[[#This Row],[Type]],IDNMaps[[#This Row],[Type]]))</f>
        <v/>
      </c>
      <c r="M412" s="6" t="str">
        <f ca="1">IFERROR(VLOOKUP(IDNMaps[[#This Row],[Type]],RecordCount[],6,0)&amp;"-"&amp;IDNMaps[[#This Row],[Type Count]],"")</f>
        <v/>
      </c>
      <c r="N412" s="6" t="str">
        <f ca="1">IFERROR(VLOOKUP(IDNMaps[[#This Row],[Primary]],INDIRECT(VLOOKUP(IDNMaps[[#This Row],[Type]],RecordCount[],2,0)),VLOOKUP(IDNMaps[[#This Row],[Type]],RecordCount[],7,0),0),"")</f>
        <v/>
      </c>
      <c r="O412" s="6" t="str">
        <f ca="1">IF(IDNMaps[[#This Row],[Name]]="","","("&amp;IDNMaps[[#This Row],[Type]]&amp;") "&amp;IDNMaps[[#This Row],[Name]])</f>
        <v/>
      </c>
      <c r="P412" s="6" t="str">
        <f ca="1">IFERROR(VLOOKUP(IDNMaps[[#This Row],[Primary]],INDIRECT(VLOOKUP(IDNMaps[[#This Row],[Type]],RecordCount[],2,0)),VLOOKUP(IDNMaps[[#This Row],[Type]],RecordCount[],8,0),0),"")</f>
        <v/>
      </c>
    </row>
    <row r="413" spans="10:16" x14ac:dyDescent="0.25">
      <c r="J413" s="11">
        <f t="shared" si="6"/>
        <v>412</v>
      </c>
      <c r="K41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3" s="6" t="str">
        <f ca="1">IF(IDNMaps[[#This Row],[Type]]="","",COUNTIF($K$1:IDNMaps[[#This Row],[Type]],IDNMaps[[#This Row],[Type]]))</f>
        <v/>
      </c>
      <c r="M413" s="6" t="str">
        <f ca="1">IFERROR(VLOOKUP(IDNMaps[[#This Row],[Type]],RecordCount[],6,0)&amp;"-"&amp;IDNMaps[[#This Row],[Type Count]],"")</f>
        <v/>
      </c>
      <c r="N413" s="6" t="str">
        <f ca="1">IFERROR(VLOOKUP(IDNMaps[[#This Row],[Primary]],INDIRECT(VLOOKUP(IDNMaps[[#This Row],[Type]],RecordCount[],2,0)),VLOOKUP(IDNMaps[[#This Row],[Type]],RecordCount[],7,0),0),"")</f>
        <v/>
      </c>
      <c r="O413" s="6" t="str">
        <f ca="1">IF(IDNMaps[[#This Row],[Name]]="","","("&amp;IDNMaps[[#This Row],[Type]]&amp;") "&amp;IDNMaps[[#This Row],[Name]])</f>
        <v/>
      </c>
      <c r="P413" s="6" t="str">
        <f ca="1">IFERROR(VLOOKUP(IDNMaps[[#This Row],[Primary]],INDIRECT(VLOOKUP(IDNMaps[[#This Row],[Type]],RecordCount[],2,0)),VLOOKUP(IDNMaps[[#This Row],[Type]],RecordCount[],8,0),0),"")</f>
        <v/>
      </c>
    </row>
    <row r="414" spans="10:16" x14ac:dyDescent="0.25">
      <c r="J414" s="11">
        <f t="shared" si="6"/>
        <v>413</v>
      </c>
      <c r="K41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4" s="6" t="str">
        <f ca="1">IF(IDNMaps[[#This Row],[Type]]="","",COUNTIF($K$1:IDNMaps[[#This Row],[Type]],IDNMaps[[#This Row],[Type]]))</f>
        <v/>
      </c>
      <c r="M414" s="6" t="str">
        <f ca="1">IFERROR(VLOOKUP(IDNMaps[[#This Row],[Type]],RecordCount[],6,0)&amp;"-"&amp;IDNMaps[[#This Row],[Type Count]],"")</f>
        <v/>
      </c>
      <c r="N414" s="6" t="str">
        <f ca="1">IFERROR(VLOOKUP(IDNMaps[[#This Row],[Primary]],INDIRECT(VLOOKUP(IDNMaps[[#This Row],[Type]],RecordCount[],2,0)),VLOOKUP(IDNMaps[[#This Row],[Type]],RecordCount[],7,0),0),"")</f>
        <v/>
      </c>
      <c r="O414" s="6" t="str">
        <f ca="1">IF(IDNMaps[[#This Row],[Name]]="","","("&amp;IDNMaps[[#This Row],[Type]]&amp;") "&amp;IDNMaps[[#This Row],[Name]])</f>
        <v/>
      </c>
      <c r="P414" s="6" t="str">
        <f ca="1">IFERROR(VLOOKUP(IDNMaps[[#This Row],[Primary]],INDIRECT(VLOOKUP(IDNMaps[[#This Row],[Type]],RecordCount[],2,0)),VLOOKUP(IDNMaps[[#This Row],[Type]],RecordCount[],8,0),0),"")</f>
        <v/>
      </c>
    </row>
    <row r="415" spans="10:16" x14ac:dyDescent="0.25">
      <c r="J415" s="11">
        <f t="shared" si="6"/>
        <v>414</v>
      </c>
      <c r="K41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5" s="6" t="str">
        <f ca="1">IF(IDNMaps[[#This Row],[Type]]="","",COUNTIF($K$1:IDNMaps[[#This Row],[Type]],IDNMaps[[#This Row],[Type]]))</f>
        <v/>
      </c>
      <c r="M415" s="6" t="str">
        <f ca="1">IFERROR(VLOOKUP(IDNMaps[[#This Row],[Type]],RecordCount[],6,0)&amp;"-"&amp;IDNMaps[[#This Row],[Type Count]],"")</f>
        <v/>
      </c>
      <c r="N415" s="6" t="str">
        <f ca="1">IFERROR(VLOOKUP(IDNMaps[[#This Row],[Primary]],INDIRECT(VLOOKUP(IDNMaps[[#This Row],[Type]],RecordCount[],2,0)),VLOOKUP(IDNMaps[[#This Row],[Type]],RecordCount[],7,0),0),"")</f>
        <v/>
      </c>
      <c r="O415" s="6" t="str">
        <f ca="1">IF(IDNMaps[[#This Row],[Name]]="","","("&amp;IDNMaps[[#This Row],[Type]]&amp;") "&amp;IDNMaps[[#This Row],[Name]])</f>
        <v/>
      </c>
      <c r="P415" s="6" t="str">
        <f ca="1">IFERROR(VLOOKUP(IDNMaps[[#This Row],[Primary]],INDIRECT(VLOOKUP(IDNMaps[[#This Row],[Type]],RecordCount[],2,0)),VLOOKUP(IDNMaps[[#This Row],[Type]],RecordCount[],8,0),0),"")</f>
        <v/>
      </c>
    </row>
    <row r="416" spans="10:16" x14ac:dyDescent="0.25">
      <c r="J416" s="11">
        <f t="shared" si="6"/>
        <v>415</v>
      </c>
      <c r="K41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6" s="6" t="str">
        <f ca="1">IF(IDNMaps[[#This Row],[Type]]="","",COUNTIF($K$1:IDNMaps[[#This Row],[Type]],IDNMaps[[#This Row],[Type]]))</f>
        <v/>
      </c>
      <c r="M416" s="6" t="str">
        <f ca="1">IFERROR(VLOOKUP(IDNMaps[[#This Row],[Type]],RecordCount[],6,0)&amp;"-"&amp;IDNMaps[[#This Row],[Type Count]],"")</f>
        <v/>
      </c>
      <c r="N416" s="6" t="str">
        <f ca="1">IFERROR(VLOOKUP(IDNMaps[[#This Row],[Primary]],INDIRECT(VLOOKUP(IDNMaps[[#This Row],[Type]],RecordCount[],2,0)),VLOOKUP(IDNMaps[[#This Row],[Type]],RecordCount[],7,0),0),"")</f>
        <v/>
      </c>
      <c r="O416" s="6" t="str">
        <f ca="1">IF(IDNMaps[[#This Row],[Name]]="","","("&amp;IDNMaps[[#This Row],[Type]]&amp;") "&amp;IDNMaps[[#This Row],[Name]])</f>
        <v/>
      </c>
      <c r="P416" s="6" t="str">
        <f ca="1">IFERROR(VLOOKUP(IDNMaps[[#This Row],[Primary]],INDIRECT(VLOOKUP(IDNMaps[[#This Row],[Type]],RecordCount[],2,0)),VLOOKUP(IDNMaps[[#This Row],[Type]],RecordCount[],8,0),0),"")</f>
        <v/>
      </c>
    </row>
    <row r="417" spans="10:16" x14ac:dyDescent="0.25">
      <c r="J417" s="11">
        <f t="shared" si="6"/>
        <v>416</v>
      </c>
      <c r="K41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7" s="6" t="str">
        <f ca="1">IF(IDNMaps[[#This Row],[Type]]="","",COUNTIF($K$1:IDNMaps[[#This Row],[Type]],IDNMaps[[#This Row],[Type]]))</f>
        <v/>
      </c>
      <c r="M417" s="6" t="str">
        <f ca="1">IFERROR(VLOOKUP(IDNMaps[[#This Row],[Type]],RecordCount[],6,0)&amp;"-"&amp;IDNMaps[[#This Row],[Type Count]],"")</f>
        <v/>
      </c>
      <c r="N417" s="6" t="str">
        <f ca="1">IFERROR(VLOOKUP(IDNMaps[[#This Row],[Primary]],INDIRECT(VLOOKUP(IDNMaps[[#This Row],[Type]],RecordCount[],2,0)),VLOOKUP(IDNMaps[[#This Row],[Type]],RecordCount[],7,0),0),"")</f>
        <v/>
      </c>
      <c r="O417" s="6" t="str">
        <f ca="1">IF(IDNMaps[[#This Row],[Name]]="","","("&amp;IDNMaps[[#This Row],[Type]]&amp;") "&amp;IDNMaps[[#This Row],[Name]])</f>
        <v/>
      </c>
      <c r="P417" s="6" t="str">
        <f ca="1">IFERROR(VLOOKUP(IDNMaps[[#This Row],[Primary]],INDIRECT(VLOOKUP(IDNMaps[[#This Row],[Type]],RecordCount[],2,0)),VLOOKUP(IDNMaps[[#This Row],[Type]],RecordCount[],8,0),0),"")</f>
        <v/>
      </c>
    </row>
    <row r="418" spans="10:16" x14ac:dyDescent="0.25">
      <c r="J418" s="11">
        <f t="shared" si="6"/>
        <v>417</v>
      </c>
      <c r="K41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8" s="6" t="str">
        <f ca="1">IF(IDNMaps[[#This Row],[Type]]="","",COUNTIF($K$1:IDNMaps[[#This Row],[Type]],IDNMaps[[#This Row],[Type]]))</f>
        <v/>
      </c>
      <c r="M418" s="6" t="str">
        <f ca="1">IFERROR(VLOOKUP(IDNMaps[[#This Row],[Type]],RecordCount[],6,0)&amp;"-"&amp;IDNMaps[[#This Row],[Type Count]],"")</f>
        <v/>
      </c>
      <c r="N418" s="6" t="str">
        <f ca="1">IFERROR(VLOOKUP(IDNMaps[[#This Row],[Primary]],INDIRECT(VLOOKUP(IDNMaps[[#This Row],[Type]],RecordCount[],2,0)),VLOOKUP(IDNMaps[[#This Row],[Type]],RecordCount[],7,0),0),"")</f>
        <v/>
      </c>
      <c r="O418" s="6" t="str">
        <f ca="1">IF(IDNMaps[[#This Row],[Name]]="","","("&amp;IDNMaps[[#This Row],[Type]]&amp;") "&amp;IDNMaps[[#This Row],[Name]])</f>
        <v/>
      </c>
      <c r="P418" s="6" t="str">
        <f ca="1">IFERROR(VLOOKUP(IDNMaps[[#This Row],[Primary]],INDIRECT(VLOOKUP(IDNMaps[[#This Row],[Type]],RecordCount[],2,0)),VLOOKUP(IDNMaps[[#This Row],[Type]],RecordCount[],8,0),0),"")</f>
        <v/>
      </c>
    </row>
    <row r="419" spans="10:16" x14ac:dyDescent="0.25">
      <c r="J419" s="11">
        <f t="shared" si="6"/>
        <v>418</v>
      </c>
      <c r="K41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9" s="6" t="str">
        <f ca="1">IF(IDNMaps[[#This Row],[Type]]="","",COUNTIF($K$1:IDNMaps[[#This Row],[Type]],IDNMaps[[#This Row],[Type]]))</f>
        <v/>
      </c>
      <c r="M419" s="6" t="str">
        <f ca="1">IFERROR(VLOOKUP(IDNMaps[[#This Row],[Type]],RecordCount[],6,0)&amp;"-"&amp;IDNMaps[[#This Row],[Type Count]],"")</f>
        <v/>
      </c>
      <c r="N419" s="6" t="str">
        <f ca="1">IFERROR(VLOOKUP(IDNMaps[[#This Row],[Primary]],INDIRECT(VLOOKUP(IDNMaps[[#This Row],[Type]],RecordCount[],2,0)),VLOOKUP(IDNMaps[[#This Row],[Type]],RecordCount[],7,0),0),"")</f>
        <v/>
      </c>
      <c r="O419" s="6" t="str">
        <f ca="1">IF(IDNMaps[[#This Row],[Name]]="","","("&amp;IDNMaps[[#This Row],[Type]]&amp;") "&amp;IDNMaps[[#This Row],[Name]])</f>
        <v/>
      </c>
      <c r="P419" s="6" t="str">
        <f ca="1">IFERROR(VLOOKUP(IDNMaps[[#This Row],[Primary]],INDIRECT(VLOOKUP(IDNMaps[[#This Row],[Type]],RecordCount[],2,0)),VLOOKUP(IDNMaps[[#This Row],[Type]],RecordCount[],8,0),0),"")</f>
        <v/>
      </c>
    </row>
    <row r="420" spans="10:16" x14ac:dyDescent="0.25">
      <c r="J420" s="11">
        <f t="shared" si="6"/>
        <v>419</v>
      </c>
      <c r="K42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0" s="6" t="str">
        <f ca="1">IF(IDNMaps[[#This Row],[Type]]="","",COUNTIF($K$1:IDNMaps[[#This Row],[Type]],IDNMaps[[#This Row],[Type]]))</f>
        <v/>
      </c>
      <c r="M420" s="6" t="str">
        <f ca="1">IFERROR(VLOOKUP(IDNMaps[[#This Row],[Type]],RecordCount[],6,0)&amp;"-"&amp;IDNMaps[[#This Row],[Type Count]],"")</f>
        <v/>
      </c>
      <c r="N420" s="6" t="str">
        <f ca="1">IFERROR(VLOOKUP(IDNMaps[[#This Row],[Primary]],INDIRECT(VLOOKUP(IDNMaps[[#This Row],[Type]],RecordCount[],2,0)),VLOOKUP(IDNMaps[[#This Row],[Type]],RecordCount[],7,0),0),"")</f>
        <v/>
      </c>
      <c r="O420" s="6" t="str">
        <f ca="1">IF(IDNMaps[[#This Row],[Name]]="","","("&amp;IDNMaps[[#This Row],[Type]]&amp;") "&amp;IDNMaps[[#This Row],[Name]])</f>
        <v/>
      </c>
      <c r="P420" s="6" t="str">
        <f ca="1">IFERROR(VLOOKUP(IDNMaps[[#This Row],[Primary]],INDIRECT(VLOOKUP(IDNMaps[[#This Row],[Type]],RecordCount[],2,0)),VLOOKUP(IDNMaps[[#This Row],[Type]],RecordCount[],8,0),0),"")</f>
        <v/>
      </c>
    </row>
    <row r="421" spans="10:16" x14ac:dyDescent="0.25">
      <c r="J421" s="11">
        <f t="shared" si="6"/>
        <v>420</v>
      </c>
      <c r="K42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1" s="6" t="str">
        <f ca="1">IF(IDNMaps[[#This Row],[Type]]="","",COUNTIF($K$1:IDNMaps[[#This Row],[Type]],IDNMaps[[#This Row],[Type]]))</f>
        <v/>
      </c>
      <c r="M421" s="6" t="str">
        <f ca="1">IFERROR(VLOOKUP(IDNMaps[[#This Row],[Type]],RecordCount[],6,0)&amp;"-"&amp;IDNMaps[[#This Row],[Type Count]],"")</f>
        <v/>
      </c>
      <c r="N421" s="6" t="str">
        <f ca="1">IFERROR(VLOOKUP(IDNMaps[[#This Row],[Primary]],INDIRECT(VLOOKUP(IDNMaps[[#This Row],[Type]],RecordCount[],2,0)),VLOOKUP(IDNMaps[[#This Row],[Type]],RecordCount[],7,0),0),"")</f>
        <v/>
      </c>
      <c r="O421" s="6" t="str">
        <f ca="1">IF(IDNMaps[[#This Row],[Name]]="","","("&amp;IDNMaps[[#This Row],[Type]]&amp;") "&amp;IDNMaps[[#This Row],[Name]])</f>
        <v/>
      </c>
      <c r="P421" s="6" t="str">
        <f ca="1">IFERROR(VLOOKUP(IDNMaps[[#This Row],[Primary]],INDIRECT(VLOOKUP(IDNMaps[[#This Row],[Type]],RecordCount[],2,0)),VLOOKUP(IDNMaps[[#This Row],[Type]],RecordCount[],8,0),0),"")</f>
        <v/>
      </c>
    </row>
    <row r="422" spans="10:16" x14ac:dyDescent="0.25">
      <c r="J422" s="11">
        <f t="shared" si="6"/>
        <v>421</v>
      </c>
      <c r="K42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2" s="6" t="str">
        <f ca="1">IF(IDNMaps[[#This Row],[Type]]="","",COUNTIF($K$1:IDNMaps[[#This Row],[Type]],IDNMaps[[#This Row],[Type]]))</f>
        <v/>
      </c>
      <c r="M422" s="6" t="str">
        <f ca="1">IFERROR(VLOOKUP(IDNMaps[[#This Row],[Type]],RecordCount[],6,0)&amp;"-"&amp;IDNMaps[[#This Row],[Type Count]],"")</f>
        <v/>
      </c>
      <c r="N422" s="6" t="str">
        <f ca="1">IFERROR(VLOOKUP(IDNMaps[[#This Row],[Primary]],INDIRECT(VLOOKUP(IDNMaps[[#This Row],[Type]],RecordCount[],2,0)),VLOOKUP(IDNMaps[[#This Row],[Type]],RecordCount[],7,0),0),"")</f>
        <v/>
      </c>
      <c r="O422" s="6" t="str">
        <f ca="1">IF(IDNMaps[[#This Row],[Name]]="","","("&amp;IDNMaps[[#This Row],[Type]]&amp;") "&amp;IDNMaps[[#This Row],[Name]])</f>
        <v/>
      </c>
      <c r="P422" s="6" t="str">
        <f ca="1">IFERROR(VLOOKUP(IDNMaps[[#This Row],[Primary]],INDIRECT(VLOOKUP(IDNMaps[[#This Row],[Type]],RecordCount[],2,0)),VLOOKUP(IDNMaps[[#This Row],[Type]],RecordCount[],8,0),0),"")</f>
        <v/>
      </c>
    </row>
    <row r="423" spans="10:16" x14ac:dyDescent="0.25">
      <c r="J423" s="11">
        <f t="shared" si="6"/>
        <v>422</v>
      </c>
      <c r="K42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3" s="6" t="str">
        <f ca="1">IF(IDNMaps[[#This Row],[Type]]="","",COUNTIF($K$1:IDNMaps[[#This Row],[Type]],IDNMaps[[#This Row],[Type]]))</f>
        <v/>
      </c>
      <c r="M423" s="6" t="str">
        <f ca="1">IFERROR(VLOOKUP(IDNMaps[[#This Row],[Type]],RecordCount[],6,0)&amp;"-"&amp;IDNMaps[[#This Row],[Type Count]],"")</f>
        <v/>
      </c>
      <c r="N423" s="6" t="str">
        <f ca="1">IFERROR(VLOOKUP(IDNMaps[[#This Row],[Primary]],INDIRECT(VLOOKUP(IDNMaps[[#This Row],[Type]],RecordCount[],2,0)),VLOOKUP(IDNMaps[[#This Row],[Type]],RecordCount[],7,0),0),"")</f>
        <v/>
      </c>
      <c r="O423" s="6" t="str">
        <f ca="1">IF(IDNMaps[[#This Row],[Name]]="","","("&amp;IDNMaps[[#This Row],[Type]]&amp;") "&amp;IDNMaps[[#This Row],[Name]])</f>
        <v/>
      </c>
      <c r="P423" s="6" t="str">
        <f ca="1">IFERROR(VLOOKUP(IDNMaps[[#This Row],[Primary]],INDIRECT(VLOOKUP(IDNMaps[[#This Row],[Type]],RecordCount[],2,0)),VLOOKUP(IDNMaps[[#This Row],[Type]],RecordCount[],8,0),0),"")</f>
        <v/>
      </c>
    </row>
    <row r="424" spans="10:16" x14ac:dyDescent="0.25">
      <c r="J424" s="11">
        <f t="shared" si="6"/>
        <v>423</v>
      </c>
      <c r="K42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4" s="6" t="str">
        <f ca="1">IF(IDNMaps[[#This Row],[Type]]="","",COUNTIF($K$1:IDNMaps[[#This Row],[Type]],IDNMaps[[#This Row],[Type]]))</f>
        <v/>
      </c>
      <c r="M424" s="6" t="str">
        <f ca="1">IFERROR(VLOOKUP(IDNMaps[[#This Row],[Type]],RecordCount[],6,0)&amp;"-"&amp;IDNMaps[[#This Row],[Type Count]],"")</f>
        <v/>
      </c>
      <c r="N424" s="6" t="str">
        <f ca="1">IFERROR(VLOOKUP(IDNMaps[[#This Row],[Primary]],INDIRECT(VLOOKUP(IDNMaps[[#This Row],[Type]],RecordCount[],2,0)),VLOOKUP(IDNMaps[[#This Row],[Type]],RecordCount[],7,0),0),"")</f>
        <v/>
      </c>
      <c r="O424" s="6" t="str">
        <f ca="1">IF(IDNMaps[[#This Row],[Name]]="","","("&amp;IDNMaps[[#This Row],[Type]]&amp;") "&amp;IDNMaps[[#This Row],[Name]])</f>
        <v/>
      </c>
      <c r="P424" s="6" t="str">
        <f ca="1">IFERROR(VLOOKUP(IDNMaps[[#This Row],[Primary]],INDIRECT(VLOOKUP(IDNMaps[[#This Row],[Type]],RecordCount[],2,0)),VLOOKUP(IDNMaps[[#This Row],[Type]],RecordCount[],8,0),0),"")</f>
        <v/>
      </c>
    </row>
    <row r="425" spans="10:16" x14ac:dyDescent="0.25">
      <c r="J425" s="11">
        <f t="shared" si="6"/>
        <v>424</v>
      </c>
      <c r="K42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5" s="6" t="str">
        <f ca="1">IF(IDNMaps[[#This Row],[Type]]="","",COUNTIF($K$1:IDNMaps[[#This Row],[Type]],IDNMaps[[#This Row],[Type]]))</f>
        <v/>
      </c>
      <c r="M425" s="6" t="str">
        <f ca="1">IFERROR(VLOOKUP(IDNMaps[[#This Row],[Type]],RecordCount[],6,0)&amp;"-"&amp;IDNMaps[[#This Row],[Type Count]],"")</f>
        <v/>
      </c>
      <c r="N425" s="6" t="str">
        <f ca="1">IFERROR(VLOOKUP(IDNMaps[[#This Row],[Primary]],INDIRECT(VLOOKUP(IDNMaps[[#This Row],[Type]],RecordCount[],2,0)),VLOOKUP(IDNMaps[[#This Row],[Type]],RecordCount[],7,0),0),"")</f>
        <v/>
      </c>
      <c r="O425" s="6" t="str">
        <f ca="1">IF(IDNMaps[[#This Row],[Name]]="","","("&amp;IDNMaps[[#This Row],[Type]]&amp;") "&amp;IDNMaps[[#This Row],[Name]])</f>
        <v/>
      </c>
      <c r="P425" s="6" t="str">
        <f ca="1">IFERROR(VLOOKUP(IDNMaps[[#This Row],[Primary]],INDIRECT(VLOOKUP(IDNMaps[[#This Row],[Type]],RecordCount[],2,0)),VLOOKUP(IDNMaps[[#This Row],[Type]],RecordCount[],8,0),0),"")</f>
        <v/>
      </c>
    </row>
    <row r="426" spans="10:16" x14ac:dyDescent="0.25">
      <c r="J426" s="11">
        <f t="shared" si="6"/>
        <v>425</v>
      </c>
      <c r="K42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6" s="6" t="str">
        <f ca="1">IF(IDNMaps[[#This Row],[Type]]="","",COUNTIF($K$1:IDNMaps[[#This Row],[Type]],IDNMaps[[#This Row],[Type]]))</f>
        <v/>
      </c>
      <c r="M426" s="6" t="str">
        <f ca="1">IFERROR(VLOOKUP(IDNMaps[[#This Row],[Type]],RecordCount[],6,0)&amp;"-"&amp;IDNMaps[[#This Row],[Type Count]],"")</f>
        <v/>
      </c>
      <c r="N426" s="6" t="str">
        <f ca="1">IFERROR(VLOOKUP(IDNMaps[[#This Row],[Primary]],INDIRECT(VLOOKUP(IDNMaps[[#This Row],[Type]],RecordCount[],2,0)),VLOOKUP(IDNMaps[[#This Row],[Type]],RecordCount[],7,0),0),"")</f>
        <v/>
      </c>
      <c r="O426" s="6" t="str">
        <f ca="1">IF(IDNMaps[[#This Row],[Name]]="","","("&amp;IDNMaps[[#This Row],[Type]]&amp;") "&amp;IDNMaps[[#This Row],[Name]])</f>
        <v/>
      </c>
      <c r="P426" s="6" t="str">
        <f ca="1">IFERROR(VLOOKUP(IDNMaps[[#This Row],[Primary]],INDIRECT(VLOOKUP(IDNMaps[[#This Row],[Type]],RecordCount[],2,0)),VLOOKUP(IDNMaps[[#This Row],[Type]],RecordCount[],8,0),0),"")</f>
        <v/>
      </c>
    </row>
    <row r="427" spans="10:16" x14ac:dyDescent="0.25">
      <c r="J427" s="11">
        <f t="shared" si="6"/>
        <v>426</v>
      </c>
      <c r="K42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7" s="6" t="str">
        <f ca="1">IF(IDNMaps[[#This Row],[Type]]="","",COUNTIF($K$1:IDNMaps[[#This Row],[Type]],IDNMaps[[#This Row],[Type]]))</f>
        <v/>
      </c>
      <c r="M427" s="6" t="str">
        <f ca="1">IFERROR(VLOOKUP(IDNMaps[[#This Row],[Type]],RecordCount[],6,0)&amp;"-"&amp;IDNMaps[[#This Row],[Type Count]],"")</f>
        <v/>
      </c>
      <c r="N427" s="6" t="str">
        <f ca="1">IFERROR(VLOOKUP(IDNMaps[[#This Row],[Primary]],INDIRECT(VLOOKUP(IDNMaps[[#This Row],[Type]],RecordCount[],2,0)),VLOOKUP(IDNMaps[[#This Row],[Type]],RecordCount[],7,0),0),"")</f>
        <v/>
      </c>
      <c r="O427" s="6" t="str">
        <f ca="1">IF(IDNMaps[[#This Row],[Name]]="","","("&amp;IDNMaps[[#This Row],[Type]]&amp;") "&amp;IDNMaps[[#This Row],[Name]])</f>
        <v/>
      </c>
      <c r="P427" s="6" t="str">
        <f ca="1">IFERROR(VLOOKUP(IDNMaps[[#This Row],[Primary]],INDIRECT(VLOOKUP(IDNMaps[[#This Row],[Type]],RecordCount[],2,0)),VLOOKUP(IDNMaps[[#This Row],[Type]],RecordCount[],8,0),0),"")</f>
        <v/>
      </c>
    </row>
    <row r="428" spans="10:16" x14ac:dyDescent="0.25">
      <c r="J428" s="11">
        <f t="shared" si="6"/>
        <v>427</v>
      </c>
      <c r="K42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8" s="6" t="str">
        <f ca="1">IF(IDNMaps[[#This Row],[Type]]="","",COUNTIF($K$1:IDNMaps[[#This Row],[Type]],IDNMaps[[#This Row],[Type]]))</f>
        <v/>
      </c>
      <c r="M428" s="6" t="str">
        <f ca="1">IFERROR(VLOOKUP(IDNMaps[[#This Row],[Type]],RecordCount[],6,0)&amp;"-"&amp;IDNMaps[[#This Row],[Type Count]],"")</f>
        <v/>
      </c>
      <c r="N428" s="6" t="str">
        <f ca="1">IFERROR(VLOOKUP(IDNMaps[[#This Row],[Primary]],INDIRECT(VLOOKUP(IDNMaps[[#This Row],[Type]],RecordCount[],2,0)),VLOOKUP(IDNMaps[[#This Row],[Type]],RecordCount[],7,0),0),"")</f>
        <v/>
      </c>
      <c r="O428" s="6" t="str">
        <f ca="1">IF(IDNMaps[[#This Row],[Name]]="","","("&amp;IDNMaps[[#This Row],[Type]]&amp;") "&amp;IDNMaps[[#This Row],[Name]])</f>
        <v/>
      </c>
      <c r="P428" s="6" t="str">
        <f ca="1">IFERROR(VLOOKUP(IDNMaps[[#This Row],[Primary]],INDIRECT(VLOOKUP(IDNMaps[[#This Row],[Type]],RecordCount[],2,0)),VLOOKUP(IDNMaps[[#This Row],[Type]],RecordCount[],8,0),0),"")</f>
        <v/>
      </c>
    </row>
    <row r="429" spans="10:16" x14ac:dyDescent="0.25">
      <c r="J429" s="11">
        <f t="shared" si="6"/>
        <v>428</v>
      </c>
      <c r="K42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9" s="6" t="str">
        <f ca="1">IF(IDNMaps[[#This Row],[Type]]="","",COUNTIF($K$1:IDNMaps[[#This Row],[Type]],IDNMaps[[#This Row],[Type]]))</f>
        <v/>
      </c>
      <c r="M429" s="6" t="str">
        <f ca="1">IFERROR(VLOOKUP(IDNMaps[[#This Row],[Type]],RecordCount[],6,0)&amp;"-"&amp;IDNMaps[[#This Row],[Type Count]],"")</f>
        <v/>
      </c>
      <c r="N429" s="6" t="str">
        <f ca="1">IFERROR(VLOOKUP(IDNMaps[[#This Row],[Primary]],INDIRECT(VLOOKUP(IDNMaps[[#This Row],[Type]],RecordCount[],2,0)),VLOOKUP(IDNMaps[[#This Row],[Type]],RecordCount[],7,0),0),"")</f>
        <v/>
      </c>
      <c r="O429" s="6" t="str">
        <f ca="1">IF(IDNMaps[[#This Row],[Name]]="","","("&amp;IDNMaps[[#This Row],[Type]]&amp;") "&amp;IDNMaps[[#This Row],[Name]])</f>
        <v/>
      </c>
      <c r="P429" s="6" t="str">
        <f ca="1">IFERROR(VLOOKUP(IDNMaps[[#This Row],[Primary]],INDIRECT(VLOOKUP(IDNMaps[[#This Row],[Type]],RecordCount[],2,0)),VLOOKUP(IDNMaps[[#This Row],[Type]],RecordCount[],8,0),0),"")</f>
        <v/>
      </c>
    </row>
    <row r="430" spans="10:16" x14ac:dyDescent="0.25">
      <c r="J430" s="11">
        <f t="shared" si="6"/>
        <v>429</v>
      </c>
      <c r="K43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0" s="6" t="str">
        <f ca="1">IF(IDNMaps[[#This Row],[Type]]="","",COUNTIF($K$1:IDNMaps[[#This Row],[Type]],IDNMaps[[#This Row],[Type]]))</f>
        <v/>
      </c>
      <c r="M430" s="6" t="str">
        <f ca="1">IFERROR(VLOOKUP(IDNMaps[[#This Row],[Type]],RecordCount[],6,0)&amp;"-"&amp;IDNMaps[[#This Row],[Type Count]],"")</f>
        <v/>
      </c>
      <c r="N430" s="6" t="str">
        <f ca="1">IFERROR(VLOOKUP(IDNMaps[[#This Row],[Primary]],INDIRECT(VLOOKUP(IDNMaps[[#This Row],[Type]],RecordCount[],2,0)),VLOOKUP(IDNMaps[[#This Row],[Type]],RecordCount[],7,0),0),"")</f>
        <v/>
      </c>
      <c r="O430" s="6" t="str">
        <f ca="1">IF(IDNMaps[[#This Row],[Name]]="","","("&amp;IDNMaps[[#This Row],[Type]]&amp;") "&amp;IDNMaps[[#This Row],[Name]])</f>
        <v/>
      </c>
      <c r="P430" s="6" t="str">
        <f ca="1">IFERROR(VLOOKUP(IDNMaps[[#This Row],[Primary]],INDIRECT(VLOOKUP(IDNMaps[[#This Row],[Type]],RecordCount[],2,0)),VLOOKUP(IDNMaps[[#This Row],[Type]],RecordCount[],8,0),0),"")</f>
        <v/>
      </c>
    </row>
    <row r="431" spans="10:16" x14ac:dyDescent="0.25">
      <c r="J431" s="11">
        <f t="shared" si="6"/>
        <v>430</v>
      </c>
      <c r="K43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1" s="6" t="str">
        <f ca="1">IF(IDNMaps[[#This Row],[Type]]="","",COUNTIF($K$1:IDNMaps[[#This Row],[Type]],IDNMaps[[#This Row],[Type]]))</f>
        <v/>
      </c>
      <c r="M431" s="6" t="str">
        <f ca="1">IFERROR(VLOOKUP(IDNMaps[[#This Row],[Type]],RecordCount[],6,0)&amp;"-"&amp;IDNMaps[[#This Row],[Type Count]],"")</f>
        <v/>
      </c>
      <c r="N431" s="6" t="str">
        <f ca="1">IFERROR(VLOOKUP(IDNMaps[[#This Row],[Primary]],INDIRECT(VLOOKUP(IDNMaps[[#This Row],[Type]],RecordCount[],2,0)),VLOOKUP(IDNMaps[[#This Row],[Type]],RecordCount[],7,0),0),"")</f>
        <v/>
      </c>
      <c r="O431" s="6" t="str">
        <f ca="1">IF(IDNMaps[[#This Row],[Name]]="","","("&amp;IDNMaps[[#This Row],[Type]]&amp;") "&amp;IDNMaps[[#This Row],[Name]])</f>
        <v/>
      </c>
      <c r="P431" s="6" t="str">
        <f ca="1">IFERROR(VLOOKUP(IDNMaps[[#This Row],[Primary]],INDIRECT(VLOOKUP(IDNMaps[[#This Row],[Type]],RecordCount[],2,0)),VLOOKUP(IDNMaps[[#This Row],[Type]],RecordCount[],8,0),0),"")</f>
        <v/>
      </c>
    </row>
    <row r="432" spans="10:16" x14ac:dyDescent="0.25">
      <c r="J432" s="11">
        <f t="shared" si="6"/>
        <v>431</v>
      </c>
      <c r="K43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2" s="6" t="str">
        <f ca="1">IF(IDNMaps[[#This Row],[Type]]="","",COUNTIF($K$1:IDNMaps[[#This Row],[Type]],IDNMaps[[#This Row],[Type]]))</f>
        <v/>
      </c>
      <c r="M432" s="6" t="str">
        <f ca="1">IFERROR(VLOOKUP(IDNMaps[[#This Row],[Type]],RecordCount[],6,0)&amp;"-"&amp;IDNMaps[[#This Row],[Type Count]],"")</f>
        <v/>
      </c>
      <c r="N432" s="6" t="str">
        <f ca="1">IFERROR(VLOOKUP(IDNMaps[[#This Row],[Primary]],INDIRECT(VLOOKUP(IDNMaps[[#This Row],[Type]],RecordCount[],2,0)),VLOOKUP(IDNMaps[[#This Row],[Type]],RecordCount[],7,0),0),"")</f>
        <v/>
      </c>
      <c r="O432" s="6" t="str">
        <f ca="1">IF(IDNMaps[[#This Row],[Name]]="","","("&amp;IDNMaps[[#This Row],[Type]]&amp;") "&amp;IDNMaps[[#This Row],[Name]])</f>
        <v/>
      </c>
      <c r="P432" s="6" t="str">
        <f ca="1">IFERROR(VLOOKUP(IDNMaps[[#This Row],[Primary]],INDIRECT(VLOOKUP(IDNMaps[[#This Row],[Type]],RecordCount[],2,0)),VLOOKUP(IDNMaps[[#This Row],[Type]],RecordCount[],8,0),0),"")</f>
        <v/>
      </c>
    </row>
    <row r="433" spans="10:16" x14ac:dyDescent="0.25">
      <c r="J433" s="11">
        <f t="shared" si="6"/>
        <v>432</v>
      </c>
      <c r="K43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3" s="6" t="str">
        <f ca="1">IF(IDNMaps[[#This Row],[Type]]="","",COUNTIF($K$1:IDNMaps[[#This Row],[Type]],IDNMaps[[#This Row],[Type]]))</f>
        <v/>
      </c>
      <c r="M433" s="6" t="str">
        <f ca="1">IFERROR(VLOOKUP(IDNMaps[[#This Row],[Type]],RecordCount[],6,0)&amp;"-"&amp;IDNMaps[[#This Row],[Type Count]],"")</f>
        <v/>
      </c>
      <c r="N433" s="6" t="str">
        <f ca="1">IFERROR(VLOOKUP(IDNMaps[[#This Row],[Primary]],INDIRECT(VLOOKUP(IDNMaps[[#This Row],[Type]],RecordCount[],2,0)),VLOOKUP(IDNMaps[[#This Row],[Type]],RecordCount[],7,0),0),"")</f>
        <v/>
      </c>
      <c r="O433" s="6" t="str">
        <f ca="1">IF(IDNMaps[[#This Row],[Name]]="","","("&amp;IDNMaps[[#This Row],[Type]]&amp;") "&amp;IDNMaps[[#This Row],[Name]])</f>
        <v/>
      </c>
      <c r="P433" s="6" t="str">
        <f ca="1">IFERROR(VLOOKUP(IDNMaps[[#This Row],[Primary]],INDIRECT(VLOOKUP(IDNMaps[[#This Row],[Type]],RecordCount[],2,0)),VLOOKUP(IDNMaps[[#This Row],[Type]],RecordCount[],8,0),0),"")</f>
        <v/>
      </c>
    </row>
    <row r="434" spans="10:16" x14ac:dyDescent="0.25">
      <c r="J434" s="11">
        <f t="shared" si="6"/>
        <v>433</v>
      </c>
      <c r="K43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4" s="6" t="str">
        <f ca="1">IF(IDNMaps[[#This Row],[Type]]="","",COUNTIF($K$1:IDNMaps[[#This Row],[Type]],IDNMaps[[#This Row],[Type]]))</f>
        <v/>
      </c>
      <c r="M434" s="6" t="str">
        <f ca="1">IFERROR(VLOOKUP(IDNMaps[[#This Row],[Type]],RecordCount[],6,0)&amp;"-"&amp;IDNMaps[[#This Row],[Type Count]],"")</f>
        <v/>
      </c>
      <c r="N434" s="6" t="str">
        <f ca="1">IFERROR(VLOOKUP(IDNMaps[[#This Row],[Primary]],INDIRECT(VLOOKUP(IDNMaps[[#This Row],[Type]],RecordCount[],2,0)),VLOOKUP(IDNMaps[[#This Row],[Type]],RecordCount[],7,0),0),"")</f>
        <v/>
      </c>
      <c r="O434" s="6" t="str">
        <f ca="1">IF(IDNMaps[[#This Row],[Name]]="","","("&amp;IDNMaps[[#This Row],[Type]]&amp;") "&amp;IDNMaps[[#This Row],[Name]])</f>
        <v/>
      </c>
      <c r="P434" s="6" t="str">
        <f ca="1">IFERROR(VLOOKUP(IDNMaps[[#This Row],[Primary]],INDIRECT(VLOOKUP(IDNMaps[[#This Row],[Type]],RecordCount[],2,0)),VLOOKUP(IDNMaps[[#This Row],[Type]],RecordCount[],8,0),0),"")</f>
        <v/>
      </c>
    </row>
    <row r="435" spans="10:16" x14ac:dyDescent="0.25">
      <c r="J435" s="11">
        <f t="shared" si="6"/>
        <v>434</v>
      </c>
      <c r="K43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5" s="6" t="str">
        <f ca="1">IF(IDNMaps[[#This Row],[Type]]="","",COUNTIF($K$1:IDNMaps[[#This Row],[Type]],IDNMaps[[#This Row],[Type]]))</f>
        <v/>
      </c>
      <c r="M435" s="6" t="str">
        <f ca="1">IFERROR(VLOOKUP(IDNMaps[[#This Row],[Type]],RecordCount[],6,0)&amp;"-"&amp;IDNMaps[[#This Row],[Type Count]],"")</f>
        <v/>
      </c>
      <c r="N435" s="6" t="str">
        <f ca="1">IFERROR(VLOOKUP(IDNMaps[[#This Row],[Primary]],INDIRECT(VLOOKUP(IDNMaps[[#This Row],[Type]],RecordCount[],2,0)),VLOOKUP(IDNMaps[[#This Row],[Type]],RecordCount[],7,0),0),"")</f>
        <v/>
      </c>
      <c r="O435" s="6" t="str">
        <f ca="1">IF(IDNMaps[[#This Row],[Name]]="","","("&amp;IDNMaps[[#This Row],[Type]]&amp;") "&amp;IDNMaps[[#This Row],[Name]])</f>
        <v/>
      </c>
      <c r="P435" s="6" t="str">
        <f ca="1">IFERROR(VLOOKUP(IDNMaps[[#This Row],[Primary]],INDIRECT(VLOOKUP(IDNMaps[[#This Row],[Type]],RecordCount[],2,0)),VLOOKUP(IDNMaps[[#This Row],[Type]],RecordCount[],8,0),0),"")</f>
        <v/>
      </c>
    </row>
    <row r="436" spans="10:16" x14ac:dyDescent="0.25">
      <c r="J436" s="11">
        <f t="shared" si="6"/>
        <v>435</v>
      </c>
      <c r="K43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6" s="6" t="str">
        <f ca="1">IF(IDNMaps[[#This Row],[Type]]="","",COUNTIF($K$1:IDNMaps[[#This Row],[Type]],IDNMaps[[#This Row],[Type]]))</f>
        <v/>
      </c>
      <c r="M436" s="6" t="str">
        <f ca="1">IFERROR(VLOOKUP(IDNMaps[[#This Row],[Type]],RecordCount[],6,0)&amp;"-"&amp;IDNMaps[[#This Row],[Type Count]],"")</f>
        <v/>
      </c>
      <c r="N436" s="6" t="str">
        <f ca="1">IFERROR(VLOOKUP(IDNMaps[[#This Row],[Primary]],INDIRECT(VLOOKUP(IDNMaps[[#This Row],[Type]],RecordCount[],2,0)),VLOOKUP(IDNMaps[[#This Row],[Type]],RecordCount[],7,0),0),"")</f>
        <v/>
      </c>
      <c r="O436" s="6" t="str">
        <f ca="1">IF(IDNMaps[[#This Row],[Name]]="","","("&amp;IDNMaps[[#This Row],[Type]]&amp;") "&amp;IDNMaps[[#This Row],[Name]])</f>
        <v/>
      </c>
      <c r="P436" s="6" t="str">
        <f ca="1">IFERROR(VLOOKUP(IDNMaps[[#This Row],[Primary]],INDIRECT(VLOOKUP(IDNMaps[[#This Row],[Type]],RecordCount[],2,0)),VLOOKUP(IDNMaps[[#This Row],[Type]],RecordCount[],8,0),0),"")</f>
        <v/>
      </c>
    </row>
    <row r="437" spans="10:16" x14ac:dyDescent="0.25">
      <c r="J437" s="11">
        <f t="shared" si="6"/>
        <v>436</v>
      </c>
      <c r="K43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7" s="6" t="str">
        <f ca="1">IF(IDNMaps[[#This Row],[Type]]="","",COUNTIF($K$1:IDNMaps[[#This Row],[Type]],IDNMaps[[#This Row],[Type]]))</f>
        <v/>
      </c>
      <c r="M437" s="6" t="str">
        <f ca="1">IFERROR(VLOOKUP(IDNMaps[[#This Row],[Type]],RecordCount[],6,0)&amp;"-"&amp;IDNMaps[[#This Row],[Type Count]],"")</f>
        <v/>
      </c>
      <c r="N437" s="6" t="str">
        <f ca="1">IFERROR(VLOOKUP(IDNMaps[[#This Row],[Primary]],INDIRECT(VLOOKUP(IDNMaps[[#This Row],[Type]],RecordCount[],2,0)),VLOOKUP(IDNMaps[[#This Row],[Type]],RecordCount[],7,0),0),"")</f>
        <v/>
      </c>
      <c r="O437" s="6" t="str">
        <f ca="1">IF(IDNMaps[[#This Row],[Name]]="","","("&amp;IDNMaps[[#This Row],[Type]]&amp;") "&amp;IDNMaps[[#This Row],[Name]])</f>
        <v/>
      </c>
      <c r="P437" s="6" t="str">
        <f ca="1">IFERROR(VLOOKUP(IDNMaps[[#This Row],[Primary]],INDIRECT(VLOOKUP(IDNMaps[[#This Row],[Type]],RecordCount[],2,0)),VLOOKUP(IDNMaps[[#This Row],[Type]],RecordCount[],8,0),0),"")</f>
        <v/>
      </c>
    </row>
    <row r="438" spans="10:16" x14ac:dyDescent="0.25">
      <c r="J438" s="11">
        <f t="shared" si="6"/>
        <v>437</v>
      </c>
      <c r="K43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8" s="6" t="str">
        <f ca="1">IF(IDNMaps[[#This Row],[Type]]="","",COUNTIF($K$1:IDNMaps[[#This Row],[Type]],IDNMaps[[#This Row],[Type]]))</f>
        <v/>
      </c>
      <c r="M438" s="6" t="str">
        <f ca="1">IFERROR(VLOOKUP(IDNMaps[[#This Row],[Type]],RecordCount[],6,0)&amp;"-"&amp;IDNMaps[[#This Row],[Type Count]],"")</f>
        <v/>
      </c>
      <c r="N438" s="6" t="str">
        <f ca="1">IFERROR(VLOOKUP(IDNMaps[[#This Row],[Primary]],INDIRECT(VLOOKUP(IDNMaps[[#This Row],[Type]],RecordCount[],2,0)),VLOOKUP(IDNMaps[[#This Row],[Type]],RecordCount[],7,0),0),"")</f>
        <v/>
      </c>
      <c r="O438" s="6" t="str">
        <f ca="1">IF(IDNMaps[[#This Row],[Name]]="","","("&amp;IDNMaps[[#This Row],[Type]]&amp;") "&amp;IDNMaps[[#This Row],[Name]])</f>
        <v/>
      </c>
      <c r="P438" s="6" t="str">
        <f ca="1">IFERROR(VLOOKUP(IDNMaps[[#This Row],[Primary]],INDIRECT(VLOOKUP(IDNMaps[[#This Row],[Type]],RecordCount[],2,0)),VLOOKUP(IDNMaps[[#This Row],[Type]],RecordCount[],8,0),0),"")</f>
        <v/>
      </c>
    </row>
    <row r="439" spans="10:16" x14ac:dyDescent="0.25">
      <c r="J439" s="11">
        <f t="shared" si="6"/>
        <v>438</v>
      </c>
      <c r="K43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9" s="6" t="str">
        <f ca="1">IF(IDNMaps[[#This Row],[Type]]="","",COUNTIF($K$1:IDNMaps[[#This Row],[Type]],IDNMaps[[#This Row],[Type]]))</f>
        <v/>
      </c>
      <c r="M439" s="6" t="str">
        <f ca="1">IFERROR(VLOOKUP(IDNMaps[[#This Row],[Type]],RecordCount[],6,0)&amp;"-"&amp;IDNMaps[[#This Row],[Type Count]],"")</f>
        <v/>
      </c>
      <c r="N439" s="6" t="str">
        <f ca="1">IFERROR(VLOOKUP(IDNMaps[[#This Row],[Primary]],INDIRECT(VLOOKUP(IDNMaps[[#This Row],[Type]],RecordCount[],2,0)),VLOOKUP(IDNMaps[[#This Row],[Type]],RecordCount[],7,0),0),"")</f>
        <v/>
      </c>
      <c r="O439" s="6" t="str">
        <f ca="1">IF(IDNMaps[[#This Row],[Name]]="","","("&amp;IDNMaps[[#This Row],[Type]]&amp;") "&amp;IDNMaps[[#This Row],[Name]])</f>
        <v/>
      </c>
      <c r="P439" s="6" t="str">
        <f ca="1">IFERROR(VLOOKUP(IDNMaps[[#This Row],[Primary]],INDIRECT(VLOOKUP(IDNMaps[[#This Row],[Type]],RecordCount[],2,0)),VLOOKUP(IDNMaps[[#This Row],[Type]],RecordCount[],8,0),0),"")</f>
        <v/>
      </c>
    </row>
    <row r="440" spans="10:16" x14ac:dyDescent="0.25">
      <c r="J440" s="11">
        <f t="shared" si="6"/>
        <v>439</v>
      </c>
      <c r="K44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0" s="6" t="str">
        <f ca="1">IF(IDNMaps[[#This Row],[Type]]="","",COUNTIF($K$1:IDNMaps[[#This Row],[Type]],IDNMaps[[#This Row],[Type]]))</f>
        <v/>
      </c>
      <c r="M440" s="6" t="str">
        <f ca="1">IFERROR(VLOOKUP(IDNMaps[[#This Row],[Type]],RecordCount[],6,0)&amp;"-"&amp;IDNMaps[[#This Row],[Type Count]],"")</f>
        <v/>
      </c>
      <c r="N440" s="6" t="str">
        <f ca="1">IFERROR(VLOOKUP(IDNMaps[[#This Row],[Primary]],INDIRECT(VLOOKUP(IDNMaps[[#This Row],[Type]],RecordCount[],2,0)),VLOOKUP(IDNMaps[[#This Row],[Type]],RecordCount[],7,0),0),"")</f>
        <v/>
      </c>
      <c r="O440" s="6" t="str">
        <f ca="1">IF(IDNMaps[[#This Row],[Name]]="","","("&amp;IDNMaps[[#This Row],[Type]]&amp;") "&amp;IDNMaps[[#This Row],[Name]])</f>
        <v/>
      </c>
      <c r="P440" s="6" t="str">
        <f ca="1">IFERROR(VLOOKUP(IDNMaps[[#This Row],[Primary]],INDIRECT(VLOOKUP(IDNMaps[[#This Row],[Type]],RecordCount[],2,0)),VLOOKUP(IDNMaps[[#This Row],[Type]],RecordCount[],8,0),0),"")</f>
        <v/>
      </c>
    </row>
    <row r="441" spans="10:16" x14ac:dyDescent="0.25">
      <c r="J441" s="11">
        <f t="shared" si="6"/>
        <v>440</v>
      </c>
      <c r="K44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1" s="6" t="str">
        <f ca="1">IF(IDNMaps[[#This Row],[Type]]="","",COUNTIF($K$1:IDNMaps[[#This Row],[Type]],IDNMaps[[#This Row],[Type]]))</f>
        <v/>
      </c>
      <c r="M441" s="6" t="str">
        <f ca="1">IFERROR(VLOOKUP(IDNMaps[[#This Row],[Type]],RecordCount[],6,0)&amp;"-"&amp;IDNMaps[[#This Row],[Type Count]],"")</f>
        <v/>
      </c>
      <c r="N441" s="6" t="str">
        <f ca="1">IFERROR(VLOOKUP(IDNMaps[[#This Row],[Primary]],INDIRECT(VLOOKUP(IDNMaps[[#This Row],[Type]],RecordCount[],2,0)),VLOOKUP(IDNMaps[[#This Row],[Type]],RecordCount[],7,0),0),"")</f>
        <v/>
      </c>
      <c r="O441" s="6" t="str">
        <f ca="1">IF(IDNMaps[[#This Row],[Name]]="","","("&amp;IDNMaps[[#This Row],[Type]]&amp;") "&amp;IDNMaps[[#This Row],[Name]])</f>
        <v/>
      </c>
      <c r="P441" s="6" t="str">
        <f ca="1">IFERROR(VLOOKUP(IDNMaps[[#This Row],[Primary]],INDIRECT(VLOOKUP(IDNMaps[[#This Row],[Type]],RecordCount[],2,0)),VLOOKUP(IDNMaps[[#This Row],[Type]],RecordCount[],8,0),0),"")</f>
        <v/>
      </c>
    </row>
    <row r="442" spans="10:16" x14ac:dyDescent="0.25">
      <c r="J442" s="11">
        <f t="shared" si="6"/>
        <v>441</v>
      </c>
      <c r="K44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2" s="6" t="str">
        <f ca="1">IF(IDNMaps[[#This Row],[Type]]="","",COUNTIF($K$1:IDNMaps[[#This Row],[Type]],IDNMaps[[#This Row],[Type]]))</f>
        <v/>
      </c>
      <c r="M442" s="6" t="str">
        <f ca="1">IFERROR(VLOOKUP(IDNMaps[[#This Row],[Type]],RecordCount[],6,0)&amp;"-"&amp;IDNMaps[[#This Row],[Type Count]],"")</f>
        <v/>
      </c>
      <c r="N442" s="6" t="str">
        <f ca="1">IFERROR(VLOOKUP(IDNMaps[[#This Row],[Primary]],INDIRECT(VLOOKUP(IDNMaps[[#This Row],[Type]],RecordCount[],2,0)),VLOOKUP(IDNMaps[[#This Row],[Type]],RecordCount[],7,0),0),"")</f>
        <v/>
      </c>
      <c r="O442" s="6" t="str">
        <f ca="1">IF(IDNMaps[[#This Row],[Name]]="","","("&amp;IDNMaps[[#This Row],[Type]]&amp;") "&amp;IDNMaps[[#This Row],[Name]])</f>
        <v/>
      </c>
      <c r="P442" s="6" t="str">
        <f ca="1">IFERROR(VLOOKUP(IDNMaps[[#This Row],[Primary]],INDIRECT(VLOOKUP(IDNMaps[[#This Row],[Type]],RecordCount[],2,0)),VLOOKUP(IDNMaps[[#This Row],[Type]],RecordCount[],8,0),0),"")</f>
        <v/>
      </c>
    </row>
    <row r="443" spans="10:16" x14ac:dyDescent="0.25">
      <c r="J443" s="11">
        <f t="shared" si="6"/>
        <v>442</v>
      </c>
      <c r="K44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3" s="6" t="str">
        <f ca="1">IF(IDNMaps[[#This Row],[Type]]="","",COUNTIF($K$1:IDNMaps[[#This Row],[Type]],IDNMaps[[#This Row],[Type]]))</f>
        <v/>
      </c>
      <c r="M443" s="6" t="str">
        <f ca="1">IFERROR(VLOOKUP(IDNMaps[[#This Row],[Type]],RecordCount[],6,0)&amp;"-"&amp;IDNMaps[[#This Row],[Type Count]],"")</f>
        <v/>
      </c>
      <c r="N443" s="6" t="str">
        <f ca="1">IFERROR(VLOOKUP(IDNMaps[[#This Row],[Primary]],INDIRECT(VLOOKUP(IDNMaps[[#This Row],[Type]],RecordCount[],2,0)),VLOOKUP(IDNMaps[[#This Row],[Type]],RecordCount[],7,0),0),"")</f>
        <v/>
      </c>
      <c r="O443" s="6" t="str">
        <f ca="1">IF(IDNMaps[[#This Row],[Name]]="","","("&amp;IDNMaps[[#This Row],[Type]]&amp;") "&amp;IDNMaps[[#This Row],[Name]])</f>
        <v/>
      </c>
      <c r="P443" s="6" t="str">
        <f ca="1">IFERROR(VLOOKUP(IDNMaps[[#This Row],[Primary]],INDIRECT(VLOOKUP(IDNMaps[[#This Row],[Type]],RecordCount[],2,0)),VLOOKUP(IDNMaps[[#This Row],[Type]],RecordCount[],8,0),0),"")</f>
        <v/>
      </c>
    </row>
    <row r="444" spans="10:16" x14ac:dyDescent="0.25">
      <c r="J444" s="11">
        <f t="shared" si="6"/>
        <v>443</v>
      </c>
      <c r="K44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4" s="6" t="str">
        <f ca="1">IF(IDNMaps[[#This Row],[Type]]="","",COUNTIF($K$1:IDNMaps[[#This Row],[Type]],IDNMaps[[#This Row],[Type]]))</f>
        <v/>
      </c>
      <c r="M444" s="6" t="str">
        <f ca="1">IFERROR(VLOOKUP(IDNMaps[[#This Row],[Type]],RecordCount[],6,0)&amp;"-"&amp;IDNMaps[[#This Row],[Type Count]],"")</f>
        <v/>
      </c>
      <c r="N444" s="6" t="str">
        <f ca="1">IFERROR(VLOOKUP(IDNMaps[[#This Row],[Primary]],INDIRECT(VLOOKUP(IDNMaps[[#This Row],[Type]],RecordCount[],2,0)),VLOOKUP(IDNMaps[[#This Row],[Type]],RecordCount[],7,0),0),"")</f>
        <v/>
      </c>
      <c r="O444" s="6" t="str">
        <f ca="1">IF(IDNMaps[[#This Row],[Name]]="","","("&amp;IDNMaps[[#This Row],[Type]]&amp;") "&amp;IDNMaps[[#This Row],[Name]])</f>
        <v/>
      </c>
      <c r="P444" s="6" t="str">
        <f ca="1">IFERROR(VLOOKUP(IDNMaps[[#This Row],[Primary]],INDIRECT(VLOOKUP(IDNMaps[[#This Row],[Type]],RecordCount[],2,0)),VLOOKUP(IDNMaps[[#This Row],[Type]],RecordCount[],8,0),0),"")</f>
        <v/>
      </c>
    </row>
    <row r="445" spans="10:16" x14ac:dyDescent="0.25">
      <c r="J445" s="11">
        <f t="shared" si="6"/>
        <v>444</v>
      </c>
      <c r="K44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5" s="6" t="str">
        <f ca="1">IF(IDNMaps[[#This Row],[Type]]="","",COUNTIF($K$1:IDNMaps[[#This Row],[Type]],IDNMaps[[#This Row],[Type]]))</f>
        <v/>
      </c>
      <c r="M445" s="6" t="str">
        <f ca="1">IFERROR(VLOOKUP(IDNMaps[[#This Row],[Type]],RecordCount[],6,0)&amp;"-"&amp;IDNMaps[[#This Row],[Type Count]],"")</f>
        <v/>
      </c>
      <c r="N445" s="6" t="str">
        <f ca="1">IFERROR(VLOOKUP(IDNMaps[[#This Row],[Primary]],INDIRECT(VLOOKUP(IDNMaps[[#This Row],[Type]],RecordCount[],2,0)),VLOOKUP(IDNMaps[[#This Row],[Type]],RecordCount[],7,0),0),"")</f>
        <v/>
      </c>
      <c r="O445" s="6" t="str">
        <f ca="1">IF(IDNMaps[[#This Row],[Name]]="","","("&amp;IDNMaps[[#This Row],[Type]]&amp;") "&amp;IDNMaps[[#This Row],[Name]])</f>
        <v/>
      </c>
      <c r="P445" s="6" t="str">
        <f ca="1">IFERROR(VLOOKUP(IDNMaps[[#This Row],[Primary]],INDIRECT(VLOOKUP(IDNMaps[[#This Row],[Type]],RecordCount[],2,0)),VLOOKUP(IDNMaps[[#This Row],[Type]],RecordCount[],8,0),0),"")</f>
        <v/>
      </c>
    </row>
    <row r="446" spans="10:16" x14ac:dyDescent="0.25">
      <c r="J446" s="11">
        <f t="shared" si="6"/>
        <v>445</v>
      </c>
      <c r="K44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6" s="6" t="str">
        <f ca="1">IF(IDNMaps[[#This Row],[Type]]="","",COUNTIF($K$1:IDNMaps[[#This Row],[Type]],IDNMaps[[#This Row],[Type]]))</f>
        <v/>
      </c>
      <c r="M446" s="6" t="str">
        <f ca="1">IFERROR(VLOOKUP(IDNMaps[[#This Row],[Type]],RecordCount[],6,0)&amp;"-"&amp;IDNMaps[[#This Row],[Type Count]],"")</f>
        <v/>
      </c>
      <c r="N446" s="6" t="str">
        <f ca="1">IFERROR(VLOOKUP(IDNMaps[[#This Row],[Primary]],INDIRECT(VLOOKUP(IDNMaps[[#This Row],[Type]],RecordCount[],2,0)),VLOOKUP(IDNMaps[[#This Row],[Type]],RecordCount[],7,0),0),"")</f>
        <v/>
      </c>
      <c r="O446" s="6" t="str">
        <f ca="1">IF(IDNMaps[[#This Row],[Name]]="","","("&amp;IDNMaps[[#This Row],[Type]]&amp;") "&amp;IDNMaps[[#This Row],[Name]])</f>
        <v/>
      </c>
      <c r="P446" s="6" t="str">
        <f ca="1">IFERROR(VLOOKUP(IDNMaps[[#This Row],[Primary]],INDIRECT(VLOOKUP(IDNMaps[[#This Row],[Type]],RecordCount[],2,0)),VLOOKUP(IDNMaps[[#This Row],[Type]],RecordCount[],8,0),0),"")</f>
        <v/>
      </c>
    </row>
    <row r="447" spans="10:16" x14ac:dyDescent="0.25">
      <c r="J447" s="11">
        <f t="shared" si="6"/>
        <v>446</v>
      </c>
      <c r="K44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7" s="6" t="str">
        <f ca="1">IF(IDNMaps[[#This Row],[Type]]="","",COUNTIF($K$1:IDNMaps[[#This Row],[Type]],IDNMaps[[#This Row],[Type]]))</f>
        <v/>
      </c>
      <c r="M447" s="6" t="str">
        <f ca="1">IFERROR(VLOOKUP(IDNMaps[[#This Row],[Type]],RecordCount[],6,0)&amp;"-"&amp;IDNMaps[[#This Row],[Type Count]],"")</f>
        <v/>
      </c>
      <c r="N447" s="6" t="str">
        <f ca="1">IFERROR(VLOOKUP(IDNMaps[[#This Row],[Primary]],INDIRECT(VLOOKUP(IDNMaps[[#This Row],[Type]],RecordCount[],2,0)),VLOOKUP(IDNMaps[[#This Row],[Type]],RecordCount[],7,0),0),"")</f>
        <v/>
      </c>
      <c r="O447" s="6" t="str">
        <f ca="1">IF(IDNMaps[[#This Row],[Name]]="","","("&amp;IDNMaps[[#This Row],[Type]]&amp;") "&amp;IDNMaps[[#This Row],[Name]])</f>
        <v/>
      </c>
      <c r="P447" s="6" t="str">
        <f ca="1">IFERROR(VLOOKUP(IDNMaps[[#This Row],[Primary]],INDIRECT(VLOOKUP(IDNMaps[[#This Row],[Type]],RecordCount[],2,0)),VLOOKUP(IDNMaps[[#This Row],[Type]],RecordCount[],8,0),0),"")</f>
        <v/>
      </c>
    </row>
    <row r="448" spans="10:16" x14ac:dyDescent="0.25">
      <c r="J448" s="11">
        <f t="shared" si="6"/>
        <v>447</v>
      </c>
      <c r="K44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8" s="6" t="str">
        <f ca="1">IF(IDNMaps[[#This Row],[Type]]="","",COUNTIF($K$1:IDNMaps[[#This Row],[Type]],IDNMaps[[#This Row],[Type]]))</f>
        <v/>
      </c>
      <c r="M448" s="6" t="str">
        <f ca="1">IFERROR(VLOOKUP(IDNMaps[[#This Row],[Type]],RecordCount[],6,0)&amp;"-"&amp;IDNMaps[[#This Row],[Type Count]],"")</f>
        <v/>
      </c>
      <c r="N448" s="6" t="str">
        <f ca="1">IFERROR(VLOOKUP(IDNMaps[[#This Row],[Primary]],INDIRECT(VLOOKUP(IDNMaps[[#This Row],[Type]],RecordCount[],2,0)),VLOOKUP(IDNMaps[[#This Row],[Type]],RecordCount[],7,0),0),"")</f>
        <v/>
      </c>
      <c r="O448" s="6" t="str">
        <f ca="1">IF(IDNMaps[[#This Row],[Name]]="","","("&amp;IDNMaps[[#This Row],[Type]]&amp;") "&amp;IDNMaps[[#This Row],[Name]])</f>
        <v/>
      </c>
      <c r="P448" s="6" t="str">
        <f ca="1">IFERROR(VLOOKUP(IDNMaps[[#This Row],[Primary]],INDIRECT(VLOOKUP(IDNMaps[[#This Row],[Type]],RecordCount[],2,0)),VLOOKUP(IDNMaps[[#This Row],[Type]],RecordCount[],8,0),0),"")</f>
        <v/>
      </c>
    </row>
    <row r="449" spans="10:16" x14ac:dyDescent="0.25">
      <c r="J449" s="11">
        <f t="shared" si="6"/>
        <v>448</v>
      </c>
      <c r="K44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9" s="6" t="str">
        <f ca="1">IF(IDNMaps[[#This Row],[Type]]="","",COUNTIF($K$1:IDNMaps[[#This Row],[Type]],IDNMaps[[#This Row],[Type]]))</f>
        <v/>
      </c>
      <c r="M449" s="6" t="str">
        <f ca="1">IFERROR(VLOOKUP(IDNMaps[[#This Row],[Type]],RecordCount[],6,0)&amp;"-"&amp;IDNMaps[[#This Row],[Type Count]],"")</f>
        <v/>
      </c>
      <c r="N449" s="6" t="str">
        <f ca="1">IFERROR(VLOOKUP(IDNMaps[[#This Row],[Primary]],INDIRECT(VLOOKUP(IDNMaps[[#This Row],[Type]],RecordCount[],2,0)),VLOOKUP(IDNMaps[[#This Row],[Type]],RecordCount[],7,0),0),"")</f>
        <v/>
      </c>
      <c r="O449" s="6" t="str">
        <f ca="1">IF(IDNMaps[[#This Row],[Name]]="","","("&amp;IDNMaps[[#This Row],[Type]]&amp;") "&amp;IDNMaps[[#This Row],[Name]])</f>
        <v/>
      </c>
      <c r="P449" s="6" t="str">
        <f ca="1">IFERROR(VLOOKUP(IDNMaps[[#This Row],[Primary]],INDIRECT(VLOOKUP(IDNMaps[[#This Row],[Type]],RecordCount[],2,0)),VLOOKUP(IDNMaps[[#This Row],[Type]],RecordCount[],8,0),0),"")</f>
        <v/>
      </c>
    </row>
    <row r="450" spans="10:16" x14ac:dyDescent="0.25">
      <c r="J450" s="11">
        <f t="shared" ref="J450:J501" si="7">IFERROR($J449+1,1)</f>
        <v>449</v>
      </c>
      <c r="K45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0" s="6" t="str">
        <f ca="1">IF(IDNMaps[[#This Row],[Type]]="","",COUNTIF($K$1:IDNMaps[[#This Row],[Type]],IDNMaps[[#This Row],[Type]]))</f>
        <v/>
      </c>
      <c r="M450" s="6" t="str">
        <f ca="1">IFERROR(VLOOKUP(IDNMaps[[#This Row],[Type]],RecordCount[],6,0)&amp;"-"&amp;IDNMaps[[#This Row],[Type Count]],"")</f>
        <v/>
      </c>
      <c r="N450" s="6" t="str">
        <f ca="1">IFERROR(VLOOKUP(IDNMaps[[#This Row],[Primary]],INDIRECT(VLOOKUP(IDNMaps[[#This Row],[Type]],RecordCount[],2,0)),VLOOKUP(IDNMaps[[#This Row],[Type]],RecordCount[],7,0),0),"")</f>
        <v/>
      </c>
      <c r="O450" s="6" t="str">
        <f ca="1">IF(IDNMaps[[#This Row],[Name]]="","","("&amp;IDNMaps[[#This Row],[Type]]&amp;") "&amp;IDNMaps[[#This Row],[Name]])</f>
        <v/>
      </c>
      <c r="P450" s="6" t="str">
        <f ca="1">IFERROR(VLOOKUP(IDNMaps[[#This Row],[Primary]],INDIRECT(VLOOKUP(IDNMaps[[#This Row],[Type]],RecordCount[],2,0)),VLOOKUP(IDNMaps[[#This Row],[Type]],RecordCount[],8,0),0),"")</f>
        <v/>
      </c>
    </row>
    <row r="451" spans="10:16" x14ac:dyDescent="0.25">
      <c r="J451" s="11">
        <f t="shared" si="7"/>
        <v>450</v>
      </c>
      <c r="K45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1" s="6" t="str">
        <f ca="1">IF(IDNMaps[[#This Row],[Type]]="","",COUNTIF($K$1:IDNMaps[[#This Row],[Type]],IDNMaps[[#This Row],[Type]]))</f>
        <v/>
      </c>
      <c r="M451" s="6" t="str">
        <f ca="1">IFERROR(VLOOKUP(IDNMaps[[#This Row],[Type]],RecordCount[],6,0)&amp;"-"&amp;IDNMaps[[#This Row],[Type Count]],"")</f>
        <v/>
      </c>
      <c r="N451" s="6" t="str">
        <f ca="1">IFERROR(VLOOKUP(IDNMaps[[#This Row],[Primary]],INDIRECT(VLOOKUP(IDNMaps[[#This Row],[Type]],RecordCount[],2,0)),VLOOKUP(IDNMaps[[#This Row],[Type]],RecordCount[],7,0),0),"")</f>
        <v/>
      </c>
      <c r="O451" s="6" t="str">
        <f ca="1">IF(IDNMaps[[#This Row],[Name]]="","","("&amp;IDNMaps[[#This Row],[Type]]&amp;") "&amp;IDNMaps[[#This Row],[Name]])</f>
        <v/>
      </c>
      <c r="P451" s="6" t="str">
        <f ca="1">IFERROR(VLOOKUP(IDNMaps[[#This Row],[Primary]],INDIRECT(VLOOKUP(IDNMaps[[#This Row],[Type]],RecordCount[],2,0)),VLOOKUP(IDNMaps[[#This Row],[Type]],RecordCount[],8,0),0),"")</f>
        <v/>
      </c>
    </row>
    <row r="452" spans="10:16" x14ac:dyDescent="0.25">
      <c r="J452" s="11">
        <f t="shared" si="7"/>
        <v>451</v>
      </c>
      <c r="K45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2" s="6" t="str">
        <f ca="1">IF(IDNMaps[[#This Row],[Type]]="","",COUNTIF($K$1:IDNMaps[[#This Row],[Type]],IDNMaps[[#This Row],[Type]]))</f>
        <v/>
      </c>
      <c r="M452" s="6" t="str">
        <f ca="1">IFERROR(VLOOKUP(IDNMaps[[#This Row],[Type]],RecordCount[],6,0)&amp;"-"&amp;IDNMaps[[#This Row],[Type Count]],"")</f>
        <v/>
      </c>
      <c r="N452" s="6" t="str">
        <f ca="1">IFERROR(VLOOKUP(IDNMaps[[#This Row],[Primary]],INDIRECT(VLOOKUP(IDNMaps[[#This Row],[Type]],RecordCount[],2,0)),VLOOKUP(IDNMaps[[#This Row],[Type]],RecordCount[],7,0),0),"")</f>
        <v/>
      </c>
      <c r="O452" s="6" t="str">
        <f ca="1">IF(IDNMaps[[#This Row],[Name]]="","","("&amp;IDNMaps[[#This Row],[Type]]&amp;") "&amp;IDNMaps[[#This Row],[Name]])</f>
        <v/>
      </c>
      <c r="P452" s="6" t="str">
        <f ca="1">IFERROR(VLOOKUP(IDNMaps[[#This Row],[Primary]],INDIRECT(VLOOKUP(IDNMaps[[#This Row],[Type]],RecordCount[],2,0)),VLOOKUP(IDNMaps[[#This Row],[Type]],RecordCount[],8,0),0),"")</f>
        <v/>
      </c>
    </row>
    <row r="453" spans="10:16" x14ac:dyDescent="0.25">
      <c r="J453" s="11">
        <f t="shared" si="7"/>
        <v>452</v>
      </c>
      <c r="K45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3" s="6" t="str">
        <f ca="1">IF(IDNMaps[[#This Row],[Type]]="","",COUNTIF($K$1:IDNMaps[[#This Row],[Type]],IDNMaps[[#This Row],[Type]]))</f>
        <v/>
      </c>
      <c r="M453" s="6" t="str">
        <f ca="1">IFERROR(VLOOKUP(IDNMaps[[#This Row],[Type]],RecordCount[],6,0)&amp;"-"&amp;IDNMaps[[#This Row],[Type Count]],"")</f>
        <v/>
      </c>
      <c r="N453" s="6" t="str">
        <f ca="1">IFERROR(VLOOKUP(IDNMaps[[#This Row],[Primary]],INDIRECT(VLOOKUP(IDNMaps[[#This Row],[Type]],RecordCount[],2,0)),VLOOKUP(IDNMaps[[#This Row],[Type]],RecordCount[],7,0),0),"")</f>
        <v/>
      </c>
      <c r="O453" s="6" t="str">
        <f ca="1">IF(IDNMaps[[#This Row],[Name]]="","","("&amp;IDNMaps[[#This Row],[Type]]&amp;") "&amp;IDNMaps[[#This Row],[Name]])</f>
        <v/>
      </c>
      <c r="P453" s="6" t="str">
        <f ca="1">IFERROR(VLOOKUP(IDNMaps[[#This Row],[Primary]],INDIRECT(VLOOKUP(IDNMaps[[#This Row],[Type]],RecordCount[],2,0)),VLOOKUP(IDNMaps[[#This Row],[Type]],RecordCount[],8,0),0),"")</f>
        <v/>
      </c>
    </row>
    <row r="454" spans="10:16" x14ac:dyDescent="0.25">
      <c r="J454" s="11">
        <f t="shared" si="7"/>
        <v>453</v>
      </c>
      <c r="K45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4" s="6" t="str">
        <f ca="1">IF(IDNMaps[[#This Row],[Type]]="","",COUNTIF($K$1:IDNMaps[[#This Row],[Type]],IDNMaps[[#This Row],[Type]]))</f>
        <v/>
      </c>
      <c r="M454" s="6" t="str">
        <f ca="1">IFERROR(VLOOKUP(IDNMaps[[#This Row],[Type]],RecordCount[],6,0)&amp;"-"&amp;IDNMaps[[#This Row],[Type Count]],"")</f>
        <v/>
      </c>
      <c r="N454" s="6" t="str">
        <f ca="1">IFERROR(VLOOKUP(IDNMaps[[#This Row],[Primary]],INDIRECT(VLOOKUP(IDNMaps[[#This Row],[Type]],RecordCount[],2,0)),VLOOKUP(IDNMaps[[#This Row],[Type]],RecordCount[],7,0),0),"")</f>
        <v/>
      </c>
      <c r="O454" s="6" t="str">
        <f ca="1">IF(IDNMaps[[#This Row],[Name]]="","","("&amp;IDNMaps[[#This Row],[Type]]&amp;") "&amp;IDNMaps[[#This Row],[Name]])</f>
        <v/>
      </c>
      <c r="P454" s="6" t="str">
        <f ca="1">IFERROR(VLOOKUP(IDNMaps[[#This Row],[Primary]],INDIRECT(VLOOKUP(IDNMaps[[#This Row],[Type]],RecordCount[],2,0)),VLOOKUP(IDNMaps[[#This Row],[Type]],RecordCount[],8,0),0),"")</f>
        <v/>
      </c>
    </row>
    <row r="455" spans="10:16" x14ac:dyDescent="0.25">
      <c r="J455" s="11">
        <f t="shared" si="7"/>
        <v>454</v>
      </c>
      <c r="K45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5" s="6" t="str">
        <f ca="1">IF(IDNMaps[[#This Row],[Type]]="","",COUNTIF($K$1:IDNMaps[[#This Row],[Type]],IDNMaps[[#This Row],[Type]]))</f>
        <v/>
      </c>
      <c r="M455" s="6" t="str">
        <f ca="1">IFERROR(VLOOKUP(IDNMaps[[#This Row],[Type]],RecordCount[],6,0)&amp;"-"&amp;IDNMaps[[#This Row],[Type Count]],"")</f>
        <v/>
      </c>
      <c r="N455" s="6" t="str">
        <f ca="1">IFERROR(VLOOKUP(IDNMaps[[#This Row],[Primary]],INDIRECT(VLOOKUP(IDNMaps[[#This Row],[Type]],RecordCount[],2,0)),VLOOKUP(IDNMaps[[#This Row],[Type]],RecordCount[],7,0),0),"")</f>
        <v/>
      </c>
      <c r="O455" s="6" t="str">
        <f ca="1">IF(IDNMaps[[#This Row],[Name]]="","","("&amp;IDNMaps[[#This Row],[Type]]&amp;") "&amp;IDNMaps[[#This Row],[Name]])</f>
        <v/>
      </c>
      <c r="P455" s="6" t="str">
        <f ca="1">IFERROR(VLOOKUP(IDNMaps[[#This Row],[Primary]],INDIRECT(VLOOKUP(IDNMaps[[#This Row],[Type]],RecordCount[],2,0)),VLOOKUP(IDNMaps[[#This Row],[Type]],RecordCount[],8,0),0),"")</f>
        <v/>
      </c>
    </row>
    <row r="456" spans="10:16" x14ac:dyDescent="0.25">
      <c r="J456" s="11">
        <f t="shared" si="7"/>
        <v>455</v>
      </c>
      <c r="K45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6" s="6" t="str">
        <f ca="1">IF(IDNMaps[[#This Row],[Type]]="","",COUNTIF($K$1:IDNMaps[[#This Row],[Type]],IDNMaps[[#This Row],[Type]]))</f>
        <v/>
      </c>
      <c r="M456" s="6" t="str">
        <f ca="1">IFERROR(VLOOKUP(IDNMaps[[#This Row],[Type]],RecordCount[],6,0)&amp;"-"&amp;IDNMaps[[#This Row],[Type Count]],"")</f>
        <v/>
      </c>
      <c r="N456" s="6" t="str">
        <f ca="1">IFERROR(VLOOKUP(IDNMaps[[#This Row],[Primary]],INDIRECT(VLOOKUP(IDNMaps[[#This Row],[Type]],RecordCount[],2,0)),VLOOKUP(IDNMaps[[#This Row],[Type]],RecordCount[],7,0),0),"")</f>
        <v/>
      </c>
      <c r="O456" s="6" t="str">
        <f ca="1">IF(IDNMaps[[#This Row],[Name]]="","","("&amp;IDNMaps[[#This Row],[Type]]&amp;") "&amp;IDNMaps[[#This Row],[Name]])</f>
        <v/>
      </c>
      <c r="P456" s="6" t="str">
        <f ca="1">IFERROR(VLOOKUP(IDNMaps[[#This Row],[Primary]],INDIRECT(VLOOKUP(IDNMaps[[#This Row],[Type]],RecordCount[],2,0)),VLOOKUP(IDNMaps[[#This Row],[Type]],RecordCount[],8,0),0),"")</f>
        <v/>
      </c>
    </row>
    <row r="457" spans="10:16" x14ac:dyDescent="0.25">
      <c r="J457" s="11">
        <f t="shared" si="7"/>
        <v>456</v>
      </c>
      <c r="K45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7" s="6" t="str">
        <f ca="1">IF(IDNMaps[[#This Row],[Type]]="","",COUNTIF($K$1:IDNMaps[[#This Row],[Type]],IDNMaps[[#This Row],[Type]]))</f>
        <v/>
      </c>
      <c r="M457" s="6" t="str">
        <f ca="1">IFERROR(VLOOKUP(IDNMaps[[#This Row],[Type]],RecordCount[],6,0)&amp;"-"&amp;IDNMaps[[#This Row],[Type Count]],"")</f>
        <v/>
      </c>
      <c r="N457" s="6" t="str">
        <f ca="1">IFERROR(VLOOKUP(IDNMaps[[#This Row],[Primary]],INDIRECT(VLOOKUP(IDNMaps[[#This Row],[Type]],RecordCount[],2,0)),VLOOKUP(IDNMaps[[#This Row],[Type]],RecordCount[],7,0),0),"")</f>
        <v/>
      </c>
      <c r="O457" s="6" t="str">
        <f ca="1">IF(IDNMaps[[#This Row],[Name]]="","","("&amp;IDNMaps[[#This Row],[Type]]&amp;") "&amp;IDNMaps[[#This Row],[Name]])</f>
        <v/>
      </c>
      <c r="P457" s="6" t="str">
        <f ca="1">IFERROR(VLOOKUP(IDNMaps[[#This Row],[Primary]],INDIRECT(VLOOKUP(IDNMaps[[#This Row],[Type]],RecordCount[],2,0)),VLOOKUP(IDNMaps[[#This Row],[Type]],RecordCount[],8,0),0),"")</f>
        <v/>
      </c>
    </row>
    <row r="458" spans="10:16" x14ac:dyDescent="0.25">
      <c r="J458" s="11">
        <f t="shared" si="7"/>
        <v>457</v>
      </c>
      <c r="K45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8" s="6" t="str">
        <f ca="1">IF(IDNMaps[[#This Row],[Type]]="","",COUNTIF($K$1:IDNMaps[[#This Row],[Type]],IDNMaps[[#This Row],[Type]]))</f>
        <v/>
      </c>
      <c r="M458" s="6" t="str">
        <f ca="1">IFERROR(VLOOKUP(IDNMaps[[#This Row],[Type]],RecordCount[],6,0)&amp;"-"&amp;IDNMaps[[#This Row],[Type Count]],"")</f>
        <v/>
      </c>
      <c r="N458" s="6" t="str">
        <f ca="1">IFERROR(VLOOKUP(IDNMaps[[#This Row],[Primary]],INDIRECT(VLOOKUP(IDNMaps[[#This Row],[Type]],RecordCount[],2,0)),VLOOKUP(IDNMaps[[#This Row],[Type]],RecordCount[],7,0),0),"")</f>
        <v/>
      </c>
      <c r="O458" s="6" t="str">
        <f ca="1">IF(IDNMaps[[#This Row],[Name]]="","","("&amp;IDNMaps[[#This Row],[Type]]&amp;") "&amp;IDNMaps[[#This Row],[Name]])</f>
        <v/>
      </c>
      <c r="P458" s="6" t="str">
        <f ca="1">IFERROR(VLOOKUP(IDNMaps[[#This Row],[Primary]],INDIRECT(VLOOKUP(IDNMaps[[#This Row],[Type]],RecordCount[],2,0)),VLOOKUP(IDNMaps[[#This Row],[Type]],RecordCount[],8,0),0),"")</f>
        <v/>
      </c>
    </row>
    <row r="459" spans="10:16" x14ac:dyDescent="0.25">
      <c r="J459" s="11">
        <f t="shared" si="7"/>
        <v>458</v>
      </c>
      <c r="K45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9" s="6" t="str">
        <f ca="1">IF(IDNMaps[[#This Row],[Type]]="","",COUNTIF($K$1:IDNMaps[[#This Row],[Type]],IDNMaps[[#This Row],[Type]]))</f>
        <v/>
      </c>
      <c r="M459" s="6" t="str">
        <f ca="1">IFERROR(VLOOKUP(IDNMaps[[#This Row],[Type]],RecordCount[],6,0)&amp;"-"&amp;IDNMaps[[#This Row],[Type Count]],"")</f>
        <v/>
      </c>
      <c r="N459" s="6" t="str">
        <f ca="1">IFERROR(VLOOKUP(IDNMaps[[#This Row],[Primary]],INDIRECT(VLOOKUP(IDNMaps[[#This Row],[Type]],RecordCount[],2,0)),VLOOKUP(IDNMaps[[#This Row],[Type]],RecordCount[],7,0),0),"")</f>
        <v/>
      </c>
      <c r="O459" s="6" t="str">
        <f ca="1">IF(IDNMaps[[#This Row],[Name]]="","","("&amp;IDNMaps[[#This Row],[Type]]&amp;") "&amp;IDNMaps[[#This Row],[Name]])</f>
        <v/>
      </c>
      <c r="P459" s="6" t="str">
        <f ca="1">IFERROR(VLOOKUP(IDNMaps[[#This Row],[Primary]],INDIRECT(VLOOKUP(IDNMaps[[#This Row],[Type]],RecordCount[],2,0)),VLOOKUP(IDNMaps[[#This Row],[Type]],RecordCount[],8,0),0),"")</f>
        <v/>
      </c>
    </row>
    <row r="460" spans="10:16" x14ac:dyDescent="0.25">
      <c r="J460" s="11">
        <f t="shared" si="7"/>
        <v>459</v>
      </c>
      <c r="K46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0" s="6" t="str">
        <f ca="1">IF(IDNMaps[[#This Row],[Type]]="","",COUNTIF($K$1:IDNMaps[[#This Row],[Type]],IDNMaps[[#This Row],[Type]]))</f>
        <v/>
      </c>
      <c r="M460" s="6" t="str">
        <f ca="1">IFERROR(VLOOKUP(IDNMaps[[#This Row],[Type]],RecordCount[],6,0)&amp;"-"&amp;IDNMaps[[#This Row],[Type Count]],"")</f>
        <v/>
      </c>
      <c r="N460" s="6" t="str">
        <f ca="1">IFERROR(VLOOKUP(IDNMaps[[#This Row],[Primary]],INDIRECT(VLOOKUP(IDNMaps[[#This Row],[Type]],RecordCount[],2,0)),VLOOKUP(IDNMaps[[#This Row],[Type]],RecordCount[],7,0),0),"")</f>
        <v/>
      </c>
      <c r="O460" s="6" t="str">
        <f ca="1">IF(IDNMaps[[#This Row],[Name]]="","","("&amp;IDNMaps[[#This Row],[Type]]&amp;") "&amp;IDNMaps[[#This Row],[Name]])</f>
        <v/>
      </c>
      <c r="P460" s="6" t="str">
        <f ca="1">IFERROR(VLOOKUP(IDNMaps[[#This Row],[Primary]],INDIRECT(VLOOKUP(IDNMaps[[#This Row],[Type]],RecordCount[],2,0)),VLOOKUP(IDNMaps[[#This Row],[Type]],RecordCount[],8,0),0),"")</f>
        <v/>
      </c>
    </row>
    <row r="461" spans="10:16" x14ac:dyDescent="0.25">
      <c r="J461" s="11">
        <f t="shared" si="7"/>
        <v>460</v>
      </c>
      <c r="K46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1" s="6" t="str">
        <f ca="1">IF(IDNMaps[[#This Row],[Type]]="","",COUNTIF($K$1:IDNMaps[[#This Row],[Type]],IDNMaps[[#This Row],[Type]]))</f>
        <v/>
      </c>
      <c r="M461" s="6" t="str">
        <f ca="1">IFERROR(VLOOKUP(IDNMaps[[#This Row],[Type]],RecordCount[],6,0)&amp;"-"&amp;IDNMaps[[#This Row],[Type Count]],"")</f>
        <v/>
      </c>
      <c r="N461" s="6" t="str">
        <f ca="1">IFERROR(VLOOKUP(IDNMaps[[#This Row],[Primary]],INDIRECT(VLOOKUP(IDNMaps[[#This Row],[Type]],RecordCount[],2,0)),VLOOKUP(IDNMaps[[#This Row],[Type]],RecordCount[],7,0),0),"")</f>
        <v/>
      </c>
      <c r="O461" s="6" t="str">
        <f ca="1">IF(IDNMaps[[#This Row],[Name]]="","","("&amp;IDNMaps[[#This Row],[Type]]&amp;") "&amp;IDNMaps[[#This Row],[Name]])</f>
        <v/>
      </c>
      <c r="P461" s="6" t="str">
        <f ca="1">IFERROR(VLOOKUP(IDNMaps[[#This Row],[Primary]],INDIRECT(VLOOKUP(IDNMaps[[#This Row],[Type]],RecordCount[],2,0)),VLOOKUP(IDNMaps[[#This Row],[Type]],RecordCount[],8,0),0),"")</f>
        <v/>
      </c>
    </row>
    <row r="462" spans="10:16" x14ac:dyDescent="0.25">
      <c r="J462" s="11">
        <f t="shared" si="7"/>
        <v>461</v>
      </c>
      <c r="K46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2" s="6" t="str">
        <f ca="1">IF(IDNMaps[[#This Row],[Type]]="","",COUNTIF($K$1:IDNMaps[[#This Row],[Type]],IDNMaps[[#This Row],[Type]]))</f>
        <v/>
      </c>
      <c r="M462" s="6" t="str">
        <f ca="1">IFERROR(VLOOKUP(IDNMaps[[#This Row],[Type]],RecordCount[],6,0)&amp;"-"&amp;IDNMaps[[#This Row],[Type Count]],"")</f>
        <v/>
      </c>
      <c r="N462" s="6" t="str">
        <f ca="1">IFERROR(VLOOKUP(IDNMaps[[#This Row],[Primary]],INDIRECT(VLOOKUP(IDNMaps[[#This Row],[Type]],RecordCount[],2,0)),VLOOKUP(IDNMaps[[#This Row],[Type]],RecordCount[],7,0),0),"")</f>
        <v/>
      </c>
      <c r="O462" s="6" t="str">
        <f ca="1">IF(IDNMaps[[#This Row],[Name]]="","","("&amp;IDNMaps[[#This Row],[Type]]&amp;") "&amp;IDNMaps[[#This Row],[Name]])</f>
        <v/>
      </c>
      <c r="P462" s="6" t="str">
        <f ca="1">IFERROR(VLOOKUP(IDNMaps[[#This Row],[Primary]],INDIRECT(VLOOKUP(IDNMaps[[#This Row],[Type]],RecordCount[],2,0)),VLOOKUP(IDNMaps[[#This Row],[Type]],RecordCount[],8,0),0),"")</f>
        <v/>
      </c>
    </row>
    <row r="463" spans="10:16" x14ac:dyDescent="0.25">
      <c r="J463" s="11">
        <f t="shared" si="7"/>
        <v>462</v>
      </c>
      <c r="K46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3" s="6" t="str">
        <f ca="1">IF(IDNMaps[[#This Row],[Type]]="","",COUNTIF($K$1:IDNMaps[[#This Row],[Type]],IDNMaps[[#This Row],[Type]]))</f>
        <v/>
      </c>
      <c r="M463" s="6" t="str">
        <f ca="1">IFERROR(VLOOKUP(IDNMaps[[#This Row],[Type]],RecordCount[],6,0)&amp;"-"&amp;IDNMaps[[#This Row],[Type Count]],"")</f>
        <v/>
      </c>
      <c r="N463" s="6" t="str">
        <f ca="1">IFERROR(VLOOKUP(IDNMaps[[#This Row],[Primary]],INDIRECT(VLOOKUP(IDNMaps[[#This Row],[Type]],RecordCount[],2,0)),VLOOKUP(IDNMaps[[#This Row],[Type]],RecordCount[],7,0),0),"")</f>
        <v/>
      </c>
      <c r="O463" s="6" t="str">
        <f ca="1">IF(IDNMaps[[#This Row],[Name]]="","","("&amp;IDNMaps[[#This Row],[Type]]&amp;") "&amp;IDNMaps[[#This Row],[Name]])</f>
        <v/>
      </c>
      <c r="P463" s="6" t="str">
        <f ca="1">IFERROR(VLOOKUP(IDNMaps[[#This Row],[Primary]],INDIRECT(VLOOKUP(IDNMaps[[#This Row],[Type]],RecordCount[],2,0)),VLOOKUP(IDNMaps[[#This Row],[Type]],RecordCount[],8,0),0),"")</f>
        <v/>
      </c>
    </row>
    <row r="464" spans="10:16" x14ac:dyDescent="0.25">
      <c r="J464" s="11">
        <f t="shared" si="7"/>
        <v>463</v>
      </c>
      <c r="K46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4" s="6" t="str">
        <f ca="1">IF(IDNMaps[[#This Row],[Type]]="","",COUNTIF($K$1:IDNMaps[[#This Row],[Type]],IDNMaps[[#This Row],[Type]]))</f>
        <v/>
      </c>
      <c r="M464" s="6" t="str">
        <f ca="1">IFERROR(VLOOKUP(IDNMaps[[#This Row],[Type]],RecordCount[],6,0)&amp;"-"&amp;IDNMaps[[#This Row],[Type Count]],"")</f>
        <v/>
      </c>
      <c r="N464" s="6" t="str">
        <f ca="1">IFERROR(VLOOKUP(IDNMaps[[#This Row],[Primary]],INDIRECT(VLOOKUP(IDNMaps[[#This Row],[Type]],RecordCount[],2,0)),VLOOKUP(IDNMaps[[#This Row],[Type]],RecordCount[],7,0),0),"")</f>
        <v/>
      </c>
      <c r="O464" s="6" t="str">
        <f ca="1">IF(IDNMaps[[#This Row],[Name]]="","","("&amp;IDNMaps[[#This Row],[Type]]&amp;") "&amp;IDNMaps[[#This Row],[Name]])</f>
        <v/>
      </c>
      <c r="P464" s="6" t="str">
        <f ca="1">IFERROR(VLOOKUP(IDNMaps[[#This Row],[Primary]],INDIRECT(VLOOKUP(IDNMaps[[#This Row],[Type]],RecordCount[],2,0)),VLOOKUP(IDNMaps[[#This Row],[Type]],RecordCount[],8,0),0),"")</f>
        <v/>
      </c>
    </row>
    <row r="465" spans="10:16" x14ac:dyDescent="0.25">
      <c r="J465" s="11">
        <f t="shared" si="7"/>
        <v>464</v>
      </c>
      <c r="K46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5" s="6" t="str">
        <f ca="1">IF(IDNMaps[[#This Row],[Type]]="","",COUNTIF($K$1:IDNMaps[[#This Row],[Type]],IDNMaps[[#This Row],[Type]]))</f>
        <v/>
      </c>
      <c r="M465" s="6" t="str">
        <f ca="1">IFERROR(VLOOKUP(IDNMaps[[#This Row],[Type]],RecordCount[],6,0)&amp;"-"&amp;IDNMaps[[#This Row],[Type Count]],"")</f>
        <v/>
      </c>
      <c r="N465" s="6" t="str">
        <f ca="1">IFERROR(VLOOKUP(IDNMaps[[#This Row],[Primary]],INDIRECT(VLOOKUP(IDNMaps[[#This Row],[Type]],RecordCount[],2,0)),VLOOKUP(IDNMaps[[#This Row],[Type]],RecordCount[],7,0),0),"")</f>
        <v/>
      </c>
      <c r="O465" s="6" t="str">
        <f ca="1">IF(IDNMaps[[#This Row],[Name]]="","","("&amp;IDNMaps[[#This Row],[Type]]&amp;") "&amp;IDNMaps[[#This Row],[Name]])</f>
        <v/>
      </c>
      <c r="P465" s="6" t="str">
        <f ca="1">IFERROR(VLOOKUP(IDNMaps[[#This Row],[Primary]],INDIRECT(VLOOKUP(IDNMaps[[#This Row],[Type]],RecordCount[],2,0)),VLOOKUP(IDNMaps[[#This Row],[Type]],RecordCount[],8,0),0),"")</f>
        <v/>
      </c>
    </row>
    <row r="466" spans="10:16" x14ac:dyDescent="0.25">
      <c r="J466" s="11">
        <f t="shared" si="7"/>
        <v>465</v>
      </c>
      <c r="K46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6" s="6" t="str">
        <f ca="1">IF(IDNMaps[[#This Row],[Type]]="","",COUNTIF($K$1:IDNMaps[[#This Row],[Type]],IDNMaps[[#This Row],[Type]]))</f>
        <v/>
      </c>
      <c r="M466" s="6" t="str">
        <f ca="1">IFERROR(VLOOKUP(IDNMaps[[#This Row],[Type]],RecordCount[],6,0)&amp;"-"&amp;IDNMaps[[#This Row],[Type Count]],"")</f>
        <v/>
      </c>
      <c r="N466" s="6" t="str">
        <f ca="1">IFERROR(VLOOKUP(IDNMaps[[#This Row],[Primary]],INDIRECT(VLOOKUP(IDNMaps[[#This Row],[Type]],RecordCount[],2,0)),VLOOKUP(IDNMaps[[#This Row],[Type]],RecordCount[],7,0),0),"")</f>
        <v/>
      </c>
      <c r="O466" s="6" t="str">
        <f ca="1">IF(IDNMaps[[#This Row],[Name]]="","","("&amp;IDNMaps[[#This Row],[Type]]&amp;") "&amp;IDNMaps[[#This Row],[Name]])</f>
        <v/>
      </c>
      <c r="P466" s="6" t="str">
        <f ca="1">IFERROR(VLOOKUP(IDNMaps[[#This Row],[Primary]],INDIRECT(VLOOKUP(IDNMaps[[#This Row],[Type]],RecordCount[],2,0)),VLOOKUP(IDNMaps[[#This Row],[Type]],RecordCount[],8,0),0),"")</f>
        <v/>
      </c>
    </row>
    <row r="467" spans="10:16" x14ac:dyDescent="0.25">
      <c r="J467" s="11">
        <f t="shared" si="7"/>
        <v>466</v>
      </c>
      <c r="K46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7" s="6" t="str">
        <f ca="1">IF(IDNMaps[[#This Row],[Type]]="","",COUNTIF($K$1:IDNMaps[[#This Row],[Type]],IDNMaps[[#This Row],[Type]]))</f>
        <v/>
      </c>
      <c r="M467" s="6" t="str">
        <f ca="1">IFERROR(VLOOKUP(IDNMaps[[#This Row],[Type]],RecordCount[],6,0)&amp;"-"&amp;IDNMaps[[#This Row],[Type Count]],"")</f>
        <v/>
      </c>
      <c r="N467" s="6" t="str">
        <f ca="1">IFERROR(VLOOKUP(IDNMaps[[#This Row],[Primary]],INDIRECT(VLOOKUP(IDNMaps[[#This Row],[Type]],RecordCount[],2,0)),VLOOKUP(IDNMaps[[#This Row],[Type]],RecordCount[],7,0),0),"")</f>
        <v/>
      </c>
      <c r="O467" s="6" t="str">
        <f ca="1">IF(IDNMaps[[#This Row],[Name]]="","","("&amp;IDNMaps[[#This Row],[Type]]&amp;") "&amp;IDNMaps[[#This Row],[Name]])</f>
        <v/>
      </c>
      <c r="P467" s="6" t="str">
        <f ca="1">IFERROR(VLOOKUP(IDNMaps[[#This Row],[Primary]],INDIRECT(VLOOKUP(IDNMaps[[#This Row],[Type]],RecordCount[],2,0)),VLOOKUP(IDNMaps[[#This Row],[Type]],RecordCount[],8,0),0),"")</f>
        <v/>
      </c>
    </row>
    <row r="468" spans="10:16" x14ac:dyDescent="0.25">
      <c r="J468" s="11">
        <f t="shared" si="7"/>
        <v>467</v>
      </c>
      <c r="K46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8" s="6" t="str">
        <f ca="1">IF(IDNMaps[[#This Row],[Type]]="","",COUNTIF($K$1:IDNMaps[[#This Row],[Type]],IDNMaps[[#This Row],[Type]]))</f>
        <v/>
      </c>
      <c r="M468" s="6" t="str">
        <f ca="1">IFERROR(VLOOKUP(IDNMaps[[#This Row],[Type]],RecordCount[],6,0)&amp;"-"&amp;IDNMaps[[#This Row],[Type Count]],"")</f>
        <v/>
      </c>
      <c r="N468" s="6" t="str">
        <f ca="1">IFERROR(VLOOKUP(IDNMaps[[#This Row],[Primary]],INDIRECT(VLOOKUP(IDNMaps[[#This Row],[Type]],RecordCount[],2,0)),VLOOKUP(IDNMaps[[#This Row],[Type]],RecordCount[],7,0),0),"")</f>
        <v/>
      </c>
      <c r="O468" s="6" t="str">
        <f ca="1">IF(IDNMaps[[#This Row],[Name]]="","","("&amp;IDNMaps[[#This Row],[Type]]&amp;") "&amp;IDNMaps[[#This Row],[Name]])</f>
        <v/>
      </c>
      <c r="P468" s="6" t="str">
        <f ca="1">IFERROR(VLOOKUP(IDNMaps[[#This Row],[Primary]],INDIRECT(VLOOKUP(IDNMaps[[#This Row],[Type]],RecordCount[],2,0)),VLOOKUP(IDNMaps[[#This Row],[Type]],RecordCount[],8,0),0),"")</f>
        <v/>
      </c>
    </row>
    <row r="469" spans="10:16" x14ac:dyDescent="0.25">
      <c r="J469" s="11">
        <f t="shared" si="7"/>
        <v>468</v>
      </c>
      <c r="K46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9" s="6" t="str">
        <f ca="1">IF(IDNMaps[[#This Row],[Type]]="","",COUNTIF($K$1:IDNMaps[[#This Row],[Type]],IDNMaps[[#This Row],[Type]]))</f>
        <v/>
      </c>
      <c r="M469" s="6" t="str">
        <f ca="1">IFERROR(VLOOKUP(IDNMaps[[#This Row],[Type]],RecordCount[],6,0)&amp;"-"&amp;IDNMaps[[#This Row],[Type Count]],"")</f>
        <v/>
      </c>
      <c r="N469" s="6" t="str">
        <f ca="1">IFERROR(VLOOKUP(IDNMaps[[#This Row],[Primary]],INDIRECT(VLOOKUP(IDNMaps[[#This Row],[Type]],RecordCount[],2,0)),VLOOKUP(IDNMaps[[#This Row],[Type]],RecordCount[],7,0),0),"")</f>
        <v/>
      </c>
      <c r="O469" s="6" t="str">
        <f ca="1">IF(IDNMaps[[#This Row],[Name]]="","","("&amp;IDNMaps[[#This Row],[Type]]&amp;") "&amp;IDNMaps[[#This Row],[Name]])</f>
        <v/>
      </c>
      <c r="P469" s="6" t="str">
        <f ca="1">IFERROR(VLOOKUP(IDNMaps[[#This Row],[Primary]],INDIRECT(VLOOKUP(IDNMaps[[#This Row],[Type]],RecordCount[],2,0)),VLOOKUP(IDNMaps[[#This Row],[Type]],RecordCount[],8,0),0),"")</f>
        <v/>
      </c>
    </row>
    <row r="470" spans="10:16" x14ac:dyDescent="0.25">
      <c r="J470" s="11">
        <f t="shared" si="7"/>
        <v>469</v>
      </c>
      <c r="K47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0" s="6" t="str">
        <f ca="1">IF(IDNMaps[[#This Row],[Type]]="","",COUNTIF($K$1:IDNMaps[[#This Row],[Type]],IDNMaps[[#This Row],[Type]]))</f>
        <v/>
      </c>
      <c r="M470" s="6" t="str">
        <f ca="1">IFERROR(VLOOKUP(IDNMaps[[#This Row],[Type]],RecordCount[],6,0)&amp;"-"&amp;IDNMaps[[#This Row],[Type Count]],"")</f>
        <v/>
      </c>
      <c r="N470" s="6" t="str">
        <f ca="1">IFERROR(VLOOKUP(IDNMaps[[#This Row],[Primary]],INDIRECT(VLOOKUP(IDNMaps[[#This Row],[Type]],RecordCount[],2,0)),VLOOKUP(IDNMaps[[#This Row],[Type]],RecordCount[],7,0),0),"")</f>
        <v/>
      </c>
      <c r="O470" s="6" t="str">
        <f ca="1">IF(IDNMaps[[#This Row],[Name]]="","","("&amp;IDNMaps[[#This Row],[Type]]&amp;") "&amp;IDNMaps[[#This Row],[Name]])</f>
        <v/>
      </c>
      <c r="P470" s="6" t="str">
        <f ca="1">IFERROR(VLOOKUP(IDNMaps[[#This Row],[Primary]],INDIRECT(VLOOKUP(IDNMaps[[#This Row],[Type]],RecordCount[],2,0)),VLOOKUP(IDNMaps[[#This Row],[Type]],RecordCount[],8,0),0),"")</f>
        <v/>
      </c>
    </row>
    <row r="471" spans="10:16" x14ac:dyDescent="0.25">
      <c r="J471" s="11">
        <f t="shared" si="7"/>
        <v>470</v>
      </c>
      <c r="K47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1" s="6" t="str">
        <f ca="1">IF(IDNMaps[[#This Row],[Type]]="","",COUNTIF($K$1:IDNMaps[[#This Row],[Type]],IDNMaps[[#This Row],[Type]]))</f>
        <v/>
      </c>
      <c r="M471" s="6" t="str">
        <f ca="1">IFERROR(VLOOKUP(IDNMaps[[#This Row],[Type]],RecordCount[],6,0)&amp;"-"&amp;IDNMaps[[#This Row],[Type Count]],"")</f>
        <v/>
      </c>
      <c r="N471" s="6" t="str">
        <f ca="1">IFERROR(VLOOKUP(IDNMaps[[#This Row],[Primary]],INDIRECT(VLOOKUP(IDNMaps[[#This Row],[Type]],RecordCount[],2,0)),VLOOKUP(IDNMaps[[#This Row],[Type]],RecordCount[],7,0),0),"")</f>
        <v/>
      </c>
      <c r="O471" s="6" t="str">
        <f ca="1">IF(IDNMaps[[#This Row],[Name]]="","","("&amp;IDNMaps[[#This Row],[Type]]&amp;") "&amp;IDNMaps[[#This Row],[Name]])</f>
        <v/>
      </c>
      <c r="P471" s="6" t="str">
        <f ca="1">IFERROR(VLOOKUP(IDNMaps[[#This Row],[Primary]],INDIRECT(VLOOKUP(IDNMaps[[#This Row],[Type]],RecordCount[],2,0)),VLOOKUP(IDNMaps[[#This Row],[Type]],RecordCount[],8,0),0),"")</f>
        <v/>
      </c>
    </row>
    <row r="472" spans="10:16" x14ac:dyDescent="0.25">
      <c r="J472" s="11">
        <f t="shared" si="7"/>
        <v>471</v>
      </c>
      <c r="K47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2" s="6" t="str">
        <f ca="1">IF(IDNMaps[[#This Row],[Type]]="","",COUNTIF($K$1:IDNMaps[[#This Row],[Type]],IDNMaps[[#This Row],[Type]]))</f>
        <v/>
      </c>
      <c r="M472" s="6" t="str">
        <f ca="1">IFERROR(VLOOKUP(IDNMaps[[#This Row],[Type]],RecordCount[],6,0)&amp;"-"&amp;IDNMaps[[#This Row],[Type Count]],"")</f>
        <v/>
      </c>
      <c r="N472" s="6" t="str">
        <f ca="1">IFERROR(VLOOKUP(IDNMaps[[#This Row],[Primary]],INDIRECT(VLOOKUP(IDNMaps[[#This Row],[Type]],RecordCount[],2,0)),VLOOKUP(IDNMaps[[#This Row],[Type]],RecordCount[],7,0),0),"")</f>
        <v/>
      </c>
      <c r="O472" s="6" t="str">
        <f ca="1">IF(IDNMaps[[#This Row],[Name]]="","","("&amp;IDNMaps[[#This Row],[Type]]&amp;") "&amp;IDNMaps[[#This Row],[Name]])</f>
        <v/>
      </c>
      <c r="P472" s="6" t="str">
        <f ca="1">IFERROR(VLOOKUP(IDNMaps[[#This Row],[Primary]],INDIRECT(VLOOKUP(IDNMaps[[#This Row],[Type]],RecordCount[],2,0)),VLOOKUP(IDNMaps[[#This Row],[Type]],RecordCount[],8,0),0),"")</f>
        <v/>
      </c>
    </row>
    <row r="473" spans="10:16" x14ac:dyDescent="0.25">
      <c r="J473" s="11">
        <f t="shared" si="7"/>
        <v>472</v>
      </c>
      <c r="K47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3" s="6" t="str">
        <f ca="1">IF(IDNMaps[[#This Row],[Type]]="","",COUNTIF($K$1:IDNMaps[[#This Row],[Type]],IDNMaps[[#This Row],[Type]]))</f>
        <v/>
      </c>
      <c r="M473" s="6" t="str">
        <f ca="1">IFERROR(VLOOKUP(IDNMaps[[#This Row],[Type]],RecordCount[],6,0)&amp;"-"&amp;IDNMaps[[#This Row],[Type Count]],"")</f>
        <v/>
      </c>
      <c r="N473" s="6" t="str">
        <f ca="1">IFERROR(VLOOKUP(IDNMaps[[#This Row],[Primary]],INDIRECT(VLOOKUP(IDNMaps[[#This Row],[Type]],RecordCount[],2,0)),VLOOKUP(IDNMaps[[#This Row],[Type]],RecordCount[],7,0),0),"")</f>
        <v/>
      </c>
      <c r="O473" s="6" t="str">
        <f ca="1">IF(IDNMaps[[#This Row],[Name]]="","","("&amp;IDNMaps[[#This Row],[Type]]&amp;") "&amp;IDNMaps[[#This Row],[Name]])</f>
        <v/>
      </c>
      <c r="P473" s="6" t="str">
        <f ca="1">IFERROR(VLOOKUP(IDNMaps[[#This Row],[Primary]],INDIRECT(VLOOKUP(IDNMaps[[#This Row],[Type]],RecordCount[],2,0)),VLOOKUP(IDNMaps[[#This Row],[Type]],RecordCount[],8,0),0),"")</f>
        <v/>
      </c>
    </row>
    <row r="474" spans="10:16" x14ac:dyDescent="0.25">
      <c r="J474" s="11">
        <f t="shared" si="7"/>
        <v>473</v>
      </c>
      <c r="K47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4" s="6" t="str">
        <f ca="1">IF(IDNMaps[[#This Row],[Type]]="","",COUNTIF($K$1:IDNMaps[[#This Row],[Type]],IDNMaps[[#This Row],[Type]]))</f>
        <v/>
      </c>
      <c r="M474" s="6" t="str">
        <f ca="1">IFERROR(VLOOKUP(IDNMaps[[#This Row],[Type]],RecordCount[],6,0)&amp;"-"&amp;IDNMaps[[#This Row],[Type Count]],"")</f>
        <v/>
      </c>
      <c r="N474" s="6" t="str">
        <f ca="1">IFERROR(VLOOKUP(IDNMaps[[#This Row],[Primary]],INDIRECT(VLOOKUP(IDNMaps[[#This Row],[Type]],RecordCount[],2,0)),VLOOKUP(IDNMaps[[#This Row],[Type]],RecordCount[],7,0),0),"")</f>
        <v/>
      </c>
      <c r="O474" s="6" t="str">
        <f ca="1">IF(IDNMaps[[#This Row],[Name]]="","","("&amp;IDNMaps[[#This Row],[Type]]&amp;") "&amp;IDNMaps[[#This Row],[Name]])</f>
        <v/>
      </c>
      <c r="P474" s="6" t="str">
        <f ca="1">IFERROR(VLOOKUP(IDNMaps[[#This Row],[Primary]],INDIRECT(VLOOKUP(IDNMaps[[#This Row],[Type]],RecordCount[],2,0)),VLOOKUP(IDNMaps[[#This Row],[Type]],RecordCount[],8,0),0),"")</f>
        <v/>
      </c>
    </row>
    <row r="475" spans="10:16" x14ac:dyDescent="0.25">
      <c r="J475" s="11">
        <f t="shared" si="7"/>
        <v>474</v>
      </c>
      <c r="K47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5" s="6" t="str">
        <f ca="1">IF(IDNMaps[[#This Row],[Type]]="","",COUNTIF($K$1:IDNMaps[[#This Row],[Type]],IDNMaps[[#This Row],[Type]]))</f>
        <v/>
      </c>
      <c r="M475" s="6" t="str">
        <f ca="1">IFERROR(VLOOKUP(IDNMaps[[#This Row],[Type]],RecordCount[],6,0)&amp;"-"&amp;IDNMaps[[#This Row],[Type Count]],"")</f>
        <v/>
      </c>
      <c r="N475" s="6" t="str">
        <f ca="1">IFERROR(VLOOKUP(IDNMaps[[#This Row],[Primary]],INDIRECT(VLOOKUP(IDNMaps[[#This Row],[Type]],RecordCount[],2,0)),VLOOKUP(IDNMaps[[#This Row],[Type]],RecordCount[],7,0),0),"")</f>
        <v/>
      </c>
      <c r="O475" s="6" t="str">
        <f ca="1">IF(IDNMaps[[#This Row],[Name]]="","","("&amp;IDNMaps[[#This Row],[Type]]&amp;") "&amp;IDNMaps[[#This Row],[Name]])</f>
        <v/>
      </c>
      <c r="P475" s="6" t="str">
        <f ca="1">IFERROR(VLOOKUP(IDNMaps[[#This Row],[Primary]],INDIRECT(VLOOKUP(IDNMaps[[#This Row],[Type]],RecordCount[],2,0)),VLOOKUP(IDNMaps[[#This Row],[Type]],RecordCount[],8,0),0),"")</f>
        <v/>
      </c>
    </row>
    <row r="476" spans="10:16" x14ac:dyDescent="0.25">
      <c r="J476" s="11">
        <f t="shared" si="7"/>
        <v>475</v>
      </c>
      <c r="K47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6" s="6" t="str">
        <f ca="1">IF(IDNMaps[[#This Row],[Type]]="","",COUNTIF($K$1:IDNMaps[[#This Row],[Type]],IDNMaps[[#This Row],[Type]]))</f>
        <v/>
      </c>
      <c r="M476" s="6" t="str">
        <f ca="1">IFERROR(VLOOKUP(IDNMaps[[#This Row],[Type]],RecordCount[],6,0)&amp;"-"&amp;IDNMaps[[#This Row],[Type Count]],"")</f>
        <v/>
      </c>
      <c r="N476" s="6" t="str">
        <f ca="1">IFERROR(VLOOKUP(IDNMaps[[#This Row],[Primary]],INDIRECT(VLOOKUP(IDNMaps[[#This Row],[Type]],RecordCount[],2,0)),VLOOKUP(IDNMaps[[#This Row],[Type]],RecordCount[],7,0),0),"")</f>
        <v/>
      </c>
      <c r="O476" s="6" t="str">
        <f ca="1">IF(IDNMaps[[#This Row],[Name]]="","","("&amp;IDNMaps[[#This Row],[Type]]&amp;") "&amp;IDNMaps[[#This Row],[Name]])</f>
        <v/>
      </c>
      <c r="P476" s="6" t="str">
        <f ca="1">IFERROR(VLOOKUP(IDNMaps[[#This Row],[Primary]],INDIRECT(VLOOKUP(IDNMaps[[#This Row],[Type]],RecordCount[],2,0)),VLOOKUP(IDNMaps[[#This Row],[Type]],RecordCount[],8,0),0),"")</f>
        <v/>
      </c>
    </row>
    <row r="477" spans="10:16" x14ac:dyDescent="0.25">
      <c r="J477" s="11">
        <f t="shared" si="7"/>
        <v>476</v>
      </c>
      <c r="K47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7" s="6" t="str">
        <f ca="1">IF(IDNMaps[[#This Row],[Type]]="","",COUNTIF($K$1:IDNMaps[[#This Row],[Type]],IDNMaps[[#This Row],[Type]]))</f>
        <v/>
      </c>
      <c r="M477" s="6" t="str">
        <f ca="1">IFERROR(VLOOKUP(IDNMaps[[#This Row],[Type]],RecordCount[],6,0)&amp;"-"&amp;IDNMaps[[#This Row],[Type Count]],"")</f>
        <v/>
      </c>
      <c r="N477" s="6" t="str">
        <f ca="1">IFERROR(VLOOKUP(IDNMaps[[#This Row],[Primary]],INDIRECT(VLOOKUP(IDNMaps[[#This Row],[Type]],RecordCount[],2,0)),VLOOKUP(IDNMaps[[#This Row],[Type]],RecordCount[],7,0),0),"")</f>
        <v/>
      </c>
      <c r="O477" s="6" t="str">
        <f ca="1">IF(IDNMaps[[#This Row],[Name]]="","","("&amp;IDNMaps[[#This Row],[Type]]&amp;") "&amp;IDNMaps[[#This Row],[Name]])</f>
        <v/>
      </c>
      <c r="P477" s="6" t="str">
        <f ca="1">IFERROR(VLOOKUP(IDNMaps[[#This Row],[Primary]],INDIRECT(VLOOKUP(IDNMaps[[#This Row],[Type]],RecordCount[],2,0)),VLOOKUP(IDNMaps[[#This Row],[Type]],RecordCount[],8,0),0),"")</f>
        <v/>
      </c>
    </row>
    <row r="478" spans="10:16" x14ac:dyDescent="0.25">
      <c r="J478" s="11">
        <f t="shared" si="7"/>
        <v>477</v>
      </c>
      <c r="K47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8" s="6" t="str">
        <f ca="1">IF(IDNMaps[[#This Row],[Type]]="","",COUNTIF($K$1:IDNMaps[[#This Row],[Type]],IDNMaps[[#This Row],[Type]]))</f>
        <v/>
      </c>
      <c r="M478" s="6" t="str">
        <f ca="1">IFERROR(VLOOKUP(IDNMaps[[#This Row],[Type]],RecordCount[],6,0)&amp;"-"&amp;IDNMaps[[#This Row],[Type Count]],"")</f>
        <v/>
      </c>
      <c r="N478" s="6" t="str">
        <f ca="1">IFERROR(VLOOKUP(IDNMaps[[#This Row],[Primary]],INDIRECT(VLOOKUP(IDNMaps[[#This Row],[Type]],RecordCount[],2,0)),VLOOKUP(IDNMaps[[#This Row],[Type]],RecordCount[],7,0),0),"")</f>
        <v/>
      </c>
      <c r="O478" s="6" t="str">
        <f ca="1">IF(IDNMaps[[#This Row],[Name]]="","","("&amp;IDNMaps[[#This Row],[Type]]&amp;") "&amp;IDNMaps[[#This Row],[Name]])</f>
        <v/>
      </c>
      <c r="P478" s="6" t="str">
        <f ca="1">IFERROR(VLOOKUP(IDNMaps[[#This Row],[Primary]],INDIRECT(VLOOKUP(IDNMaps[[#This Row],[Type]],RecordCount[],2,0)),VLOOKUP(IDNMaps[[#This Row],[Type]],RecordCount[],8,0),0),"")</f>
        <v/>
      </c>
    </row>
    <row r="479" spans="10:16" x14ac:dyDescent="0.25">
      <c r="J479" s="11">
        <f t="shared" si="7"/>
        <v>478</v>
      </c>
      <c r="K47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9" s="6" t="str">
        <f ca="1">IF(IDNMaps[[#This Row],[Type]]="","",COUNTIF($K$1:IDNMaps[[#This Row],[Type]],IDNMaps[[#This Row],[Type]]))</f>
        <v/>
      </c>
      <c r="M479" s="6" t="str">
        <f ca="1">IFERROR(VLOOKUP(IDNMaps[[#This Row],[Type]],RecordCount[],6,0)&amp;"-"&amp;IDNMaps[[#This Row],[Type Count]],"")</f>
        <v/>
      </c>
      <c r="N479" s="6" t="str">
        <f ca="1">IFERROR(VLOOKUP(IDNMaps[[#This Row],[Primary]],INDIRECT(VLOOKUP(IDNMaps[[#This Row],[Type]],RecordCount[],2,0)),VLOOKUP(IDNMaps[[#This Row],[Type]],RecordCount[],7,0),0),"")</f>
        <v/>
      </c>
      <c r="O479" s="6" t="str">
        <f ca="1">IF(IDNMaps[[#This Row],[Name]]="","","("&amp;IDNMaps[[#This Row],[Type]]&amp;") "&amp;IDNMaps[[#This Row],[Name]])</f>
        <v/>
      </c>
      <c r="P479" s="6" t="str">
        <f ca="1">IFERROR(VLOOKUP(IDNMaps[[#This Row],[Primary]],INDIRECT(VLOOKUP(IDNMaps[[#This Row],[Type]],RecordCount[],2,0)),VLOOKUP(IDNMaps[[#This Row],[Type]],RecordCount[],8,0),0),"")</f>
        <v/>
      </c>
    </row>
    <row r="480" spans="10:16" x14ac:dyDescent="0.25">
      <c r="J480" s="11">
        <f t="shared" si="7"/>
        <v>479</v>
      </c>
      <c r="K48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0" s="6" t="str">
        <f ca="1">IF(IDNMaps[[#This Row],[Type]]="","",COUNTIF($K$1:IDNMaps[[#This Row],[Type]],IDNMaps[[#This Row],[Type]]))</f>
        <v/>
      </c>
      <c r="M480" s="6" t="str">
        <f ca="1">IFERROR(VLOOKUP(IDNMaps[[#This Row],[Type]],RecordCount[],6,0)&amp;"-"&amp;IDNMaps[[#This Row],[Type Count]],"")</f>
        <v/>
      </c>
      <c r="N480" s="6" t="str">
        <f ca="1">IFERROR(VLOOKUP(IDNMaps[[#This Row],[Primary]],INDIRECT(VLOOKUP(IDNMaps[[#This Row],[Type]],RecordCount[],2,0)),VLOOKUP(IDNMaps[[#This Row],[Type]],RecordCount[],7,0),0),"")</f>
        <v/>
      </c>
      <c r="O480" s="6" t="str">
        <f ca="1">IF(IDNMaps[[#This Row],[Name]]="","","("&amp;IDNMaps[[#This Row],[Type]]&amp;") "&amp;IDNMaps[[#This Row],[Name]])</f>
        <v/>
      </c>
      <c r="P480" s="6" t="str">
        <f ca="1">IFERROR(VLOOKUP(IDNMaps[[#This Row],[Primary]],INDIRECT(VLOOKUP(IDNMaps[[#This Row],[Type]],RecordCount[],2,0)),VLOOKUP(IDNMaps[[#This Row],[Type]],RecordCount[],8,0),0),"")</f>
        <v/>
      </c>
    </row>
    <row r="481" spans="10:16" x14ac:dyDescent="0.25">
      <c r="J481" s="11">
        <f t="shared" si="7"/>
        <v>480</v>
      </c>
      <c r="K48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1" s="6" t="str">
        <f ca="1">IF(IDNMaps[[#This Row],[Type]]="","",COUNTIF($K$1:IDNMaps[[#This Row],[Type]],IDNMaps[[#This Row],[Type]]))</f>
        <v/>
      </c>
      <c r="M481" s="6" t="str">
        <f ca="1">IFERROR(VLOOKUP(IDNMaps[[#This Row],[Type]],RecordCount[],6,0)&amp;"-"&amp;IDNMaps[[#This Row],[Type Count]],"")</f>
        <v/>
      </c>
      <c r="N481" s="6" t="str">
        <f ca="1">IFERROR(VLOOKUP(IDNMaps[[#This Row],[Primary]],INDIRECT(VLOOKUP(IDNMaps[[#This Row],[Type]],RecordCount[],2,0)),VLOOKUP(IDNMaps[[#This Row],[Type]],RecordCount[],7,0),0),"")</f>
        <v/>
      </c>
      <c r="O481" s="6" t="str">
        <f ca="1">IF(IDNMaps[[#This Row],[Name]]="","","("&amp;IDNMaps[[#This Row],[Type]]&amp;") "&amp;IDNMaps[[#This Row],[Name]])</f>
        <v/>
      </c>
      <c r="P481" s="6" t="str">
        <f ca="1">IFERROR(VLOOKUP(IDNMaps[[#This Row],[Primary]],INDIRECT(VLOOKUP(IDNMaps[[#This Row],[Type]],RecordCount[],2,0)),VLOOKUP(IDNMaps[[#This Row],[Type]],RecordCount[],8,0),0),"")</f>
        <v/>
      </c>
    </row>
    <row r="482" spans="10:16" x14ac:dyDescent="0.25">
      <c r="J482" s="11">
        <f t="shared" si="7"/>
        <v>481</v>
      </c>
      <c r="K48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2" s="6" t="str">
        <f ca="1">IF(IDNMaps[[#This Row],[Type]]="","",COUNTIF($K$1:IDNMaps[[#This Row],[Type]],IDNMaps[[#This Row],[Type]]))</f>
        <v/>
      </c>
      <c r="M482" s="6" t="str">
        <f ca="1">IFERROR(VLOOKUP(IDNMaps[[#This Row],[Type]],RecordCount[],6,0)&amp;"-"&amp;IDNMaps[[#This Row],[Type Count]],"")</f>
        <v/>
      </c>
      <c r="N482" s="6" t="str">
        <f ca="1">IFERROR(VLOOKUP(IDNMaps[[#This Row],[Primary]],INDIRECT(VLOOKUP(IDNMaps[[#This Row],[Type]],RecordCount[],2,0)),VLOOKUP(IDNMaps[[#This Row],[Type]],RecordCount[],7,0),0),"")</f>
        <v/>
      </c>
      <c r="O482" s="6" t="str">
        <f ca="1">IF(IDNMaps[[#This Row],[Name]]="","","("&amp;IDNMaps[[#This Row],[Type]]&amp;") "&amp;IDNMaps[[#This Row],[Name]])</f>
        <v/>
      </c>
      <c r="P482" s="6" t="str">
        <f ca="1">IFERROR(VLOOKUP(IDNMaps[[#This Row],[Primary]],INDIRECT(VLOOKUP(IDNMaps[[#This Row],[Type]],RecordCount[],2,0)),VLOOKUP(IDNMaps[[#This Row],[Type]],RecordCount[],8,0),0),"")</f>
        <v/>
      </c>
    </row>
    <row r="483" spans="10:16" x14ac:dyDescent="0.25">
      <c r="J483" s="11">
        <f t="shared" si="7"/>
        <v>482</v>
      </c>
      <c r="K48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3" s="6" t="str">
        <f ca="1">IF(IDNMaps[[#This Row],[Type]]="","",COUNTIF($K$1:IDNMaps[[#This Row],[Type]],IDNMaps[[#This Row],[Type]]))</f>
        <v/>
      </c>
      <c r="M483" s="6" t="str">
        <f ca="1">IFERROR(VLOOKUP(IDNMaps[[#This Row],[Type]],RecordCount[],6,0)&amp;"-"&amp;IDNMaps[[#This Row],[Type Count]],"")</f>
        <v/>
      </c>
      <c r="N483" s="6" t="str">
        <f ca="1">IFERROR(VLOOKUP(IDNMaps[[#This Row],[Primary]],INDIRECT(VLOOKUP(IDNMaps[[#This Row],[Type]],RecordCount[],2,0)),VLOOKUP(IDNMaps[[#This Row],[Type]],RecordCount[],7,0),0),"")</f>
        <v/>
      </c>
      <c r="O483" s="6" t="str">
        <f ca="1">IF(IDNMaps[[#This Row],[Name]]="","","("&amp;IDNMaps[[#This Row],[Type]]&amp;") "&amp;IDNMaps[[#This Row],[Name]])</f>
        <v/>
      </c>
      <c r="P483" s="6" t="str">
        <f ca="1">IFERROR(VLOOKUP(IDNMaps[[#This Row],[Primary]],INDIRECT(VLOOKUP(IDNMaps[[#This Row],[Type]],RecordCount[],2,0)),VLOOKUP(IDNMaps[[#This Row],[Type]],RecordCount[],8,0),0),"")</f>
        <v/>
      </c>
    </row>
    <row r="484" spans="10:16" x14ac:dyDescent="0.25">
      <c r="J484" s="11">
        <f t="shared" si="7"/>
        <v>483</v>
      </c>
      <c r="K48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4" s="6" t="str">
        <f ca="1">IF(IDNMaps[[#This Row],[Type]]="","",COUNTIF($K$1:IDNMaps[[#This Row],[Type]],IDNMaps[[#This Row],[Type]]))</f>
        <v/>
      </c>
      <c r="M484" s="6" t="str">
        <f ca="1">IFERROR(VLOOKUP(IDNMaps[[#This Row],[Type]],RecordCount[],6,0)&amp;"-"&amp;IDNMaps[[#This Row],[Type Count]],"")</f>
        <v/>
      </c>
      <c r="N484" s="6" t="str">
        <f ca="1">IFERROR(VLOOKUP(IDNMaps[[#This Row],[Primary]],INDIRECT(VLOOKUP(IDNMaps[[#This Row],[Type]],RecordCount[],2,0)),VLOOKUP(IDNMaps[[#This Row],[Type]],RecordCount[],7,0),0),"")</f>
        <v/>
      </c>
      <c r="O484" s="6" t="str">
        <f ca="1">IF(IDNMaps[[#This Row],[Name]]="","","("&amp;IDNMaps[[#This Row],[Type]]&amp;") "&amp;IDNMaps[[#This Row],[Name]])</f>
        <v/>
      </c>
      <c r="P484" s="6" t="str">
        <f ca="1">IFERROR(VLOOKUP(IDNMaps[[#This Row],[Primary]],INDIRECT(VLOOKUP(IDNMaps[[#This Row],[Type]],RecordCount[],2,0)),VLOOKUP(IDNMaps[[#This Row],[Type]],RecordCount[],8,0),0),"")</f>
        <v/>
      </c>
    </row>
    <row r="485" spans="10:16" x14ac:dyDescent="0.25">
      <c r="J485" s="11">
        <f t="shared" si="7"/>
        <v>484</v>
      </c>
      <c r="K48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5" s="6" t="str">
        <f ca="1">IF(IDNMaps[[#This Row],[Type]]="","",COUNTIF($K$1:IDNMaps[[#This Row],[Type]],IDNMaps[[#This Row],[Type]]))</f>
        <v/>
      </c>
      <c r="M485" s="6" t="str">
        <f ca="1">IFERROR(VLOOKUP(IDNMaps[[#This Row],[Type]],RecordCount[],6,0)&amp;"-"&amp;IDNMaps[[#This Row],[Type Count]],"")</f>
        <v/>
      </c>
      <c r="N485" s="6" t="str">
        <f ca="1">IFERROR(VLOOKUP(IDNMaps[[#This Row],[Primary]],INDIRECT(VLOOKUP(IDNMaps[[#This Row],[Type]],RecordCount[],2,0)),VLOOKUP(IDNMaps[[#This Row],[Type]],RecordCount[],7,0),0),"")</f>
        <v/>
      </c>
      <c r="O485" s="6" t="str">
        <f ca="1">IF(IDNMaps[[#This Row],[Name]]="","","("&amp;IDNMaps[[#This Row],[Type]]&amp;") "&amp;IDNMaps[[#This Row],[Name]])</f>
        <v/>
      </c>
      <c r="P485" s="6" t="str">
        <f ca="1">IFERROR(VLOOKUP(IDNMaps[[#This Row],[Primary]],INDIRECT(VLOOKUP(IDNMaps[[#This Row],[Type]],RecordCount[],2,0)),VLOOKUP(IDNMaps[[#This Row],[Type]],RecordCount[],8,0),0),"")</f>
        <v/>
      </c>
    </row>
    <row r="486" spans="10:16" x14ac:dyDescent="0.25">
      <c r="J486" s="11">
        <f t="shared" si="7"/>
        <v>485</v>
      </c>
      <c r="K48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6" s="6" t="str">
        <f ca="1">IF(IDNMaps[[#This Row],[Type]]="","",COUNTIF($K$1:IDNMaps[[#This Row],[Type]],IDNMaps[[#This Row],[Type]]))</f>
        <v/>
      </c>
      <c r="M486" s="6" t="str">
        <f ca="1">IFERROR(VLOOKUP(IDNMaps[[#This Row],[Type]],RecordCount[],6,0)&amp;"-"&amp;IDNMaps[[#This Row],[Type Count]],"")</f>
        <v/>
      </c>
      <c r="N486" s="6" t="str">
        <f ca="1">IFERROR(VLOOKUP(IDNMaps[[#This Row],[Primary]],INDIRECT(VLOOKUP(IDNMaps[[#This Row],[Type]],RecordCount[],2,0)),VLOOKUP(IDNMaps[[#This Row],[Type]],RecordCount[],7,0),0),"")</f>
        <v/>
      </c>
      <c r="O486" s="6" t="str">
        <f ca="1">IF(IDNMaps[[#This Row],[Name]]="","","("&amp;IDNMaps[[#This Row],[Type]]&amp;") "&amp;IDNMaps[[#This Row],[Name]])</f>
        <v/>
      </c>
      <c r="P486" s="6" t="str">
        <f ca="1">IFERROR(VLOOKUP(IDNMaps[[#This Row],[Primary]],INDIRECT(VLOOKUP(IDNMaps[[#This Row],[Type]],RecordCount[],2,0)),VLOOKUP(IDNMaps[[#This Row],[Type]],RecordCount[],8,0),0),"")</f>
        <v/>
      </c>
    </row>
    <row r="487" spans="10:16" x14ac:dyDescent="0.25">
      <c r="J487" s="11">
        <f t="shared" si="7"/>
        <v>486</v>
      </c>
      <c r="K48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7" s="6" t="str">
        <f ca="1">IF(IDNMaps[[#This Row],[Type]]="","",COUNTIF($K$1:IDNMaps[[#This Row],[Type]],IDNMaps[[#This Row],[Type]]))</f>
        <v/>
      </c>
      <c r="M487" s="6" t="str">
        <f ca="1">IFERROR(VLOOKUP(IDNMaps[[#This Row],[Type]],RecordCount[],6,0)&amp;"-"&amp;IDNMaps[[#This Row],[Type Count]],"")</f>
        <v/>
      </c>
      <c r="N487" s="6" t="str">
        <f ca="1">IFERROR(VLOOKUP(IDNMaps[[#This Row],[Primary]],INDIRECT(VLOOKUP(IDNMaps[[#This Row],[Type]],RecordCount[],2,0)),VLOOKUP(IDNMaps[[#This Row],[Type]],RecordCount[],7,0),0),"")</f>
        <v/>
      </c>
      <c r="O487" s="6" t="str">
        <f ca="1">IF(IDNMaps[[#This Row],[Name]]="","","("&amp;IDNMaps[[#This Row],[Type]]&amp;") "&amp;IDNMaps[[#This Row],[Name]])</f>
        <v/>
      </c>
      <c r="P487" s="6" t="str">
        <f ca="1">IFERROR(VLOOKUP(IDNMaps[[#This Row],[Primary]],INDIRECT(VLOOKUP(IDNMaps[[#This Row],[Type]],RecordCount[],2,0)),VLOOKUP(IDNMaps[[#This Row],[Type]],RecordCount[],8,0),0),"")</f>
        <v/>
      </c>
    </row>
    <row r="488" spans="10:16" x14ac:dyDescent="0.25">
      <c r="J488" s="11">
        <f t="shared" si="7"/>
        <v>487</v>
      </c>
      <c r="K48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8" s="6" t="str">
        <f ca="1">IF(IDNMaps[[#This Row],[Type]]="","",COUNTIF($K$1:IDNMaps[[#This Row],[Type]],IDNMaps[[#This Row],[Type]]))</f>
        <v/>
      </c>
      <c r="M488" s="6" t="str">
        <f ca="1">IFERROR(VLOOKUP(IDNMaps[[#This Row],[Type]],RecordCount[],6,0)&amp;"-"&amp;IDNMaps[[#This Row],[Type Count]],"")</f>
        <v/>
      </c>
      <c r="N488" s="6" t="str">
        <f ca="1">IFERROR(VLOOKUP(IDNMaps[[#This Row],[Primary]],INDIRECT(VLOOKUP(IDNMaps[[#This Row],[Type]],RecordCount[],2,0)),VLOOKUP(IDNMaps[[#This Row],[Type]],RecordCount[],7,0),0),"")</f>
        <v/>
      </c>
      <c r="O488" s="6" t="str">
        <f ca="1">IF(IDNMaps[[#This Row],[Name]]="","","("&amp;IDNMaps[[#This Row],[Type]]&amp;") "&amp;IDNMaps[[#This Row],[Name]])</f>
        <v/>
      </c>
      <c r="P488" s="6" t="str">
        <f ca="1">IFERROR(VLOOKUP(IDNMaps[[#This Row],[Primary]],INDIRECT(VLOOKUP(IDNMaps[[#This Row],[Type]],RecordCount[],2,0)),VLOOKUP(IDNMaps[[#This Row],[Type]],RecordCount[],8,0),0),"")</f>
        <v/>
      </c>
    </row>
    <row r="489" spans="10:16" x14ac:dyDescent="0.25">
      <c r="J489" s="11">
        <f t="shared" si="7"/>
        <v>488</v>
      </c>
      <c r="K48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9" s="6" t="str">
        <f ca="1">IF(IDNMaps[[#This Row],[Type]]="","",COUNTIF($K$1:IDNMaps[[#This Row],[Type]],IDNMaps[[#This Row],[Type]]))</f>
        <v/>
      </c>
      <c r="M489" s="6" t="str">
        <f ca="1">IFERROR(VLOOKUP(IDNMaps[[#This Row],[Type]],RecordCount[],6,0)&amp;"-"&amp;IDNMaps[[#This Row],[Type Count]],"")</f>
        <v/>
      </c>
      <c r="N489" s="6" t="str">
        <f ca="1">IFERROR(VLOOKUP(IDNMaps[[#This Row],[Primary]],INDIRECT(VLOOKUP(IDNMaps[[#This Row],[Type]],RecordCount[],2,0)),VLOOKUP(IDNMaps[[#This Row],[Type]],RecordCount[],7,0),0),"")</f>
        <v/>
      </c>
      <c r="O489" s="6" t="str">
        <f ca="1">IF(IDNMaps[[#This Row],[Name]]="","","("&amp;IDNMaps[[#This Row],[Type]]&amp;") "&amp;IDNMaps[[#This Row],[Name]])</f>
        <v/>
      </c>
      <c r="P489" s="6" t="str">
        <f ca="1">IFERROR(VLOOKUP(IDNMaps[[#This Row],[Primary]],INDIRECT(VLOOKUP(IDNMaps[[#This Row],[Type]],RecordCount[],2,0)),VLOOKUP(IDNMaps[[#This Row],[Type]],RecordCount[],8,0),0),"")</f>
        <v/>
      </c>
    </row>
    <row r="490" spans="10:16" x14ac:dyDescent="0.25">
      <c r="J490" s="11">
        <f t="shared" si="7"/>
        <v>489</v>
      </c>
      <c r="K49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0" s="6" t="str">
        <f ca="1">IF(IDNMaps[[#This Row],[Type]]="","",COUNTIF($K$1:IDNMaps[[#This Row],[Type]],IDNMaps[[#This Row],[Type]]))</f>
        <v/>
      </c>
      <c r="M490" s="6" t="str">
        <f ca="1">IFERROR(VLOOKUP(IDNMaps[[#This Row],[Type]],RecordCount[],6,0)&amp;"-"&amp;IDNMaps[[#This Row],[Type Count]],"")</f>
        <v/>
      </c>
      <c r="N490" s="6" t="str">
        <f ca="1">IFERROR(VLOOKUP(IDNMaps[[#This Row],[Primary]],INDIRECT(VLOOKUP(IDNMaps[[#This Row],[Type]],RecordCount[],2,0)),VLOOKUP(IDNMaps[[#This Row],[Type]],RecordCount[],7,0),0),"")</f>
        <v/>
      </c>
      <c r="O490" s="6" t="str">
        <f ca="1">IF(IDNMaps[[#This Row],[Name]]="","","("&amp;IDNMaps[[#This Row],[Type]]&amp;") "&amp;IDNMaps[[#This Row],[Name]])</f>
        <v/>
      </c>
      <c r="P490" s="6" t="str">
        <f ca="1">IFERROR(VLOOKUP(IDNMaps[[#This Row],[Primary]],INDIRECT(VLOOKUP(IDNMaps[[#This Row],[Type]],RecordCount[],2,0)),VLOOKUP(IDNMaps[[#This Row],[Type]],RecordCount[],8,0),0),"")</f>
        <v/>
      </c>
    </row>
    <row r="491" spans="10:16" x14ac:dyDescent="0.25">
      <c r="J491" s="11">
        <f t="shared" si="7"/>
        <v>490</v>
      </c>
      <c r="K49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1" s="6" t="str">
        <f ca="1">IF(IDNMaps[[#This Row],[Type]]="","",COUNTIF($K$1:IDNMaps[[#This Row],[Type]],IDNMaps[[#This Row],[Type]]))</f>
        <v/>
      </c>
      <c r="M491" s="6" t="str">
        <f ca="1">IFERROR(VLOOKUP(IDNMaps[[#This Row],[Type]],RecordCount[],6,0)&amp;"-"&amp;IDNMaps[[#This Row],[Type Count]],"")</f>
        <v/>
      </c>
      <c r="N491" s="6" t="str">
        <f ca="1">IFERROR(VLOOKUP(IDNMaps[[#This Row],[Primary]],INDIRECT(VLOOKUP(IDNMaps[[#This Row],[Type]],RecordCount[],2,0)),VLOOKUP(IDNMaps[[#This Row],[Type]],RecordCount[],7,0),0),"")</f>
        <v/>
      </c>
      <c r="O491" s="6" t="str">
        <f ca="1">IF(IDNMaps[[#This Row],[Name]]="","","("&amp;IDNMaps[[#This Row],[Type]]&amp;") "&amp;IDNMaps[[#This Row],[Name]])</f>
        <v/>
      </c>
      <c r="P491" s="6" t="str">
        <f ca="1">IFERROR(VLOOKUP(IDNMaps[[#This Row],[Primary]],INDIRECT(VLOOKUP(IDNMaps[[#This Row],[Type]],RecordCount[],2,0)),VLOOKUP(IDNMaps[[#This Row],[Type]],RecordCount[],8,0),0),"")</f>
        <v/>
      </c>
    </row>
    <row r="492" spans="10:16" x14ac:dyDescent="0.25">
      <c r="J492" s="11">
        <f t="shared" si="7"/>
        <v>491</v>
      </c>
      <c r="K49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2" s="6" t="str">
        <f ca="1">IF(IDNMaps[[#This Row],[Type]]="","",COUNTIF($K$1:IDNMaps[[#This Row],[Type]],IDNMaps[[#This Row],[Type]]))</f>
        <v/>
      </c>
      <c r="M492" s="6" t="str">
        <f ca="1">IFERROR(VLOOKUP(IDNMaps[[#This Row],[Type]],RecordCount[],6,0)&amp;"-"&amp;IDNMaps[[#This Row],[Type Count]],"")</f>
        <v/>
      </c>
      <c r="N492" s="6" t="str">
        <f ca="1">IFERROR(VLOOKUP(IDNMaps[[#This Row],[Primary]],INDIRECT(VLOOKUP(IDNMaps[[#This Row],[Type]],RecordCount[],2,0)),VLOOKUP(IDNMaps[[#This Row],[Type]],RecordCount[],7,0),0),"")</f>
        <v/>
      </c>
      <c r="O492" s="6" t="str">
        <f ca="1">IF(IDNMaps[[#This Row],[Name]]="","","("&amp;IDNMaps[[#This Row],[Type]]&amp;") "&amp;IDNMaps[[#This Row],[Name]])</f>
        <v/>
      </c>
      <c r="P492" s="6" t="str">
        <f ca="1">IFERROR(VLOOKUP(IDNMaps[[#This Row],[Primary]],INDIRECT(VLOOKUP(IDNMaps[[#This Row],[Type]],RecordCount[],2,0)),VLOOKUP(IDNMaps[[#This Row],[Type]],RecordCount[],8,0),0),"")</f>
        <v/>
      </c>
    </row>
    <row r="493" spans="10:16" x14ac:dyDescent="0.25">
      <c r="J493" s="11">
        <f t="shared" si="7"/>
        <v>492</v>
      </c>
      <c r="K49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3" s="6" t="str">
        <f ca="1">IF(IDNMaps[[#This Row],[Type]]="","",COUNTIF($K$1:IDNMaps[[#This Row],[Type]],IDNMaps[[#This Row],[Type]]))</f>
        <v/>
      </c>
      <c r="M493" s="6" t="str">
        <f ca="1">IFERROR(VLOOKUP(IDNMaps[[#This Row],[Type]],RecordCount[],6,0)&amp;"-"&amp;IDNMaps[[#This Row],[Type Count]],"")</f>
        <v/>
      </c>
      <c r="N493" s="6" t="str">
        <f ca="1">IFERROR(VLOOKUP(IDNMaps[[#This Row],[Primary]],INDIRECT(VLOOKUP(IDNMaps[[#This Row],[Type]],RecordCount[],2,0)),VLOOKUP(IDNMaps[[#This Row],[Type]],RecordCount[],7,0),0),"")</f>
        <v/>
      </c>
      <c r="O493" s="6" t="str">
        <f ca="1">IF(IDNMaps[[#This Row],[Name]]="","","("&amp;IDNMaps[[#This Row],[Type]]&amp;") "&amp;IDNMaps[[#This Row],[Name]])</f>
        <v/>
      </c>
      <c r="P493" s="6" t="str">
        <f ca="1">IFERROR(VLOOKUP(IDNMaps[[#This Row],[Primary]],INDIRECT(VLOOKUP(IDNMaps[[#This Row],[Type]],RecordCount[],2,0)),VLOOKUP(IDNMaps[[#This Row],[Type]],RecordCount[],8,0),0),"")</f>
        <v/>
      </c>
    </row>
    <row r="494" spans="10:16" x14ac:dyDescent="0.25">
      <c r="J494" s="11">
        <f t="shared" si="7"/>
        <v>493</v>
      </c>
      <c r="K49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4" s="6" t="str">
        <f ca="1">IF(IDNMaps[[#This Row],[Type]]="","",COUNTIF($K$1:IDNMaps[[#This Row],[Type]],IDNMaps[[#This Row],[Type]]))</f>
        <v/>
      </c>
      <c r="M494" s="6" t="str">
        <f ca="1">IFERROR(VLOOKUP(IDNMaps[[#This Row],[Type]],RecordCount[],6,0)&amp;"-"&amp;IDNMaps[[#This Row],[Type Count]],"")</f>
        <v/>
      </c>
      <c r="N494" s="6" t="str">
        <f ca="1">IFERROR(VLOOKUP(IDNMaps[[#This Row],[Primary]],INDIRECT(VLOOKUP(IDNMaps[[#This Row],[Type]],RecordCount[],2,0)),VLOOKUP(IDNMaps[[#This Row],[Type]],RecordCount[],7,0),0),"")</f>
        <v/>
      </c>
      <c r="O494" s="6" t="str">
        <f ca="1">IF(IDNMaps[[#This Row],[Name]]="","","("&amp;IDNMaps[[#This Row],[Type]]&amp;") "&amp;IDNMaps[[#This Row],[Name]])</f>
        <v/>
      </c>
      <c r="P494" s="6" t="str">
        <f ca="1">IFERROR(VLOOKUP(IDNMaps[[#This Row],[Primary]],INDIRECT(VLOOKUP(IDNMaps[[#This Row],[Type]],RecordCount[],2,0)),VLOOKUP(IDNMaps[[#This Row],[Type]],RecordCount[],8,0),0),"")</f>
        <v/>
      </c>
    </row>
    <row r="495" spans="10:16" x14ac:dyDescent="0.25">
      <c r="J495" s="11">
        <f t="shared" si="7"/>
        <v>494</v>
      </c>
      <c r="K49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5" s="6" t="str">
        <f ca="1">IF(IDNMaps[[#This Row],[Type]]="","",COUNTIF($K$1:IDNMaps[[#This Row],[Type]],IDNMaps[[#This Row],[Type]]))</f>
        <v/>
      </c>
      <c r="M495" s="6" t="str">
        <f ca="1">IFERROR(VLOOKUP(IDNMaps[[#This Row],[Type]],RecordCount[],6,0)&amp;"-"&amp;IDNMaps[[#This Row],[Type Count]],"")</f>
        <v/>
      </c>
      <c r="N495" s="6" t="str">
        <f ca="1">IFERROR(VLOOKUP(IDNMaps[[#This Row],[Primary]],INDIRECT(VLOOKUP(IDNMaps[[#This Row],[Type]],RecordCount[],2,0)),VLOOKUP(IDNMaps[[#This Row],[Type]],RecordCount[],7,0),0),"")</f>
        <v/>
      </c>
      <c r="O495" s="6" t="str">
        <f ca="1">IF(IDNMaps[[#This Row],[Name]]="","","("&amp;IDNMaps[[#This Row],[Type]]&amp;") "&amp;IDNMaps[[#This Row],[Name]])</f>
        <v/>
      </c>
      <c r="P495" s="6" t="str">
        <f ca="1">IFERROR(VLOOKUP(IDNMaps[[#This Row],[Primary]],INDIRECT(VLOOKUP(IDNMaps[[#This Row],[Type]],RecordCount[],2,0)),VLOOKUP(IDNMaps[[#This Row],[Type]],RecordCount[],8,0),0),"")</f>
        <v/>
      </c>
    </row>
    <row r="496" spans="10:16" x14ac:dyDescent="0.25">
      <c r="J496" s="11">
        <f t="shared" si="7"/>
        <v>495</v>
      </c>
      <c r="K49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6" s="6" t="str">
        <f ca="1">IF(IDNMaps[[#This Row],[Type]]="","",COUNTIF($K$1:IDNMaps[[#This Row],[Type]],IDNMaps[[#This Row],[Type]]))</f>
        <v/>
      </c>
      <c r="M496" s="6" t="str">
        <f ca="1">IFERROR(VLOOKUP(IDNMaps[[#This Row],[Type]],RecordCount[],6,0)&amp;"-"&amp;IDNMaps[[#This Row],[Type Count]],"")</f>
        <v/>
      </c>
      <c r="N496" s="6" t="str">
        <f ca="1">IFERROR(VLOOKUP(IDNMaps[[#This Row],[Primary]],INDIRECT(VLOOKUP(IDNMaps[[#This Row],[Type]],RecordCount[],2,0)),VLOOKUP(IDNMaps[[#This Row],[Type]],RecordCount[],7,0),0),"")</f>
        <v/>
      </c>
      <c r="O496" s="6" t="str">
        <f ca="1">IF(IDNMaps[[#This Row],[Name]]="","","("&amp;IDNMaps[[#This Row],[Type]]&amp;") "&amp;IDNMaps[[#This Row],[Name]])</f>
        <v/>
      </c>
      <c r="P496" s="6" t="str">
        <f ca="1">IFERROR(VLOOKUP(IDNMaps[[#This Row],[Primary]],INDIRECT(VLOOKUP(IDNMaps[[#This Row],[Type]],RecordCount[],2,0)),VLOOKUP(IDNMaps[[#This Row],[Type]],RecordCount[],8,0),0),"")</f>
        <v/>
      </c>
    </row>
    <row r="497" spans="10:16" x14ac:dyDescent="0.25">
      <c r="J497" s="11">
        <f t="shared" si="7"/>
        <v>496</v>
      </c>
      <c r="K49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7" s="6" t="str">
        <f ca="1">IF(IDNMaps[[#This Row],[Type]]="","",COUNTIF($K$1:IDNMaps[[#This Row],[Type]],IDNMaps[[#This Row],[Type]]))</f>
        <v/>
      </c>
      <c r="M497" s="6" t="str">
        <f ca="1">IFERROR(VLOOKUP(IDNMaps[[#This Row],[Type]],RecordCount[],6,0)&amp;"-"&amp;IDNMaps[[#This Row],[Type Count]],"")</f>
        <v/>
      </c>
      <c r="N497" s="6" t="str">
        <f ca="1">IFERROR(VLOOKUP(IDNMaps[[#This Row],[Primary]],INDIRECT(VLOOKUP(IDNMaps[[#This Row],[Type]],RecordCount[],2,0)),VLOOKUP(IDNMaps[[#This Row],[Type]],RecordCount[],7,0),0),"")</f>
        <v/>
      </c>
      <c r="O497" s="6" t="str">
        <f ca="1">IF(IDNMaps[[#This Row],[Name]]="","","("&amp;IDNMaps[[#This Row],[Type]]&amp;") "&amp;IDNMaps[[#This Row],[Name]])</f>
        <v/>
      </c>
      <c r="P497" s="6" t="str">
        <f ca="1">IFERROR(VLOOKUP(IDNMaps[[#This Row],[Primary]],INDIRECT(VLOOKUP(IDNMaps[[#This Row],[Type]],RecordCount[],2,0)),VLOOKUP(IDNMaps[[#This Row],[Type]],RecordCount[],8,0),0),"")</f>
        <v/>
      </c>
    </row>
    <row r="498" spans="10:16" x14ac:dyDescent="0.25">
      <c r="J498" s="11">
        <f t="shared" si="7"/>
        <v>497</v>
      </c>
      <c r="K49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8" s="6" t="str">
        <f ca="1">IF(IDNMaps[[#This Row],[Type]]="","",COUNTIF($K$1:IDNMaps[[#This Row],[Type]],IDNMaps[[#This Row],[Type]]))</f>
        <v/>
      </c>
      <c r="M498" s="6" t="str">
        <f ca="1">IFERROR(VLOOKUP(IDNMaps[[#This Row],[Type]],RecordCount[],6,0)&amp;"-"&amp;IDNMaps[[#This Row],[Type Count]],"")</f>
        <v/>
      </c>
      <c r="N498" s="6" t="str">
        <f ca="1">IFERROR(VLOOKUP(IDNMaps[[#This Row],[Primary]],INDIRECT(VLOOKUP(IDNMaps[[#This Row],[Type]],RecordCount[],2,0)),VLOOKUP(IDNMaps[[#This Row],[Type]],RecordCount[],7,0),0),"")</f>
        <v/>
      </c>
      <c r="O498" s="6" t="str">
        <f ca="1">IF(IDNMaps[[#This Row],[Name]]="","","("&amp;IDNMaps[[#This Row],[Type]]&amp;") "&amp;IDNMaps[[#This Row],[Name]])</f>
        <v/>
      </c>
      <c r="P498" s="6" t="str">
        <f ca="1">IFERROR(VLOOKUP(IDNMaps[[#This Row],[Primary]],INDIRECT(VLOOKUP(IDNMaps[[#This Row],[Type]],RecordCount[],2,0)),VLOOKUP(IDNMaps[[#This Row],[Type]],RecordCount[],8,0),0),"")</f>
        <v/>
      </c>
    </row>
    <row r="499" spans="10:16" x14ac:dyDescent="0.25">
      <c r="J499" s="11">
        <f t="shared" si="7"/>
        <v>498</v>
      </c>
      <c r="K49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9" s="6" t="str">
        <f ca="1">IF(IDNMaps[[#This Row],[Type]]="","",COUNTIF($K$1:IDNMaps[[#This Row],[Type]],IDNMaps[[#This Row],[Type]]))</f>
        <v/>
      </c>
      <c r="M499" s="6" t="str">
        <f ca="1">IFERROR(VLOOKUP(IDNMaps[[#This Row],[Type]],RecordCount[],6,0)&amp;"-"&amp;IDNMaps[[#This Row],[Type Count]],"")</f>
        <v/>
      </c>
      <c r="N499" s="6" t="str">
        <f ca="1">IFERROR(VLOOKUP(IDNMaps[[#This Row],[Primary]],INDIRECT(VLOOKUP(IDNMaps[[#This Row],[Type]],RecordCount[],2,0)),VLOOKUP(IDNMaps[[#This Row],[Type]],RecordCount[],7,0),0),"")</f>
        <v/>
      </c>
      <c r="O499" s="6" t="str">
        <f ca="1">IF(IDNMaps[[#This Row],[Name]]="","","("&amp;IDNMaps[[#This Row],[Type]]&amp;") "&amp;IDNMaps[[#This Row],[Name]])</f>
        <v/>
      </c>
      <c r="P499" s="6" t="str">
        <f ca="1">IFERROR(VLOOKUP(IDNMaps[[#This Row],[Primary]],INDIRECT(VLOOKUP(IDNMaps[[#This Row],[Type]],RecordCount[],2,0)),VLOOKUP(IDNMaps[[#This Row],[Type]],RecordCount[],8,0),0),"")</f>
        <v/>
      </c>
    </row>
    <row r="500" spans="10:16" x14ac:dyDescent="0.25">
      <c r="J500" s="11">
        <f t="shared" si="7"/>
        <v>499</v>
      </c>
      <c r="K50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500" s="6" t="str">
        <f ca="1">IF(IDNMaps[[#This Row],[Type]]="","",COUNTIF($K$1:IDNMaps[[#This Row],[Type]],IDNMaps[[#This Row],[Type]]))</f>
        <v/>
      </c>
      <c r="M500" s="6" t="str">
        <f ca="1">IFERROR(VLOOKUP(IDNMaps[[#This Row],[Type]],RecordCount[],6,0)&amp;"-"&amp;IDNMaps[[#This Row],[Type Count]],"")</f>
        <v/>
      </c>
      <c r="N500" s="6" t="str">
        <f ca="1">IFERROR(VLOOKUP(IDNMaps[[#This Row],[Primary]],INDIRECT(VLOOKUP(IDNMaps[[#This Row],[Type]],RecordCount[],2,0)),VLOOKUP(IDNMaps[[#This Row],[Type]],RecordCount[],7,0),0),"")</f>
        <v/>
      </c>
      <c r="O500" s="6" t="str">
        <f ca="1">IF(IDNMaps[[#This Row],[Name]]="","","("&amp;IDNMaps[[#This Row],[Type]]&amp;") "&amp;IDNMaps[[#This Row],[Name]])</f>
        <v/>
      </c>
      <c r="P500" s="6" t="str">
        <f ca="1">IFERROR(VLOOKUP(IDNMaps[[#This Row],[Primary]],INDIRECT(VLOOKUP(IDNMaps[[#This Row],[Type]],RecordCount[],2,0)),VLOOKUP(IDNMaps[[#This Row],[Type]],RecordCount[],8,0),0),"")</f>
        <v/>
      </c>
    </row>
    <row r="501" spans="10:16" x14ac:dyDescent="0.25">
      <c r="J501" s="56">
        <f t="shared" si="7"/>
        <v>500</v>
      </c>
      <c r="K501" s="9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501" s="6" t="str">
        <f ca="1">IF(IDNMaps[[#This Row],[Type]]="","",COUNTIF($K$1:IDNMaps[[#This Row],[Type]],IDNMaps[[#This Row],[Type]]))</f>
        <v/>
      </c>
      <c r="M501" s="6" t="str">
        <f ca="1">IFERROR(VLOOKUP(IDNMaps[[#This Row],[Type]],RecordCount[],6,0)&amp;"-"&amp;IDNMaps[[#This Row],[Type Count]],"")</f>
        <v/>
      </c>
      <c r="N501" s="6" t="str">
        <f ca="1">IFERROR(VLOOKUP(IDNMaps[[#This Row],[Primary]],INDIRECT(VLOOKUP(IDNMaps[[#This Row],[Type]],RecordCount[],2,0)),VLOOKUP(IDNMaps[[#This Row],[Type]],RecordCount[],7,0),0),"")</f>
        <v/>
      </c>
      <c r="O501" s="6" t="str">
        <f ca="1">IF(IDNMaps[[#This Row],[Name]]="","","("&amp;IDNMaps[[#This Row],[Type]]&amp;") "&amp;IDNMaps[[#This Row],[Name]])</f>
        <v/>
      </c>
      <c r="P501" s="6" t="str">
        <f ca="1">IFERROR(VLOOKUP(IDNMaps[[#This Row],[Primary]],INDIRECT(VLOOKUP(IDNMaps[[#This Row],[Type]],RecordCount[],2,0)),VLOOKUP(IDNMaps[[#This Row],[Type]],RecordCount[],8,0),0),"")</f>
        <v/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topLeftCell="A4" workbookViewId="0">
      <selection activeCell="D11" sqref="D11"/>
    </sheetView>
  </sheetViews>
  <sheetFormatPr defaultColWidth="10.42578125" defaultRowHeight="15" x14ac:dyDescent="0.25"/>
  <cols>
    <col min="1" max="1" width="20.140625" bestFit="1" customWidth="1"/>
    <col min="2" max="5" width="17.5703125" customWidth="1"/>
    <col min="6" max="6" width="28.140625" customWidth="1"/>
    <col min="7" max="9" width="17.5703125" customWidth="1"/>
  </cols>
  <sheetData>
    <row r="1" spans="1:10" x14ac:dyDescent="0.25">
      <c r="A1" t="s">
        <v>42</v>
      </c>
      <c r="B1" t="s">
        <v>14</v>
      </c>
      <c r="C1" t="s">
        <v>1</v>
      </c>
      <c r="D1" s="20" t="s">
        <v>231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s="20" t="s">
        <v>796</v>
      </c>
    </row>
    <row r="2" spans="1:10" x14ac:dyDescent="0.25">
      <c r="A2" s="1" t="s">
        <v>21</v>
      </c>
      <c r="B2" s="1" t="s">
        <v>842</v>
      </c>
      <c r="C2" s="1" t="s">
        <v>21</v>
      </c>
      <c r="D2" s="1"/>
      <c r="E2" s="1"/>
      <c r="F2" s="1"/>
      <c r="G2" s="1"/>
      <c r="H2" s="1"/>
      <c r="I2" s="1"/>
      <c r="J2" s="32">
        <f>COUNTIF(TableFields[Field],Columns[[#This Row],[Column]])</f>
        <v>5</v>
      </c>
    </row>
    <row r="3" spans="1:10" x14ac:dyDescent="0.25">
      <c r="A3" s="1" t="s">
        <v>34</v>
      </c>
      <c r="B3" s="1" t="s">
        <v>34</v>
      </c>
      <c r="C3" s="1"/>
      <c r="D3" s="1"/>
      <c r="E3" s="1"/>
      <c r="F3" s="1"/>
      <c r="G3" s="1"/>
      <c r="H3" s="1"/>
      <c r="I3" s="1"/>
      <c r="J3" s="32">
        <f>COUNTIF(TableFields[Field],Columns[[#This Row],[Column]])</f>
        <v>0</v>
      </c>
    </row>
    <row r="4" spans="1:10" x14ac:dyDescent="0.25">
      <c r="A4" s="5" t="s">
        <v>288</v>
      </c>
      <c r="B4" s="5" t="s">
        <v>288</v>
      </c>
      <c r="C4" s="5"/>
      <c r="D4" s="5"/>
      <c r="E4" s="5"/>
      <c r="F4" s="5"/>
      <c r="G4" s="5"/>
      <c r="H4" s="5"/>
      <c r="I4" s="5"/>
      <c r="J4" s="32">
        <f>COUNTIF(TableFields[Field],Columns[[#This Row],[Column]])</f>
        <v>5</v>
      </c>
    </row>
    <row r="5" spans="1:10" x14ac:dyDescent="0.25">
      <c r="A5" s="63" t="s">
        <v>23</v>
      </c>
      <c r="B5" s="63" t="s">
        <v>806</v>
      </c>
      <c r="C5" s="63" t="s">
        <v>23</v>
      </c>
      <c r="D5" s="63">
        <v>128</v>
      </c>
      <c r="E5" s="63" t="s">
        <v>807</v>
      </c>
      <c r="F5" s="63" t="s">
        <v>808</v>
      </c>
      <c r="G5" s="63"/>
      <c r="H5" s="63"/>
      <c r="I5" s="63"/>
      <c r="J5" s="64">
        <f>COUNTIF(TableFields[Field],Columns[[#This Row],[Column]])</f>
        <v>3</v>
      </c>
    </row>
    <row r="6" spans="1:10" x14ac:dyDescent="0.25">
      <c r="A6" s="63" t="s">
        <v>24</v>
      </c>
      <c r="B6" s="63" t="s">
        <v>806</v>
      </c>
      <c r="C6" s="63" t="s">
        <v>24</v>
      </c>
      <c r="D6" s="63">
        <v>1024</v>
      </c>
      <c r="E6" s="63" t="s">
        <v>808</v>
      </c>
      <c r="F6" s="63"/>
      <c r="G6" s="63"/>
      <c r="H6" s="63"/>
      <c r="I6" s="63"/>
      <c r="J6" s="64">
        <f>COUNTIF(TableFields[Field],Columns[[#This Row],[Column]])</f>
        <v>3</v>
      </c>
    </row>
    <row r="7" spans="1:10" x14ac:dyDescent="0.25">
      <c r="A7" s="63" t="s">
        <v>809</v>
      </c>
      <c r="B7" s="63" t="s">
        <v>810</v>
      </c>
      <c r="C7" s="63" t="s">
        <v>809</v>
      </c>
      <c r="D7" s="63" t="s">
        <v>811</v>
      </c>
      <c r="E7" s="63" t="s">
        <v>808</v>
      </c>
      <c r="F7" s="63" t="s">
        <v>812</v>
      </c>
      <c r="G7" s="63"/>
      <c r="H7" s="63"/>
      <c r="I7" s="63"/>
      <c r="J7" s="64">
        <f>COUNTIF(TableFields[Field],Columns[[#This Row],[Column]])</f>
        <v>2</v>
      </c>
    </row>
    <row r="8" spans="1:10" x14ac:dyDescent="0.25">
      <c r="A8" s="63" t="s">
        <v>816</v>
      </c>
      <c r="B8" s="63" t="s">
        <v>813</v>
      </c>
      <c r="C8" s="63" t="s">
        <v>63</v>
      </c>
      <c r="D8" s="63" t="s">
        <v>59</v>
      </c>
      <c r="E8" s="63"/>
      <c r="F8" s="63"/>
      <c r="G8" s="63"/>
      <c r="H8" s="63"/>
      <c r="I8" s="63"/>
      <c r="J8" s="64">
        <f>COUNTIF(TableFields[Field],Columns[[#This Row],[Column]])</f>
        <v>1</v>
      </c>
    </row>
    <row r="9" spans="1:10" x14ac:dyDescent="0.25">
      <c r="A9" s="63" t="s">
        <v>815</v>
      </c>
      <c r="B9" s="63" t="s">
        <v>813</v>
      </c>
      <c r="C9" s="63" t="s">
        <v>814</v>
      </c>
      <c r="D9" s="63" t="s">
        <v>75</v>
      </c>
      <c r="E9" s="63"/>
      <c r="F9" s="63"/>
      <c r="G9" s="63"/>
      <c r="H9" s="63"/>
      <c r="I9" s="63"/>
      <c r="J9" s="64">
        <f>COUNTIF(TableFields[Field],Columns[[#This Row],[Column]])</f>
        <v>2</v>
      </c>
    </row>
    <row r="10" spans="1:10" x14ac:dyDescent="0.25">
      <c r="A10" s="63" t="s">
        <v>817</v>
      </c>
      <c r="B10" s="63" t="s">
        <v>818</v>
      </c>
      <c r="C10" s="63" t="s">
        <v>819</v>
      </c>
      <c r="D10" s="63" t="s">
        <v>802</v>
      </c>
      <c r="E10" s="63"/>
      <c r="F10" s="63"/>
      <c r="G10" s="63"/>
      <c r="H10" s="63"/>
      <c r="I10" s="63"/>
      <c r="J10" s="64">
        <f>COUNTIF(TableFields[Field],Columns[[#This Row],[Column]])</f>
        <v>1</v>
      </c>
    </row>
    <row r="11" spans="1:10" x14ac:dyDescent="0.25">
      <c r="A11" s="63" t="s">
        <v>825</v>
      </c>
      <c r="B11" s="63" t="s">
        <v>810</v>
      </c>
      <c r="C11" s="63" t="s">
        <v>825</v>
      </c>
      <c r="D11" s="63" t="s">
        <v>824</v>
      </c>
      <c r="E11" s="63" t="s">
        <v>808</v>
      </c>
      <c r="F11" s="63" t="s">
        <v>828</v>
      </c>
      <c r="G11" s="63"/>
      <c r="H11" s="63"/>
      <c r="I11" s="63"/>
      <c r="J11" s="64">
        <f>COUNTIF(TableFields[Field],Columns[[#This Row],[Column]])</f>
        <v>1</v>
      </c>
    </row>
    <row r="12" spans="1:10" x14ac:dyDescent="0.25">
      <c r="A12" s="63" t="s">
        <v>826</v>
      </c>
      <c r="B12" s="63" t="s">
        <v>810</v>
      </c>
      <c r="C12" s="63" t="s">
        <v>826</v>
      </c>
      <c r="D12" s="63" t="s">
        <v>824</v>
      </c>
      <c r="E12" s="63" t="s">
        <v>808</v>
      </c>
      <c r="F12" s="63" t="s">
        <v>828</v>
      </c>
      <c r="G12" s="63"/>
      <c r="H12" s="63"/>
      <c r="I12" s="63"/>
      <c r="J12" s="64">
        <f>COUNTIF(TableFields[Field],Columns[[#This Row],[Column]])</f>
        <v>1</v>
      </c>
    </row>
    <row r="13" spans="1:10" x14ac:dyDescent="0.25">
      <c r="A13" s="63" t="s">
        <v>827</v>
      </c>
      <c r="B13" s="63" t="s">
        <v>810</v>
      </c>
      <c r="C13" s="63" t="s">
        <v>827</v>
      </c>
      <c r="D13" s="63" t="s">
        <v>824</v>
      </c>
      <c r="E13" s="63" t="s">
        <v>808</v>
      </c>
      <c r="F13" s="63" t="s">
        <v>828</v>
      </c>
      <c r="G13" s="63"/>
      <c r="H13" s="63"/>
      <c r="I13" s="63"/>
      <c r="J13" s="64">
        <f>COUNTIF(TableFields[Field],Columns[[#This Row],[Column]])</f>
        <v>1</v>
      </c>
    </row>
    <row r="14" spans="1:10" x14ac:dyDescent="0.25">
      <c r="A14" s="63" t="s">
        <v>829</v>
      </c>
      <c r="B14" s="63" t="s">
        <v>830</v>
      </c>
      <c r="C14" s="63" t="s">
        <v>829</v>
      </c>
      <c r="D14" s="63"/>
      <c r="E14" s="63" t="s">
        <v>831</v>
      </c>
      <c r="F14" s="63"/>
      <c r="G14" s="63"/>
      <c r="H14" s="63"/>
      <c r="I14" s="63"/>
      <c r="J14" s="64">
        <f>COUNTIF(TableFields[Field],Columns[[#This Row],[Column]])</f>
        <v>1</v>
      </c>
    </row>
    <row r="15" spans="1:10" x14ac:dyDescent="0.25">
      <c r="A15" s="63" t="s">
        <v>832</v>
      </c>
      <c r="B15" s="63" t="s">
        <v>810</v>
      </c>
      <c r="C15" s="63" t="s">
        <v>832</v>
      </c>
      <c r="D15" s="63" t="s">
        <v>833</v>
      </c>
      <c r="E15" s="63" t="s">
        <v>808</v>
      </c>
      <c r="F15" s="63" t="s">
        <v>843</v>
      </c>
      <c r="G15" s="63"/>
      <c r="H15" s="63"/>
      <c r="I15" s="63"/>
      <c r="J15" s="64">
        <f>COUNTIF(TableFields[Field],Columns[[#This Row],[Column]])</f>
        <v>1</v>
      </c>
    </row>
    <row r="16" spans="1:10" x14ac:dyDescent="0.25">
      <c r="A16" s="63" t="s">
        <v>841</v>
      </c>
      <c r="B16" s="63" t="s">
        <v>818</v>
      </c>
      <c r="C16" s="63" t="s">
        <v>834</v>
      </c>
      <c r="D16" s="63" t="s">
        <v>59</v>
      </c>
      <c r="E16" s="63"/>
      <c r="F16" s="63"/>
      <c r="G16" s="63"/>
      <c r="H16" s="63"/>
      <c r="I16" s="63"/>
      <c r="J16" s="64">
        <f>COUNTIF(TableFields[Field],Columns[[#This Row],[Column]])</f>
        <v>1</v>
      </c>
    </row>
    <row r="17" spans="1:10" x14ac:dyDescent="0.25">
      <c r="A17" s="63" t="s">
        <v>835</v>
      </c>
      <c r="B17" s="63" t="s">
        <v>813</v>
      </c>
      <c r="C17" s="63" t="s">
        <v>836</v>
      </c>
      <c r="D17" s="63" t="s">
        <v>802</v>
      </c>
      <c r="E17" s="63"/>
      <c r="F17" s="63"/>
      <c r="G17" s="63"/>
      <c r="H17" s="63"/>
      <c r="I17" s="63"/>
      <c r="J17" s="64">
        <f>COUNTIF(TableFields[Field],Columns[[#This Row],[Column]])</f>
        <v>1</v>
      </c>
    </row>
    <row r="18" spans="1:10" x14ac:dyDescent="0.25">
      <c r="A18" s="63" t="s">
        <v>1119</v>
      </c>
      <c r="B18" s="63" t="s">
        <v>810</v>
      </c>
      <c r="C18" s="63" t="s">
        <v>35</v>
      </c>
      <c r="D18" s="63" t="s">
        <v>1120</v>
      </c>
      <c r="E18" s="63" t="s">
        <v>808</v>
      </c>
      <c r="F18" s="63" t="s">
        <v>1121</v>
      </c>
      <c r="G18" s="63"/>
      <c r="H18" s="63"/>
      <c r="I18" s="63"/>
      <c r="J18" s="64">
        <f>COUNTIF(TableFields[Field],Columns[[#This Row],[Column]])</f>
        <v>1</v>
      </c>
    </row>
    <row r="19" spans="1:10" x14ac:dyDescent="0.25">
      <c r="A19" s="63" t="s">
        <v>1123</v>
      </c>
      <c r="B19" s="63" t="s">
        <v>806</v>
      </c>
      <c r="C19" s="63" t="s">
        <v>1123</v>
      </c>
      <c r="D19" s="63">
        <v>1024</v>
      </c>
      <c r="E19" s="63" t="s">
        <v>808</v>
      </c>
      <c r="F19" s="63"/>
      <c r="G19" s="63"/>
      <c r="H19" s="63"/>
      <c r="I19" s="63"/>
      <c r="J19" s="64">
        <f>COUNTIF(TableFields[Field],Columns[[#This Row],[Column]])</f>
        <v>1</v>
      </c>
    </row>
    <row r="20" spans="1:10" x14ac:dyDescent="0.25">
      <c r="A20" s="63" t="s">
        <v>837</v>
      </c>
      <c r="B20" s="63" t="s">
        <v>838</v>
      </c>
      <c r="C20" s="63" t="s">
        <v>837</v>
      </c>
      <c r="D20" s="63"/>
      <c r="E20" s="63" t="s">
        <v>808</v>
      </c>
      <c r="F20" s="63"/>
      <c r="G20" s="63"/>
      <c r="H20" s="63"/>
      <c r="I20" s="63"/>
      <c r="J20" s="64">
        <f>COUNTIF(TableFields[Field],Columns[[#This Row],[Column]])</f>
        <v>1</v>
      </c>
    </row>
    <row r="21" spans="1:10" x14ac:dyDescent="0.25">
      <c r="A21" s="63" t="s">
        <v>839</v>
      </c>
      <c r="B21" s="63" t="s">
        <v>838</v>
      </c>
      <c r="C21" s="63" t="s">
        <v>839</v>
      </c>
      <c r="D21" s="63"/>
      <c r="E21" s="63" t="s">
        <v>808</v>
      </c>
      <c r="F21" s="63"/>
      <c r="G21" s="63"/>
      <c r="H21" s="63"/>
      <c r="I21" s="63"/>
      <c r="J21" s="64">
        <f>COUNTIF(TableFields[Field],Columns[[#This Row],[Column]])</f>
        <v>1</v>
      </c>
    </row>
    <row r="22" spans="1:10" x14ac:dyDescent="0.25">
      <c r="A22" s="63" t="s">
        <v>840</v>
      </c>
      <c r="B22" s="63" t="s">
        <v>838</v>
      </c>
      <c r="C22" s="63" t="s">
        <v>840</v>
      </c>
      <c r="D22" s="63"/>
      <c r="E22" s="63" t="s">
        <v>808</v>
      </c>
      <c r="F22" s="63"/>
      <c r="G22" s="63"/>
      <c r="H22" s="63"/>
      <c r="I22" s="63"/>
      <c r="J22" s="64">
        <f>COUNTIF(TableFields[Field],Columns[[#This Row],[Column]])</f>
        <v>1</v>
      </c>
    </row>
    <row r="23" spans="1:10" x14ac:dyDescent="0.25">
      <c r="A23" s="63" t="s">
        <v>823</v>
      </c>
      <c r="B23" s="63" t="s">
        <v>810</v>
      </c>
      <c r="C23" s="63" t="s">
        <v>823</v>
      </c>
      <c r="D23" s="63" t="s">
        <v>1118</v>
      </c>
      <c r="E23" s="63" t="s">
        <v>808</v>
      </c>
      <c r="F23" s="63" t="s">
        <v>884</v>
      </c>
      <c r="G23" s="63"/>
      <c r="H23" s="63"/>
      <c r="I23" s="63"/>
      <c r="J23" s="64">
        <f>COUNTIF(TableFields[Field],Columns[[#This Row],[Column]])</f>
        <v>1</v>
      </c>
    </row>
  </sheetData>
  <conditionalFormatting sqref="C20:C22">
    <cfRule type="duplicateValues" dxfId="462" priority="3"/>
  </conditionalFormatting>
  <conditionalFormatting sqref="C11:C13">
    <cfRule type="duplicateValues" dxfId="461" priority="1"/>
  </conditionalFormatting>
  <conditionalFormatting sqref="C19">
    <cfRule type="duplicateValues" dxfId="460" priority="49"/>
  </conditionalFormatting>
  <conditionalFormatting sqref="A2:A23">
    <cfRule type="duplicateValues" dxfId="459" priority="50"/>
  </conditionalFormatting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0"/>
  <sheetViews>
    <sheetView topLeftCell="A22" workbookViewId="0">
      <selection activeCell="B32" sqref="B32"/>
    </sheetView>
  </sheetViews>
  <sheetFormatPr defaultColWidth="21.42578125" defaultRowHeight="15" x14ac:dyDescent="0.25"/>
  <cols>
    <col min="1" max="1" width="25.7109375" customWidth="1"/>
    <col min="2" max="2" width="35.42578125" customWidth="1"/>
    <col min="3" max="10" width="4.7109375" hidden="1" customWidth="1"/>
    <col min="11" max="11" width="120.28515625" customWidth="1"/>
  </cols>
  <sheetData>
    <row r="1" spans="1:11" x14ac:dyDescent="0.25">
      <c r="A1" t="s">
        <v>12</v>
      </c>
      <c r="B1" t="s">
        <v>13</v>
      </c>
      <c r="C1" t="s">
        <v>14</v>
      </c>
      <c r="D1" t="s">
        <v>1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41</v>
      </c>
    </row>
    <row r="2" spans="1:11" x14ac:dyDescent="0.25">
      <c r="A2" s="1" t="s">
        <v>59</v>
      </c>
      <c r="B2" s="1" t="s">
        <v>21</v>
      </c>
      <c r="C2" s="1" t="str">
        <f>VLOOKUP(TableFields[Field],Columns[],2,0)&amp;"("</f>
        <v>bigIncrements(</v>
      </c>
      <c r="D2" s="1" t="str">
        <f>IF(VLOOKUP(TableFields[Field],Columns[],3,0)&lt;&gt;"","'"&amp;VLOOKUP(TableFields[Field],Columns[],3,0)&amp;"'","")</f>
        <v>'id'</v>
      </c>
      <c r="E2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" s="1" t="str">
        <f>IF(VLOOKUP(TableFields[Field],Columns[],5,0)=0,"","-&gt;"&amp;VLOOKUP(TableFields[Field],Columns[],5,0))</f>
        <v/>
      </c>
      <c r="G2" s="1" t="str">
        <f>IF(VLOOKUP(TableFields[Field],Columns[],6,0)=0,"","-&gt;"&amp;VLOOKUP(TableFields[Field],Columns[],6,0))</f>
        <v/>
      </c>
      <c r="H2" s="1" t="str">
        <f>IF(VLOOKUP(TableFields[Field],Columns[],7,0)=0,"","-&gt;"&amp;VLOOKUP(TableFields[Field],Columns[],7,0))</f>
        <v/>
      </c>
      <c r="I2" s="1" t="str">
        <f>IF(VLOOKUP(TableFields[Field],Columns[],8,0)=0,"","-&gt;"&amp;VLOOKUP(TableFields[Field],Columns[],8,0))</f>
        <v/>
      </c>
      <c r="J2" s="1" t="str">
        <f>IF(VLOOKUP(TableFields[Field],Columns[],9,0)=0,"","-&gt;"&amp;VLOOKUP(TableFields[Field],Columns[],9,0))</f>
        <v/>
      </c>
      <c r="K2" s="1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3" spans="1:11" x14ac:dyDescent="0.25">
      <c r="A3" s="1" t="s">
        <v>59</v>
      </c>
      <c r="B3" s="63" t="s">
        <v>23</v>
      </c>
      <c r="C3" s="63" t="str">
        <f>VLOOKUP(TableFields[Field],Columns[],2,0)&amp;"("</f>
        <v>string(</v>
      </c>
      <c r="D3" s="63" t="str">
        <f>IF(VLOOKUP(TableFields[Field],Columns[],3,0)&lt;&gt;"","'"&amp;VLOOKUP(TableFields[Field],Columns[],3,0)&amp;"'","")</f>
        <v>'name'</v>
      </c>
      <c r="E3" s="62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'128')</v>
      </c>
      <c r="F3" s="63" t="str">
        <f>IF(VLOOKUP(TableFields[Field],Columns[],5,0)=0,"","-&gt;"&amp;VLOOKUP(TableFields[Field],Columns[],5,0))</f>
        <v>-&gt;index()</v>
      </c>
      <c r="G3" s="63" t="str">
        <f>IF(VLOOKUP(TableFields[Field],Columns[],6,0)=0,"","-&gt;"&amp;VLOOKUP(TableFields[Field],Columns[],6,0))</f>
        <v>-&gt;nullable()</v>
      </c>
      <c r="H3" s="63" t="str">
        <f>IF(VLOOKUP(TableFields[Field],Columns[],7,0)=0,"","-&gt;"&amp;VLOOKUP(TableFields[Field],Columns[],7,0))</f>
        <v/>
      </c>
      <c r="I3" s="63" t="str">
        <f>IF(VLOOKUP(TableFields[Field],Columns[],8,0)=0,"","-&gt;"&amp;VLOOKUP(TableFields[Field],Columns[],8,0))</f>
        <v/>
      </c>
      <c r="J3" s="63" t="str">
        <f>IF(VLOOKUP(TableFields[Field],Columns[],9,0)=0,"","-&gt;"&amp;VLOOKUP(TableFields[Field],Columns[],9,0))</f>
        <v/>
      </c>
      <c r="K3" s="63" t="str">
        <f>"$table-&gt;"&amp;TableFields[Type]&amp;TableFields[Name]&amp;TableFields[Arg2]&amp;TableFields[Method1]&amp;TableFields[Method2]&amp;TableFields[Method3]&amp;TableFields[Method4]&amp;TableFields[Method5]&amp;";"</f>
        <v>$table-&gt;string('name', '128')-&gt;index()-&gt;nullable();</v>
      </c>
    </row>
    <row r="4" spans="1:11" x14ac:dyDescent="0.25">
      <c r="A4" s="1" t="s">
        <v>59</v>
      </c>
      <c r="B4" s="63" t="s">
        <v>24</v>
      </c>
      <c r="C4" s="63" t="str">
        <f>VLOOKUP(TableFields[Field],Columns[],2,0)&amp;"("</f>
        <v>string(</v>
      </c>
      <c r="D4" s="63" t="str">
        <f>IF(VLOOKUP(TableFields[Field],Columns[],3,0)&lt;&gt;"","'"&amp;VLOOKUP(TableFields[Field],Columns[],3,0)&amp;"'","")</f>
        <v>'description'</v>
      </c>
      <c r="E4" s="62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'1024')</v>
      </c>
      <c r="F4" s="63" t="str">
        <f>IF(VLOOKUP(TableFields[Field],Columns[],5,0)=0,"","-&gt;"&amp;VLOOKUP(TableFields[Field],Columns[],5,0))</f>
        <v>-&gt;nullable()</v>
      </c>
      <c r="G4" s="63" t="str">
        <f>IF(VLOOKUP(TableFields[Field],Columns[],6,0)=0,"","-&gt;"&amp;VLOOKUP(TableFields[Field],Columns[],6,0))</f>
        <v/>
      </c>
      <c r="H4" s="63" t="str">
        <f>IF(VLOOKUP(TableFields[Field],Columns[],7,0)=0,"","-&gt;"&amp;VLOOKUP(TableFields[Field],Columns[],7,0))</f>
        <v/>
      </c>
      <c r="I4" s="63" t="str">
        <f>IF(VLOOKUP(TableFields[Field],Columns[],8,0)=0,"","-&gt;"&amp;VLOOKUP(TableFields[Field],Columns[],8,0))</f>
        <v/>
      </c>
      <c r="J4" s="63" t="str">
        <f>IF(VLOOKUP(TableFields[Field],Columns[],9,0)=0,"","-&gt;"&amp;VLOOKUP(TableFields[Field],Columns[],9,0))</f>
        <v/>
      </c>
      <c r="K4" s="63" t="str">
        <f>"$table-&gt;"&amp;TableFields[Type]&amp;TableFields[Name]&amp;TableFields[Arg2]&amp;TableFields[Method1]&amp;TableFields[Method2]&amp;TableFields[Method3]&amp;TableFields[Method4]&amp;TableFields[Method5]&amp;";"</f>
        <v>$table-&gt;string('description', '1024')-&gt;nullable();</v>
      </c>
    </row>
    <row r="5" spans="1:11" x14ac:dyDescent="0.25">
      <c r="A5" s="1" t="s">
        <v>59</v>
      </c>
      <c r="B5" s="63" t="s">
        <v>809</v>
      </c>
      <c r="C5" s="63" t="str">
        <f>VLOOKUP(TableFields[Field],Columns[],2,0)&amp;"("</f>
        <v>enum(</v>
      </c>
      <c r="D5" s="63" t="str">
        <f>IF(VLOOKUP(TableFields[Field],Columns[],3,0)&lt;&gt;"","'"&amp;VLOOKUP(TableFields[Field],Columns[],3,0)&amp;"'","")</f>
        <v>'status'</v>
      </c>
      <c r="E5" s="62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5" s="63" t="str">
        <f>IF(VLOOKUP(TableFields[Field],Columns[],5,0)=0,"","-&gt;"&amp;VLOOKUP(TableFields[Field],Columns[],5,0))</f>
        <v>-&gt;nullable()</v>
      </c>
      <c r="G5" s="63" t="str">
        <f>IF(VLOOKUP(TableFields[Field],Columns[],6,0)=0,"","-&gt;"&amp;VLOOKUP(TableFields[Field],Columns[],6,0))</f>
        <v>-&gt;default('Active')</v>
      </c>
      <c r="H5" s="63" t="str">
        <f>IF(VLOOKUP(TableFields[Field],Columns[],7,0)=0,"","-&gt;"&amp;VLOOKUP(TableFields[Field],Columns[],7,0))</f>
        <v/>
      </c>
      <c r="I5" s="63" t="str">
        <f>IF(VLOOKUP(TableFields[Field],Columns[],8,0)=0,"","-&gt;"&amp;VLOOKUP(TableFields[Field],Columns[],8,0))</f>
        <v/>
      </c>
      <c r="J5" s="63" t="str">
        <f>IF(VLOOKUP(TableFields[Field],Columns[],9,0)=0,"","-&gt;"&amp;VLOOKUP(TableFields[Field],Columns[],9,0))</f>
        <v/>
      </c>
      <c r="K5" s="63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6" spans="1:11" x14ac:dyDescent="0.25">
      <c r="A6" s="1" t="s">
        <v>59</v>
      </c>
      <c r="B6" s="63" t="s">
        <v>288</v>
      </c>
      <c r="C6" s="63" t="str">
        <f>VLOOKUP(TableFields[Field],Columns[],2,0)&amp;"("</f>
        <v>audit(</v>
      </c>
      <c r="D6" s="63" t="str">
        <f>IF(VLOOKUP(TableFields[Field],Columns[],3,0)&lt;&gt;"","'"&amp;VLOOKUP(TableFields[Field],Columns[],3,0)&amp;"'","")</f>
        <v/>
      </c>
      <c r="E6" s="62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6" s="63" t="str">
        <f>IF(VLOOKUP(TableFields[Field],Columns[],5,0)=0,"","-&gt;"&amp;VLOOKUP(TableFields[Field],Columns[],5,0))</f>
        <v/>
      </c>
      <c r="G6" s="63" t="str">
        <f>IF(VLOOKUP(TableFields[Field],Columns[],6,0)=0,"","-&gt;"&amp;VLOOKUP(TableFields[Field],Columns[],6,0))</f>
        <v/>
      </c>
      <c r="H6" s="63" t="str">
        <f>IF(VLOOKUP(TableFields[Field],Columns[],7,0)=0,"","-&gt;"&amp;VLOOKUP(TableFields[Field],Columns[],7,0))</f>
        <v/>
      </c>
      <c r="I6" s="63" t="str">
        <f>IF(VLOOKUP(TableFields[Field],Columns[],8,0)=0,"","-&gt;"&amp;VLOOKUP(TableFields[Field],Columns[],8,0))</f>
        <v/>
      </c>
      <c r="J6" s="63" t="str">
        <f>IF(VLOOKUP(TableFields[Field],Columns[],9,0)=0,"","-&gt;"&amp;VLOOKUP(TableFields[Field],Columns[],9,0))</f>
        <v/>
      </c>
      <c r="K6" s="63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7" spans="1:11" x14ac:dyDescent="0.25">
      <c r="A7" s="63" t="s">
        <v>804</v>
      </c>
      <c r="B7" s="63" t="s">
        <v>21</v>
      </c>
      <c r="C7" s="63" t="str">
        <f>VLOOKUP(TableFields[Field],Columns[],2,0)&amp;"("</f>
        <v>bigIncrements(</v>
      </c>
      <c r="D7" s="63" t="str">
        <f>IF(VLOOKUP(TableFields[Field],Columns[],3,0)&lt;&gt;"","'"&amp;VLOOKUP(TableFields[Field],Columns[],3,0)&amp;"'","")</f>
        <v>'id'</v>
      </c>
      <c r="E7" s="62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7" s="63" t="str">
        <f>IF(VLOOKUP(TableFields[Field],Columns[],5,0)=0,"","-&gt;"&amp;VLOOKUP(TableFields[Field],Columns[],5,0))</f>
        <v/>
      </c>
      <c r="G7" s="63" t="str">
        <f>IF(VLOOKUP(TableFields[Field],Columns[],6,0)=0,"","-&gt;"&amp;VLOOKUP(TableFields[Field],Columns[],6,0))</f>
        <v/>
      </c>
      <c r="H7" s="63" t="str">
        <f>IF(VLOOKUP(TableFields[Field],Columns[],7,0)=0,"","-&gt;"&amp;VLOOKUP(TableFields[Field],Columns[],7,0))</f>
        <v/>
      </c>
      <c r="I7" s="63" t="str">
        <f>IF(VLOOKUP(TableFields[Field],Columns[],8,0)=0,"","-&gt;"&amp;VLOOKUP(TableFields[Field],Columns[],8,0))</f>
        <v/>
      </c>
      <c r="J7" s="63" t="str">
        <f>IF(VLOOKUP(TableFields[Field],Columns[],9,0)=0,"","-&gt;"&amp;VLOOKUP(TableFields[Field],Columns[],9,0))</f>
        <v/>
      </c>
      <c r="K7" s="63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8" spans="1:11" x14ac:dyDescent="0.25">
      <c r="A8" s="63" t="s">
        <v>804</v>
      </c>
      <c r="B8" s="63" t="s">
        <v>816</v>
      </c>
      <c r="C8" s="63" t="str">
        <f>VLOOKUP(TableFields[Field],Columns[],2,0)&amp;"("</f>
        <v>foreignCascade(</v>
      </c>
      <c r="D8" s="63" t="str">
        <f>IF(VLOOKUP(TableFields[Field],Columns[],3,0)&lt;&gt;"","'"&amp;VLOOKUP(TableFields[Field],Columns[],3,0)&amp;"'","")</f>
        <v>'group'</v>
      </c>
      <c r="E8" s="62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'groups')</v>
      </c>
      <c r="F8" s="63" t="str">
        <f>IF(VLOOKUP(TableFields[Field],Columns[],5,0)=0,"","-&gt;"&amp;VLOOKUP(TableFields[Field],Columns[],5,0))</f>
        <v/>
      </c>
      <c r="G8" s="63" t="str">
        <f>IF(VLOOKUP(TableFields[Field],Columns[],6,0)=0,"","-&gt;"&amp;VLOOKUP(TableFields[Field],Columns[],6,0))</f>
        <v/>
      </c>
      <c r="H8" s="63" t="str">
        <f>IF(VLOOKUP(TableFields[Field],Columns[],7,0)=0,"","-&gt;"&amp;VLOOKUP(TableFields[Field],Columns[],7,0))</f>
        <v/>
      </c>
      <c r="I8" s="63" t="str">
        <f>IF(VLOOKUP(TableFields[Field],Columns[],8,0)=0,"","-&gt;"&amp;VLOOKUP(TableFields[Field],Columns[],8,0))</f>
        <v/>
      </c>
      <c r="J8" s="63" t="str">
        <f>IF(VLOOKUP(TableFields[Field],Columns[],9,0)=0,"","-&gt;"&amp;VLOOKUP(TableFields[Field],Columns[],9,0))</f>
        <v/>
      </c>
      <c r="K8" s="63" t="str">
        <f>"$table-&gt;"&amp;TableFields[Type]&amp;TableFields[Name]&amp;TableFields[Arg2]&amp;TableFields[Method1]&amp;TableFields[Method2]&amp;TableFields[Method3]&amp;TableFields[Method4]&amp;TableFields[Method5]&amp;";"</f>
        <v>$table-&gt;foreignCascade('group', 'groups');</v>
      </c>
    </row>
    <row r="9" spans="1:11" x14ac:dyDescent="0.25">
      <c r="A9" s="63" t="s">
        <v>804</v>
      </c>
      <c r="B9" s="63" t="s">
        <v>815</v>
      </c>
      <c r="C9" s="63" t="str">
        <f>VLOOKUP(TableFields[Field],Columns[],2,0)&amp;"("</f>
        <v>foreignCascade(</v>
      </c>
      <c r="D9" s="63" t="str">
        <f>IF(VLOOKUP(TableFields[Field],Columns[],3,0)&lt;&gt;"","'"&amp;VLOOKUP(TableFields[Field],Columns[],3,0)&amp;"'","")</f>
        <v>'partner'</v>
      </c>
      <c r="E9" s="62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'users')</v>
      </c>
      <c r="F9" s="63" t="str">
        <f>IF(VLOOKUP(TableFields[Field],Columns[],5,0)=0,"","-&gt;"&amp;VLOOKUP(TableFields[Field],Columns[],5,0))</f>
        <v/>
      </c>
      <c r="G9" s="63" t="str">
        <f>IF(VLOOKUP(TableFields[Field],Columns[],6,0)=0,"","-&gt;"&amp;VLOOKUP(TableFields[Field],Columns[],6,0))</f>
        <v/>
      </c>
      <c r="H9" s="63" t="str">
        <f>IF(VLOOKUP(TableFields[Field],Columns[],7,0)=0,"","-&gt;"&amp;VLOOKUP(TableFields[Field],Columns[],7,0))</f>
        <v/>
      </c>
      <c r="I9" s="63" t="str">
        <f>IF(VLOOKUP(TableFields[Field],Columns[],8,0)=0,"","-&gt;"&amp;VLOOKUP(TableFields[Field],Columns[],8,0))</f>
        <v/>
      </c>
      <c r="J9" s="63" t="str">
        <f>IF(VLOOKUP(TableFields[Field],Columns[],9,0)=0,"","-&gt;"&amp;VLOOKUP(TableFields[Field],Columns[],9,0))</f>
        <v/>
      </c>
      <c r="K9" s="63" t="str">
        <f>"$table-&gt;"&amp;TableFields[Type]&amp;TableFields[Name]&amp;TableFields[Arg2]&amp;TableFields[Method1]&amp;TableFields[Method2]&amp;TableFields[Method3]&amp;TableFields[Method4]&amp;TableFields[Method5]&amp;";"</f>
        <v>$table-&gt;foreignCascade('partner', 'users');</v>
      </c>
    </row>
    <row r="10" spans="1:11" x14ac:dyDescent="0.25">
      <c r="A10" s="63" t="s">
        <v>804</v>
      </c>
      <c r="B10" s="63" t="s">
        <v>288</v>
      </c>
      <c r="C10" s="63" t="str">
        <f>VLOOKUP(TableFields[Field],Columns[],2,0)&amp;"("</f>
        <v>audit(</v>
      </c>
      <c r="D10" s="63" t="str">
        <f>IF(VLOOKUP(TableFields[Field],Columns[],3,0)&lt;&gt;"","'"&amp;VLOOKUP(TableFields[Field],Columns[],3,0)&amp;"'","")</f>
        <v/>
      </c>
      <c r="E10" s="62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0" s="63" t="str">
        <f>IF(VLOOKUP(TableFields[Field],Columns[],5,0)=0,"","-&gt;"&amp;VLOOKUP(TableFields[Field],Columns[],5,0))</f>
        <v/>
      </c>
      <c r="G10" s="63" t="str">
        <f>IF(VLOOKUP(TableFields[Field],Columns[],6,0)=0,"","-&gt;"&amp;VLOOKUP(TableFields[Field],Columns[],6,0))</f>
        <v/>
      </c>
      <c r="H10" s="63" t="str">
        <f>IF(VLOOKUP(TableFields[Field],Columns[],7,0)=0,"","-&gt;"&amp;VLOOKUP(TableFields[Field],Columns[],7,0))</f>
        <v/>
      </c>
      <c r="I10" s="63" t="str">
        <f>IF(VLOOKUP(TableFields[Field],Columns[],8,0)=0,"","-&gt;"&amp;VLOOKUP(TableFields[Field],Columns[],8,0))</f>
        <v/>
      </c>
      <c r="J10" s="63" t="str">
        <f>IF(VLOOKUP(TableFields[Field],Columns[],9,0)=0,"","-&gt;"&amp;VLOOKUP(TableFields[Field],Columns[],9,0))</f>
        <v/>
      </c>
      <c r="K10" s="63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11" spans="1:11" x14ac:dyDescent="0.25">
      <c r="A11" s="63" t="s">
        <v>1135</v>
      </c>
      <c r="B11" s="63" t="s">
        <v>21</v>
      </c>
      <c r="C11" s="63" t="str">
        <f>VLOOKUP(TableFields[Field],Columns[],2,0)&amp;"("</f>
        <v>bigIncrements(</v>
      </c>
      <c r="D11" s="63" t="str">
        <f>IF(VLOOKUP(TableFields[Field],Columns[],3,0)&lt;&gt;"","'"&amp;VLOOKUP(TableFields[Field],Columns[],3,0)&amp;"'","")</f>
        <v>'id'</v>
      </c>
      <c r="E11" s="62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1" s="63" t="str">
        <f>IF(VLOOKUP(TableFields[Field],Columns[],5,0)=0,"","-&gt;"&amp;VLOOKUP(TableFields[Field],Columns[],5,0))</f>
        <v/>
      </c>
      <c r="G11" s="63" t="str">
        <f>IF(VLOOKUP(TableFields[Field],Columns[],6,0)=0,"","-&gt;"&amp;VLOOKUP(TableFields[Field],Columns[],6,0))</f>
        <v/>
      </c>
      <c r="H11" s="63" t="str">
        <f>IF(VLOOKUP(TableFields[Field],Columns[],7,0)=0,"","-&gt;"&amp;VLOOKUP(TableFields[Field],Columns[],7,0))</f>
        <v/>
      </c>
      <c r="I11" s="63" t="str">
        <f>IF(VLOOKUP(TableFields[Field],Columns[],8,0)=0,"","-&gt;"&amp;VLOOKUP(TableFields[Field],Columns[],8,0))</f>
        <v/>
      </c>
      <c r="J11" s="63" t="str">
        <f>IF(VLOOKUP(TableFields[Field],Columns[],9,0)=0,"","-&gt;"&amp;VLOOKUP(TableFields[Field],Columns[],9,0))</f>
        <v/>
      </c>
      <c r="K11" s="63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12" spans="1:11" x14ac:dyDescent="0.25">
      <c r="A12" s="63" t="s">
        <v>1135</v>
      </c>
      <c r="B12" s="63" t="s">
        <v>23</v>
      </c>
      <c r="C12" s="63" t="str">
        <f>VLOOKUP(TableFields[Field],Columns[],2,0)&amp;"("</f>
        <v>string(</v>
      </c>
      <c r="D12" s="63" t="str">
        <f>IF(VLOOKUP(TableFields[Field],Columns[],3,0)&lt;&gt;"","'"&amp;VLOOKUP(TableFields[Field],Columns[],3,0)&amp;"'","")</f>
        <v>'name'</v>
      </c>
      <c r="E12" s="62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'128')</v>
      </c>
      <c r="F12" s="63" t="str">
        <f>IF(VLOOKUP(TableFields[Field],Columns[],5,0)=0,"","-&gt;"&amp;VLOOKUP(TableFields[Field],Columns[],5,0))</f>
        <v>-&gt;index()</v>
      </c>
      <c r="G12" s="63" t="str">
        <f>IF(VLOOKUP(TableFields[Field],Columns[],6,0)=0,"","-&gt;"&amp;VLOOKUP(TableFields[Field],Columns[],6,0))</f>
        <v>-&gt;nullable()</v>
      </c>
      <c r="H12" s="63" t="str">
        <f>IF(VLOOKUP(TableFields[Field],Columns[],7,0)=0,"","-&gt;"&amp;VLOOKUP(TableFields[Field],Columns[],7,0))</f>
        <v/>
      </c>
      <c r="I12" s="63" t="str">
        <f>IF(VLOOKUP(TableFields[Field],Columns[],8,0)=0,"","-&gt;"&amp;VLOOKUP(TableFields[Field],Columns[],8,0))</f>
        <v/>
      </c>
      <c r="J12" s="63" t="str">
        <f>IF(VLOOKUP(TableFields[Field],Columns[],9,0)=0,"","-&gt;"&amp;VLOOKUP(TableFields[Field],Columns[],9,0))</f>
        <v/>
      </c>
      <c r="K12" s="63" t="str">
        <f>"$table-&gt;"&amp;TableFields[Type]&amp;TableFields[Name]&amp;TableFields[Arg2]&amp;TableFields[Method1]&amp;TableFields[Method2]&amp;TableFields[Method3]&amp;TableFields[Method4]&amp;TableFields[Method5]&amp;";"</f>
        <v>$table-&gt;string('name', '128')-&gt;index()-&gt;nullable();</v>
      </c>
    </row>
    <row r="13" spans="1:11" x14ac:dyDescent="0.25">
      <c r="A13" s="63" t="s">
        <v>1135</v>
      </c>
      <c r="B13" s="63" t="s">
        <v>24</v>
      </c>
      <c r="C13" s="63" t="str">
        <f>VLOOKUP(TableFields[Field],Columns[],2,0)&amp;"("</f>
        <v>string(</v>
      </c>
      <c r="D13" s="63" t="str">
        <f>IF(VLOOKUP(TableFields[Field],Columns[],3,0)&lt;&gt;"","'"&amp;VLOOKUP(TableFields[Field],Columns[],3,0)&amp;"'","")</f>
        <v>'description'</v>
      </c>
      <c r="E13" s="62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'1024')</v>
      </c>
      <c r="F13" s="63" t="str">
        <f>IF(VLOOKUP(TableFields[Field],Columns[],5,0)=0,"","-&gt;"&amp;VLOOKUP(TableFields[Field],Columns[],5,0))</f>
        <v>-&gt;nullable()</v>
      </c>
      <c r="G13" s="63" t="str">
        <f>IF(VLOOKUP(TableFields[Field],Columns[],6,0)=0,"","-&gt;"&amp;VLOOKUP(TableFields[Field],Columns[],6,0))</f>
        <v/>
      </c>
      <c r="H13" s="63" t="str">
        <f>IF(VLOOKUP(TableFields[Field],Columns[],7,0)=0,"","-&gt;"&amp;VLOOKUP(TableFields[Field],Columns[],7,0))</f>
        <v/>
      </c>
      <c r="I13" s="63" t="str">
        <f>IF(VLOOKUP(TableFields[Field],Columns[],8,0)=0,"","-&gt;"&amp;VLOOKUP(TableFields[Field],Columns[],8,0))</f>
        <v/>
      </c>
      <c r="J13" s="63" t="str">
        <f>IF(VLOOKUP(TableFields[Field],Columns[],9,0)=0,"","-&gt;"&amp;VLOOKUP(TableFields[Field],Columns[],9,0))</f>
        <v/>
      </c>
      <c r="K13" s="63" t="str">
        <f>"$table-&gt;"&amp;TableFields[Type]&amp;TableFields[Name]&amp;TableFields[Arg2]&amp;TableFields[Method1]&amp;TableFields[Method2]&amp;TableFields[Method3]&amp;TableFields[Method4]&amp;TableFields[Method5]&amp;";"</f>
        <v>$table-&gt;string('description', '1024')-&gt;nullable();</v>
      </c>
    </row>
    <row r="14" spans="1:11" x14ac:dyDescent="0.25">
      <c r="A14" s="63" t="s">
        <v>1135</v>
      </c>
      <c r="B14" s="63" t="s">
        <v>288</v>
      </c>
      <c r="C14" s="63" t="str">
        <f>VLOOKUP(TableFields[Field],Columns[],2,0)&amp;"("</f>
        <v>audit(</v>
      </c>
      <c r="D14" s="63" t="str">
        <f>IF(VLOOKUP(TableFields[Field],Columns[],3,0)&lt;&gt;"","'"&amp;VLOOKUP(TableFields[Field],Columns[],3,0)&amp;"'","")</f>
        <v/>
      </c>
      <c r="E14" s="62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4" s="63" t="str">
        <f>IF(VLOOKUP(TableFields[Field],Columns[],5,0)=0,"","-&gt;"&amp;VLOOKUP(TableFields[Field],Columns[],5,0))</f>
        <v/>
      </c>
      <c r="G14" s="63" t="str">
        <f>IF(VLOOKUP(TableFields[Field],Columns[],6,0)=0,"","-&gt;"&amp;VLOOKUP(TableFields[Field],Columns[],6,0))</f>
        <v/>
      </c>
      <c r="H14" s="63" t="str">
        <f>IF(VLOOKUP(TableFields[Field],Columns[],7,0)=0,"","-&gt;"&amp;VLOOKUP(TableFields[Field],Columns[],7,0))</f>
        <v/>
      </c>
      <c r="I14" s="63" t="str">
        <f>IF(VLOOKUP(TableFields[Field],Columns[],8,0)=0,"","-&gt;"&amp;VLOOKUP(TableFields[Field],Columns[],8,0))</f>
        <v/>
      </c>
      <c r="J14" s="63" t="str">
        <f>IF(VLOOKUP(TableFields[Field],Columns[],9,0)=0,"","-&gt;"&amp;VLOOKUP(TableFields[Field],Columns[],9,0))</f>
        <v/>
      </c>
      <c r="K14" s="63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15" spans="1:11" x14ac:dyDescent="0.25">
      <c r="A15" s="63" t="s">
        <v>802</v>
      </c>
      <c r="B15" s="63" t="s">
        <v>21</v>
      </c>
      <c r="C15" s="63" t="str">
        <f>VLOOKUP(TableFields[Field],Columns[],2,0)&amp;"("</f>
        <v>bigIncrements(</v>
      </c>
      <c r="D15" s="63" t="str">
        <f>IF(VLOOKUP(TableFields[Field],Columns[],3,0)&lt;&gt;"","'"&amp;VLOOKUP(TableFields[Field],Columns[],3,0)&amp;"'","")</f>
        <v>'id'</v>
      </c>
      <c r="E15" s="62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5" s="63" t="str">
        <f>IF(VLOOKUP(TableFields[Field],Columns[],5,0)=0,"","-&gt;"&amp;VLOOKUP(TableFields[Field],Columns[],5,0))</f>
        <v/>
      </c>
      <c r="G15" s="63" t="str">
        <f>IF(VLOOKUP(TableFields[Field],Columns[],6,0)=0,"","-&gt;"&amp;VLOOKUP(TableFields[Field],Columns[],6,0))</f>
        <v/>
      </c>
      <c r="H15" s="63" t="str">
        <f>IF(VLOOKUP(TableFields[Field],Columns[],7,0)=0,"","-&gt;"&amp;VLOOKUP(TableFields[Field],Columns[],7,0))</f>
        <v/>
      </c>
      <c r="I15" s="63" t="str">
        <f>IF(VLOOKUP(TableFields[Field],Columns[],8,0)=0,"","-&gt;"&amp;VLOOKUP(TableFields[Field],Columns[],8,0))</f>
        <v/>
      </c>
      <c r="J15" s="63" t="str">
        <f>IF(VLOOKUP(TableFields[Field],Columns[],9,0)=0,"","-&gt;"&amp;VLOOKUP(TableFields[Field],Columns[],9,0))</f>
        <v/>
      </c>
      <c r="K15" s="63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16" spans="1:11" x14ac:dyDescent="0.25">
      <c r="A16" s="63" t="s">
        <v>802</v>
      </c>
      <c r="B16" s="63" t="s">
        <v>23</v>
      </c>
      <c r="C16" s="63" t="str">
        <f>VLOOKUP(TableFields[Field],Columns[],2,0)&amp;"("</f>
        <v>string(</v>
      </c>
      <c r="D16" s="63" t="str">
        <f>IF(VLOOKUP(TableFields[Field],Columns[],3,0)&lt;&gt;"","'"&amp;VLOOKUP(TableFields[Field],Columns[],3,0)&amp;"'","")</f>
        <v>'name'</v>
      </c>
      <c r="E16" s="62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'128')</v>
      </c>
      <c r="F16" s="63" t="str">
        <f>IF(VLOOKUP(TableFields[Field],Columns[],5,0)=0,"","-&gt;"&amp;VLOOKUP(TableFields[Field],Columns[],5,0))</f>
        <v>-&gt;index()</v>
      </c>
      <c r="G16" s="63" t="str">
        <f>IF(VLOOKUP(TableFields[Field],Columns[],6,0)=0,"","-&gt;"&amp;VLOOKUP(TableFields[Field],Columns[],6,0))</f>
        <v>-&gt;nullable()</v>
      </c>
      <c r="H16" s="63" t="str">
        <f>IF(VLOOKUP(TableFields[Field],Columns[],7,0)=0,"","-&gt;"&amp;VLOOKUP(TableFields[Field],Columns[],7,0))</f>
        <v/>
      </c>
      <c r="I16" s="63" t="str">
        <f>IF(VLOOKUP(TableFields[Field],Columns[],8,0)=0,"","-&gt;"&amp;VLOOKUP(TableFields[Field],Columns[],8,0))</f>
        <v/>
      </c>
      <c r="J16" s="63" t="str">
        <f>IF(VLOOKUP(TableFields[Field],Columns[],9,0)=0,"","-&gt;"&amp;VLOOKUP(TableFields[Field],Columns[],9,0))</f>
        <v/>
      </c>
      <c r="K16" s="63" t="str">
        <f>"$table-&gt;"&amp;TableFields[Type]&amp;TableFields[Name]&amp;TableFields[Arg2]&amp;TableFields[Method1]&amp;TableFields[Method2]&amp;TableFields[Method3]&amp;TableFields[Method4]&amp;TableFields[Method5]&amp;";"</f>
        <v>$table-&gt;string('name', '128')-&gt;index()-&gt;nullable();</v>
      </c>
    </row>
    <row r="17" spans="1:11" x14ac:dyDescent="0.25">
      <c r="A17" s="63" t="s">
        <v>802</v>
      </c>
      <c r="B17" s="63" t="s">
        <v>24</v>
      </c>
      <c r="C17" s="63" t="str">
        <f>VLOOKUP(TableFields[Field],Columns[],2,0)&amp;"("</f>
        <v>string(</v>
      </c>
      <c r="D17" s="63" t="str">
        <f>IF(VLOOKUP(TableFields[Field],Columns[],3,0)&lt;&gt;"","'"&amp;VLOOKUP(TableFields[Field],Columns[],3,0)&amp;"'","")</f>
        <v>'description'</v>
      </c>
      <c r="E17" s="62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'1024')</v>
      </c>
      <c r="F17" s="63" t="str">
        <f>IF(VLOOKUP(TableFields[Field],Columns[],5,0)=0,"","-&gt;"&amp;VLOOKUP(TableFields[Field],Columns[],5,0))</f>
        <v>-&gt;nullable()</v>
      </c>
      <c r="G17" s="63" t="str">
        <f>IF(VLOOKUP(TableFields[Field],Columns[],6,0)=0,"","-&gt;"&amp;VLOOKUP(TableFields[Field],Columns[],6,0))</f>
        <v/>
      </c>
      <c r="H17" s="63" t="str">
        <f>IF(VLOOKUP(TableFields[Field],Columns[],7,0)=0,"","-&gt;"&amp;VLOOKUP(TableFields[Field],Columns[],7,0))</f>
        <v/>
      </c>
      <c r="I17" s="63" t="str">
        <f>IF(VLOOKUP(TableFields[Field],Columns[],8,0)=0,"","-&gt;"&amp;VLOOKUP(TableFields[Field],Columns[],8,0))</f>
        <v/>
      </c>
      <c r="J17" s="63" t="str">
        <f>IF(VLOOKUP(TableFields[Field],Columns[],9,0)=0,"","-&gt;"&amp;VLOOKUP(TableFields[Field],Columns[],9,0))</f>
        <v/>
      </c>
      <c r="K17" s="63" t="str">
        <f>"$table-&gt;"&amp;TableFields[Type]&amp;TableFields[Name]&amp;TableFields[Arg2]&amp;TableFields[Method1]&amp;TableFields[Method2]&amp;TableFields[Method3]&amp;TableFields[Method4]&amp;TableFields[Method5]&amp;";"</f>
        <v>$table-&gt;string('description', '1024')-&gt;nullable();</v>
      </c>
    </row>
    <row r="18" spans="1:11" x14ac:dyDescent="0.25">
      <c r="A18" s="63" t="s">
        <v>802</v>
      </c>
      <c r="B18" s="63" t="s">
        <v>817</v>
      </c>
      <c r="C18" s="63" t="str">
        <f>VLOOKUP(TableFields[Field],Columns[],2,0)&amp;"("</f>
        <v>foreignNullable(</v>
      </c>
      <c r="D18" s="63" t="str">
        <f>IF(VLOOKUP(TableFields[Field],Columns[],3,0)&lt;&gt;"","'"&amp;VLOOKUP(TableFields[Field],Columns[],3,0)&amp;"'","")</f>
        <v>'parent'</v>
      </c>
      <c r="E18" s="62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'tasks')</v>
      </c>
      <c r="F18" s="63" t="str">
        <f>IF(VLOOKUP(TableFields[Field],Columns[],5,0)=0,"","-&gt;"&amp;VLOOKUP(TableFields[Field],Columns[],5,0))</f>
        <v/>
      </c>
      <c r="G18" s="63" t="str">
        <f>IF(VLOOKUP(TableFields[Field],Columns[],6,0)=0,"","-&gt;"&amp;VLOOKUP(TableFields[Field],Columns[],6,0))</f>
        <v/>
      </c>
      <c r="H18" s="63" t="str">
        <f>IF(VLOOKUP(TableFields[Field],Columns[],7,0)=0,"","-&gt;"&amp;VLOOKUP(TableFields[Field],Columns[],7,0))</f>
        <v/>
      </c>
      <c r="I18" s="63" t="str">
        <f>IF(VLOOKUP(TableFields[Field],Columns[],8,0)=0,"","-&gt;"&amp;VLOOKUP(TableFields[Field],Columns[],8,0))</f>
        <v/>
      </c>
      <c r="J18" s="63" t="str">
        <f>IF(VLOOKUP(TableFields[Field],Columns[],9,0)=0,"","-&gt;"&amp;VLOOKUP(TableFields[Field],Columns[],9,0))</f>
        <v/>
      </c>
      <c r="K18" s="63" t="str">
        <f>"$table-&gt;"&amp;TableFields[Type]&amp;TableFields[Name]&amp;TableFields[Arg2]&amp;TableFields[Method1]&amp;TableFields[Method2]&amp;TableFields[Method3]&amp;TableFields[Method4]&amp;TableFields[Method5]&amp;";"</f>
        <v>$table-&gt;foreignNullable('parent', 'tasks');</v>
      </c>
    </row>
    <row r="19" spans="1:11" x14ac:dyDescent="0.25">
      <c r="A19" s="63" t="s">
        <v>802</v>
      </c>
      <c r="B19" s="63" t="s">
        <v>825</v>
      </c>
      <c r="C19" s="63" t="str">
        <f>VLOOKUP(TableFields[Field],Columns[],2,0)&amp;"("</f>
        <v>enum(</v>
      </c>
      <c r="D19" s="63" t="str">
        <f>IF(VLOOKUP(TableFields[Field],Columns[],3,0)&lt;&gt;"","'"&amp;VLOOKUP(TableFields[Field],Columns[],3,0)&amp;"'","")</f>
        <v>'returnable'</v>
      </c>
      <c r="E19" s="62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['No','Yes'])</v>
      </c>
      <c r="F19" s="63" t="str">
        <f>IF(VLOOKUP(TableFields[Field],Columns[],5,0)=0,"","-&gt;"&amp;VLOOKUP(TableFields[Field],Columns[],5,0))</f>
        <v>-&gt;nullable()</v>
      </c>
      <c r="G19" s="63" t="str">
        <f>IF(VLOOKUP(TableFields[Field],Columns[],6,0)=0,"","-&gt;"&amp;VLOOKUP(TableFields[Field],Columns[],6,0))</f>
        <v>-&gt;default('No')</v>
      </c>
      <c r="H19" s="63" t="str">
        <f>IF(VLOOKUP(TableFields[Field],Columns[],7,0)=0,"","-&gt;"&amp;VLOOKUP(TableFields[Field],Columns[],7,0))</f>
        <v/>
      </c>
      <c r="I19" s="63" t="str">
        <f>IF(VLOOKUP(TableFields[Field],Columns[],8,0)=0,"","-&gt;"&amp;VLOOKUP(TableFields[Field],Columns[],8,0))</f>
        <v/>
      </c>
      <c r="J19" s="63" t="str">
        <f>IF(VLOOKUP(TableFields[Field],Columns[],9,0)=0,"","-&gt;"&amp;VLOOKUP(TableFields[Field],Columns[],9,0))</f>
        <v/>
      </c>
      <c r="K19" s="63" t="str">
        <f>"$table-&gt;"&amp;TableFields[Type]&amp;TableFields[Name]&amp;TableFields[Arg2]&amp;TableFields[Method1]&amp;TableFields[Method2]&amp;TableFields[Method3]&amp;TableFields[Method4]&amp;TableFields[Method5]&amp;";"</f>
        <v>$table-&gt;enum('returnable', ['No','Yes'])-&gt;nullable()-&gt;default('No');</v>
      </c>
    </row>
    <row r="20" spans="1:11" x14ac:dyDescent="0.25">
      <c r="A20" s="63" t="s">
        <v>802</v>
      </c>
      <c r="B20" s="63" t="s">
        <v>826</v>
      </c>
      <c r="C20" s="63" t="str">
        <f>VLOOKUP(TableFields[Field],Columns[],2,0)&amp;"("</f>
        <v>enum(</v>
      </c>
      <c r="D20" s="63" t="str">
        <f>IF(VLOOKUP(TableFields[Field],Columns[],3,0)&lt;&gt;"","'"&amp;VLOOKUP(TableFields[Field],Columns[],3,0)&amp;"'","")</f>
        <v>'dismissable'</v>
      </c>
      <c r="E20" s="62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['No','Yes'])</v>
      </c>
      <c r="F20" s="63" t="str">
        <f>IF(VLOOKUP(TableFields[Field],Columns[],5,0)=0,"","-&gt;"&amp;VLOOKUP(TableFields[Field],Columns[],5,0))</f>
        <v>-&gt;nullable()</v>
      </c>
      <c r="G20" s="63" t="str">
        <f>IF(VLOOKUP(TableFields[Field],Columns[],6,0)=0,"","-&gt;"&amp;VLOOKUP(TableFields[Field],Columns[],6,0))</f>
        <v>-&gt;default('No')</v>
      </c>
      <c r="H20" s="63" t="str">
        <f>IF(VLOOKUP(TableFields[Field],Columns[],7,0)=0,"","-&gt;"&amp;VLOOKUP(TableFields[Field],Columns[],7,0))</f>
        <v/>
      </c>
      <c r="I20" s="63" t="str">
        <f>IF(VLOOKUP(TableFields[Field],Columns[],8,0)=0,"","-&gt;"&amp;VLOOKUP(TableFields[Field],Columns[],8,0))</f>
        <v/>
      </c>
      <c r="J20" s="63" t="str">
        <f>IF(VLOOKUP(TableFields[Field],Columns[],9,0)=0,"","-&gt;"&amp;VLOOKUP(TableFields[Field],Columns[],9,0))</f>
        <v/>
      </c>
      <c r="K20" s="63" t="str">
        <f>"$table-&gt;"&amp;TableFields[Type]&amp;TableFields[Name]&amp;TableFields[Arg2]&amp;TableFields[Method1]&amp;TableFields[Method2]&amp;TableFields[Method3]&amp;TableFields[Method4]&amp;TableFields[Method5]&amp;";"</f>
        <v>$table-&gt;enum('dismissable', ['No','Yes'])-&gt;nullable()-&gt;default('No');</v>
      </c>
    </row>
    <row r="21" spans="1:11" x14ac:dyDescent="0.25">
      <c r="A21" s="63" t="s">
        <v>802</v>
      </c>
      <c r="B21" s="63" t="s">
        <v>827</v>
      </c>
      <c r="C21" s="63" t="str">
        <f>VLOOKUP(TableFields[Field],Columns[],2,0)&amp;"("</f>
        <v>enum(</v>
      </c>
      <c r="D21" s="63" t="str">
        <f>IF(VLOOKUP(TableFields[Field],Columns[],3,0)&lt;&gt;"","'"&amp;VLOOKUP(TableFields[Field],Columns[],3,0)&amp;"'","")</f>
        <v>'editable'</v>
      </c>
      <c r="E21" s="62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['No','Yes'])</v>
      </c>
      <c r="F21" s="63" t="str">
        <f>IF(VLOOKUP(TableFields[Field],Columns[],5,0)=0,"","-&gt;"&amp;VLOOKUP(TableFields[Field],Columns[],5,0))</f>
        <v>-&gt;nullable()</v>
      </c>
      <c r="G21" s="63" t="str">
        <f>IF(VLOOKUP(TableFields[Field],Columns[],6,0)=0,"","-&gt;"&amp;VLOOKUP(TableFields[Field],Columns[],6,0))</f>
        <v>-&gt;default('No')</v>
      </c>
      <c r="H21" s="63" t="str">
        <f>IF(VLOOKUP(TableFields[Field],Columns[],7,0)=0,"","-&gt;"&amp;VLOOKUP(TableFields[Field],Columns[],7,0))</f>
        <v/>
      </c>
      <c r="I21" s="63" t="str">
        <f>IF(VLOOKUP(TableFields[Field],Columns[],8,0)=0,"","-&gt;"&amp;VLOOKUP(TableFields[Field],Columns[],8,0))</f>
        <v/>
      </c>
      <c r="J21" s="63" t="str">
        <f>IF(VLOOKUP(TableFields[Field],Columns[],9,0)=0,"","-&gt;"&amp;VLOOKUP(TableFields[Field],Columns[],9,0))</f>
        <v/>
      </c>
      <c r="K21" s="63" t="str">
        <f>"$table-&gt;"&amp;TableFields[Type]&amp;TableFields[Name]&amp;TableFields[Arg2]&amp;TableFields[Method1]&amp;TableFields[Method2]&amp;TableFields[Method3]&amp;TableFields[Method4]&amp;TableFields[Method5]&amp;";"</f>
        <v>$table-&gt;enum('editable', ['No','Yes'])-&gt;nullable()-&gt;default('No');</v>
      </c>
    </row>
    <row r="22" spans="1:11" x14ac:dyDescent="0.25">
      <c r="A22" s="63" t="s">
        <v>802</v>
      </c>
      <c r="B22" s="63" t="s">
        <v>829</v>
      </c>
      <c r="C22" s="63" t="str">
        <f>VLOOKUP(TableFields[Field],Columns[],2,0)&amp;"("</f>
        <v>tinyInteger(</v>
      </c>
      <c r="D22" s="63" t="str">
        <f>IF(VLOOKUP(TableFields[Field],Columns[],3,0)&lt;&gt;"","'"&amp;VLOOKUP(TableFields[Field],Columns[],3,0)&amp;"'","")</f>
        <v>'weightage'</v>
      </c>
      <c r="E22" s="62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2" s="63" t="str">
        <f>IF(VLOOKUP(TableFields[Field],Columns[],5,0)=0,"","-&gt;"&amp;VLOOKUP(TableFields[Field],Columns[],5,0))</f>
        <v>-&gt;default('100')</v>
      </c>
      <c r="G22" s="63" t="str">
        <f>IF(VLOOKUP(TableFields[Field],Columns[],6,0)=0,"","-&gt;"&amp;VLOOKUP(TableFields[Field],Columns[],6,0))</f>
        <v/>
      </c>
      <c r="H22" s="63" t="str">
        <f>IF(VLOOKUP(TableFields[Field],Columns[],7,0)=0,"","-&gt;"&amp;VLOOKUP(TableFields[Field],Columns[],7,0))</f>
        <v/>
      </c>
      <c r="I22" s="63" t="str">
        <f>IF(VLOOKUP(TableFields[Field],Columns[],8,0)=0,"","-&gt;"&amp;VLOOKUP(TableFields[Field],Columns[],8,0))</f>
        <v/>
      </c>
      <c r="J22" s="63" t="str">
        <f>IF(VLOOKUP(TableFields[Field],Columns[],9,0)=0,"","-&gt;"&amp;VLOOKUP(TableFields[Field],Columns[],9,0))</f>
        <v/>
      </c>
      <c r="K22" s="63" t="str">
        <f>"$table-&gt;"&amp;TableFields[Type]&amp;TableFields[Name]&amp;TableFields[Arg2]&amp;TableFields[Method1]&amp;TableFields[Method2]&amp;TableFields[Method3]&amp;TableFields[Method4]&amp;TableFields[Method5]&amp;";"</f>
        <v>$table-&gt;tinyInteger('weightage')-&gt;default('100');</v>
      </c>
    </row>
    <row r="23" spans="1:11" x14ac:dyDescent="0.25">
      <c r="A23" s="63" t="s">
        <v>802</v>
      </c>
      <c r="B23" s="63" t="s">
        <v>832</v>
      </c>
      <c r="C23" s="63" t="str">
        <f>VLOOKUP(TableFields[Field],Columns[],2,0)&amp;"("</f>
        <v>enum(</v>
      </c>
      <c r="D23" s="63" t="str">
        <f>IF(VLOOKUP(TableFields[Field],Columns[],3,0)&lt;&gt;"","'"&amp;VLOOKUP(TableFields[Field],Columns[],3,0)&amp;"'","")</f>
        <v>'completion'</v>
      </c>
      <c r="E23" s="62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['Description','Attachment','Sub Task'])</v>
      </c>
      <c r="F23" s="63" t="str">
        <f>IF(VLOOKUP(TableFields[Field],Columns[],5,0)=0,"","-&gt;"&amp;VLOOKUP(TableFields[Field],Columns[],5,0))</f>
        <v>-&gt;nullable()</v>
      </c>
      <c r="G23" s="63" t="str">
        <f>IF(VLOOKUP(TableFields[Field],Columns[],6,0)=0,"","-&gt;"&amp;VLOOKUP(TableFields[Field],Columns[],6,0))</f>
        <v>-&gt;default('Description')</v>
      </c>
      <c r="H23" s="63" t="str">
        <f>IF(VLOOKUP(TableFields[Field],Columns[],7,0)=0,"","-&gt;"&amp;VLOOKUP(TableFields[Field],Columns[],7,0))</f>
        <v/>
      </c>
      <c r="I23" s="63" t="str">
        <f>IF(VLOOKUP(TableFields[Field],Columns[],8,0)=0,"","-&gt;"&amp;VLOOKUP(TableFields[Field],Columns[],8,0))</f>
        <v/>
      </c>
      <c r="J23" s="63" t="str">
        <f>IF(VLOOKUP(TableFields[Field],Columns[],9,0)=0,"","-&gt;"&amp;VLOOKUP(TableFields[Field],Columns[],9,0))</f>
        <v/>
      </c>
      <c r="K23" s="63" t="str">
        <f>"$table-&gt;"&amp;TableFields[Type]&amp;TableFields[Name]&amp;TableFields[Arg2]&amp;TableFields[Method1]&amp;TableFields[Method2]&amp;TableFields[Method3]&amp;TableFields[Method4]&amp;TableFields[Method5]&amp;";"</f>
        <v>$table-&gt;enum('completion', ['Description','Attachment','Sub Task'])-&gt;nullable()-&gt;default('Description');</v>
      </c>
    </row>
    <row r="24" spans="1:11" x14ac:dyDescent="0.25">
      <c r="A24" s="63" t="s">
        <v>802</v>
      </c>
      <c r="B24" s="63" t="s">
        <v>841</v>
      </c>
      <c r="C24" s="63" t="str">
        <f>VLOOKUP(TableFields[Field],Columns[],2,0)&amp;"("</f>
        <v>foreignNullable(</v>
      </c>
      <c r="D24" s="63" t="str">
        <f>IF(VLOOKUP(TableFields[Field],Columns[],3,0)&lt;&gt;"","'"&amp;VLOOKUP(TableFields[Field],Columns[],3,0)&amp;"'","")</f>
        <v>'assign'</v>
      </c>
      <c r="E24" s="62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'groups')</v>
      </c>
      <c r="F24" s="63" t="str">
        <f>IF(VLOOKUP(TableFields[Field],Columns[],5,0)=0,"","-&gt;"&amp;VLOOKUP(TableFields[Field],Columns[],5,0))</f>
        <v/>
      </c>
      <c r="G24" s="63" t="str">
        <f>IF(VLOOKUP(TableFields[Field],Columns[],6,0)=0,"","-&gt;"&amp;VLOOKUP(TableFields[Field],Columns[],6,0))</f>
        <v/>
      </c>
      <c r="H24" s="63" t="str">
        <f>IF(VLOOKUP(TableFields[Field],Columns[],7,0)=0,"","-&gt;"&amp;VLOOKUP(TableFields[Field],Columns[],7,0))</f>
        <v/>
      </c>
      <c r="I24" s="63" t="str">
        <f>IF(VLOOKUP(TableFields[Field],Columns[],8,0)=0,"","-&gt;"&amp;VLOOKUP(TableFields[Field],Columns[],8,0))</f>
        <v/>
      </c>
      <c r="J24" s="63" t="str">
        <f>IF(VLOOKUP(TableFields[Field],Columns[],9,0)=0,"","-&gt;"&amp;VLOOKUP(TableFields[Field],Columns[],9,0))</f>
        <v/>
      </c>
      <c r="K24" s="63" t="str">
        <f>"$table-&gt;"&amp;TableFields[Type]&amp;TableFields[Name]&amp;TableFields[Arg2]&amp;TableFields[Method1]&amp;TableFields[Method2]&amp;TableFields[Method3]&amp;TableFields[Method4]&amp;TableFields[Method5]&amp;";"</f>
        <v>$table-&gt;foreignNullable('assign', 'groups');</v>
      </c>
    </row>
    <row r="25" spans="1:11" x14ac:dyDescent="0.25">
      <c r="A25" s="63" t="s">
        <v>802</v>
      </c>
      <c r="B25" s="63" t="s">
        <v>809</v>
      </c>
      <c r="C25" s="63" t="str">
        <f>VLOOKUP(TableFields[Field],Columns[],2,0)&amp;"("</f>
        <v>enum(</v>
      </c>
      <c r="D25" s="63" t="str">
        <f>IF(VLOOKUP(TableFields[Field],Columns[],3,0)&lt;&gt;"","'"&amp;VLOOKUP(TableFields[Field],Columns[],3,0)&amp;"'","")</f>
        <v>'status'</v>
      </c>
      <c r="E25" s="62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25" s="63" t="str">
        <f>IF(VLOOKUP(TableFields[Field],Columns[],5,0)=0,"","-&gt;"&amp;VLOOKUP(TableFields[Field],Columns[],5,0))</f>
        <v>-&gt;nullable()</v>
      </c>
      <c r="G25" s="63" t="str">
        <f>IF(VLOOKUP(TableFields[Field],Columns[],6,0)=0,"","-&gt;"&amp;VLOOKUP(TableFields[Field],Columns[],6,0))</f>
        <v>-&gt;default('Active')</v>
      </c>
      <c r="H25" s="63" t="str">
        <f>IF(VLOOKUP(TableFields[Field],Columns[],7,0)=0,"","-&gt;"&amp;VLOOKUP(TableFields[Field],Columns[],7,0))</f>
        <v/>
      </c>
      <c r="I25" s="63" t="str">
        <f>IF(VLOOKUP(TableFields[Field],Columns[],8,0)=0,"","-&gt;"&amp;VLOOKUP(TableFields[Field],Columns[],8,0))</f>
        <v/>
      </c>
      <c r="J25" s="63" t="str">
        <f>IF(VLOOKUP(TableFields[Field],Columns[],9,0)=0,"","-&gt;"&amp;VLOOKUP(TableFields[Field],Columns[],9,0))</f>
        <v/>
      </c>
      <c r="K25" s="63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26" spans="1:11" x14ac:dyDescent="0.25">
      <c r="A26" s="63" t="s">
        <v>802</v>
      </c>
      <c r="B26" s="63" t="s">
        <v>288</v>
      </c>
      <c r="C26" s="63" t="str">
        <f>VLOOKUP(TableFields[Field],Columns[],2,0)&amp;"("</f>
        <v>audit(</v>
      </c>
      <c r="D26" s="63" t="str">
        <f>IF(VLOOKUP(TableFields[Field],Columns[],3,0)&lt;&gt;"","'"&amp;VLOOKUP(TableFields[Field],Columns[],3,0)&amp;"'","")</f>
        <v/>
      </c>
      <c r="E26" s="62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6" s="63" t="str">
        <f>IF(VLOOKUP(TableFields[Field],Columns[],5,0)=0,"","-&gt;"&amp;VLOOKUP(TableFields[Field],Columns[],5,0))</f>
        <v/>
      </c>
      <c r="G26" s="63" t="str">
        <f>IF(VLOOKUP(TableFields[Field],Columns[],6,0)=0,"","-&gt;"&amp;VLOOKUP(TableFields[Field],Columns[],6,0))</f>
        <v/>
      </c>
      <c r="H26" s="63" t="str">
        <f>IF(VLOOKUP(TableFields[Field],Columns[],7,0)=0,"","-&gt;"&amp;VLOOKUP(TableFields[Field],Columns[],7,0))</f>
        <v/>
      </c>
      <c r="I26" s="63" t="str">
        <f>IF(VLOOKUP(TableFields[Field],Columns[],8,0)=0,"","-&gt;"&amp;VLOOKUP(TableFields[Field],Columns[],8,0))</f>
        <v/>
      </c>
      <c r="J26" s="63" t="str">
        <f>IF(VLOOKUP(TableFields[Field],Columns[],9,0)=0,"","-&gt;"&amp;VLOOKUP(TableFields[Field],Columns[],9,0))</f>
        <v/>
      </c>
      <c r="K26" s="63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27" spans="1:11" x14ac:dyDescent="0.25">
      <c r="A27" s="63" t="s">
        <v>805</v>
      </c>
      <c r="B27" s="63" t="s">
        <v>21</v>
      </c>
      <c r="C27" s="63" t="str">
        <f>VLOOKUP(TableFields[Field],Columns[],2,0)&amp;"("</f>
        <v>bigIncrements(</v>
      </c>
      <c r="D27" s="63" t="str">
        <f>IF(VLOOKUP(TableFields[Field],Columns[],3,0)&lt;&gt;"","'"&amp;VLOOKUP(TableFields[Field],Columns[],3,0)&amp;"'","")</f>
        <v>'id'</v>
      </c>
      <c r="E27" s="62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7" s="63" t="str">
        <f>IF(VLOOKUP(TableFields[Field],Columns[],5,0)=0,"","-&gt;"&amp;VLOOKUP(TableFields[Field],Columns[],5,0))</f>
        <v/>
      </c>
      <c r="G27" s="63" t="str">
        <f>IF(VLOOKUP(TableFields[Field],Columns[],6,0)=0,"","-&gt;"&amp;VLOOKUP(TableFields[Field],Columns[],6,0))</f>
        <v/>
      </c>
      <c r="H27" s="63" t="str">
        <f>IF(VLOOKUP(TableFields[Field],Columns[],7,0)=0,"","-&gt;"&amp;VLOOKUP(TableFields[Field],Columns[],7,0))</f>
        <v/>
      </c>
      <c r="I27" s="63" t="str">
        <f>IF(VLOOKUP(TableFields[Field],Columns[],8,0)=0,"","-&gt;"&amp;VLOOKUP(TableFields[Field],Columns[],8,0))</f>
        <v/>
      </c>
      <c r="J27" s="63" t="str">
        <f>IF(VLOOKUP(TableFields[Field],Columns[],9,0)=0,"","-&gt;"&amp;VLOOKUP(TableFields[Field],Columns[],9,0))</f>
        <v/>
      </c>
      <c r="K27" s="63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28" spans="1:11" x14ac:dyDescent="0.25">
      <c r="A28" s="63" t="s">
        <v>805</v>
      </c>
      <c r="B28" s="63" t="s">
        <v>815</v>
      </c>
      <c r="C28" s="63" t="str">
        <f>VLOOKUP(TableFields[Field],Columns[],2,0)&amp;"("</f>
        <v>foreignCascade(</v>
      </c>
      <c r="D28" s="63" t="str">
        <f>IF(VLOOKUP(TableFields[Field],Columns[],3,0)&lt;&gt;"","'"&amp;VLOOKUP(TableFields[Field],Columns[],3,0)&amp;"'","")</f>
        <v>'partner'</v>
      </c>
      <c r="E28" s="62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'users')</v>
      </c>
      <c r="F28" s="63" t="str">
        <f>IF(VLOOKUP(TableFields[Field],Columns[],5,0)=0,"","-&gt;"&amp;VLOOKUP(TableFields[Field],Columns[],5,0))</f>
        <v/>
      </c>
      <c r="G28" s="63" t="str">
        <f>IF(VLOOKUP(TableFields[Field],Columns[],6,0)=0,"","-&gt;"&amp;VLOOKUP(TableFields[Field],Columns[],6,0))</f>
        <v/>
      </c>
      <c r="H28" s="63" t="str">
        <f>IF(VLOOKUP(TableFields[Field],Columns[],7,0)=0,"","-&gt;"&amp;VLOOKUP(TableFields[Field],Columns[],7,0))</f>
        <v/>
      </c>
      <c r="I28" s="63" t="str">
        <f>IF(VLOOKUP(TableFields[Field],Columns[],8,0)=0,"","-&gt;"&amp;VLOOKUP(TableFields[Field],Columns[],8,0))</f>
        <v/>
      </c>
      <c r="J28" s="63" t="str">
        <f>IF(VLOOKUP(TableFields[Field],Columns[],9,0)=0,"","-&gt;"&amp;VLOOKUP(TableFields[Field],Columns[],9,0))</f>
        <v/>
      </c>
      <c r="K28" s="63" t="str">
        <f>"$table-&gt;"&amp;TableFields[Type]&amp;TableFields[Name]&amp;TableFields[Arg2]&amp;TableFields[Method1]&amp;TableFields[Method2]&amp;TableFields[Method3]&amp;TableFields[Method4]&amp;TableFields[Method5]&amp;";"</f>
        <v>$table-&gt;foreignCascade('partner', 'users');</v>
      </c>
    </row>
    <row r="29" spans="1:11" x14ac:dyDescent="0.25">
      <c r="A29" s="63" t="s">
        <v>805</v>
      </c>
      <c r="B29" s="63" t="s">
        <v>835</v>
      </c>
      <c r="C29" s="63" t="str">
        <f>VLOOKUP(TableFields[Field],Columns[],2,0)&amp;"("</f>
        <v>foreignCascade(</v>
      </c>
      <c r="D29" s="63" t="str">
        <f>IF(VLOOKUP(TableFields[Field],Columns[],3,0)&lt;&gt;"","'"&amp;VLOOKUP(TableFields[Field],Columns[],3,0)&amp;"'","")</f>
        <v>'task'</v>
      </c>
      <c r="E29" s="62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'tasks')</v>
      </c>
      <c r="F29" s="63" t="str">
        <f>IF(VLOOKUP(TableFields[Field],Columns[],5,0)=0,"","-&gt;"&amp;VLOOKUP(TableFields[Field],Columns[],5,0))</f>
        <v/>
      </c>
      <c r="G29" s="63" t="str">
        <f>IF(VLOOKUP(TableFields[Field],Columns[],6,0)=0,"","-&gt;"&amp;VLOOKUP(TableFields[Field],Columns[],6,0))</f>
        <v/>
      </c>
      <c r="H29" s="63" t="str">
        <f>IF(VLOOKUP(TableFields[Field],Columns[],7,0)=0,"","-&gt;"&amp;VLOOKUP(TableFields[Field],Columns[],7,0))</f>
        <v/>
      </c>
      <c r="I29" s="63" t="str">
        <f>IF(VLOOKUP(TableFields[Field],Columns[],8,0)=0,"","-&gt;"&amp;VLOOKUP(TableFields[Field],Columns[],8,0))</f>
        <v/>
      </c>
      <c r="J29" s="63" t="str">
        <f>IF(VLOOKUP(TableFields[Field],Columns[],9,0)=0,"","-&gt;"&amp;VLOOKUP(TableFields[Field],Columns[],9,0))</f>
        <v/>
      </c>
      <c r="K29" s="63" t="str">
        <f>"$table-&gt;"&amp;TableFields[Type]&amp;TableFields[Name]&amp;TableFields[Arg2]&amp;TableFields[Method1]&amp;TableFields[Method2]&amp;TableFields[Method3]&amp;TableFields[Method4]&amp;TableFields[Method5]&amp;";"</f>
        <v>$table-&gt;foreignCascade('task', 'tasks');</v>
      </c>
    </row>
    <row r="30" spans="1:11" x14ac:dyDescent="0.25">
      <c r="A30" s="63" t="s">
        <v>805</v>
      </c>
      <c r="B30" s="63" t="s">
        <v>1119</v>
      </c>
      <c r="C30" s="63" t="str">
        <f>VLOOKUP(TableFields[Field],Columns[],2,0)&amp;"("</f>
        <v>enum(</v>
      </c>
      <c r="D30" s="63" t="str">
        <f>IF(VLOOKUP(TableFields[Field],Columns[],3,0)&lt;&gt;"","'"&amp;VLOOKUP(TableFields[Field],Columns[],3,0)&amp;"'","")</f>
        <v>'type'</v>
      </c>
      <c r="E30" s="62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['Main','Sub'])</v>
      </c>
      <c r="F30" s="63" t="str">
        <f>IF(VLOOKUP(TableFields[Field],Columns[],5,0)=0,"","-&gt;"&amp;VLOOKUP(TableFields[Field],Columns[],5,0))</f>
        <v>-&gt;nullable()</v>
      </c>
      <c r="G30" s="63" t="str">
        <f>IF(VLOOKUP(TableFields[Field],Columns[],6,0)=0,"","-&gt;"&amp;VLOOKUP(TableFields[Field],Columns[],6,0))</f>
        <v>-&gt;default('Main')</v>
      </c>
      <c r="H30" s="63" t="str">
        <f>IF(VLOOKUP(TableFields[Field],Columns[],7,0)=0,"","-&gt;"&amp;VLOOKUP(TableFields[Field],Columns[],7,0))</f>
        <v/>
      </c>
      <c r="I30" s="63" t="str">
        <f>IF(VLOOKUP(TableFields[Field],Columns[],8,0)=0,"","-&gt;"&amp;VLOOKUP(TableFields[Field],Columns[],8,0))</f>
        <v/>
      </c>
      <c r="J30" s="63" t="str">
        <f>IF(VLOOKUP(TableFields[Field],Columns[],9,0)=0,"","-&gt;"&amp;VLOOKUP(TableFields[Field],Columns[],9,0))</f>
        <v/>
      </c>
      <c r="K30" s="63" t="str">
        <f>"$table-&gt;"&amp;TableFields[Type]&amp;TableFields[Name]&amp;TableFields[Arg2]&amp;TableFields[Method1]&amp;TableFields[Method2]&amp;TableFields[Method3]&amp;TableFields[Method4]&amp;TableFields[Method5]&amp;";"</f>
        <v>$table-&gt;enum('type', ['Main','Sub'])-&gt;nullable()-&gt;default('Main');</v>
      </c>
    </row>
    <row r="31" spans="1:11" x14ac:dyDescent="0.25">
      <c r="A31" s="63" t="s">
        <v>805</v>
      </c>
      <c r="B31" s="63" t="s">
        <v>1123</v>
      </c>
      <c r="C31" s="63" t="str">
        <f>VLOOKUP(TableFields[Field],Columns[],2,0)&amp;"("</f>
        <v>string(</v>
      </c>
      <c r="D31" s="63" t="str">
        <f>IF(VLOOKUP(TableFields[Field],Columns[],3,0)&lt;&gt;"","'"&amp;VLOOKUP(TableFields[Field],Columns[],3,0)&amp;"'","")</f>
        <v>'remarks'</v>
      </c>
      <c r="E31" s="62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'1024')</v>
      </c>
      <c r="F31" s="63" t="str">
        <f>IF(VLOOKUP(TableFields[Field],Columns[],5,0)=0,"","-&gt;"&amp;VLOOKUP(TableFields[Field],Columns[],5,0))</f>
        <v>-&gt;nullable()</v>
      </c>
      <c r="G31" s="63" t="str">
        <f>IF(VLOOKUP(TableFields[Field],Columns[],6,0)=0,"","-&gt;"&amp;VLOOKUP(TableFields[Field],Columns[],6,0))</f>
        <v/>
      </c>
      <c r="H31" s="63" t="str">
        <f>IF(VLOOKUP(TableFields[Field],Columns[],7,0)=0,"","-&gt;"&amp;VLOOKUP(TableFields[Field],Columns[],7,0))</f>
        <v/>
      </c>
      <c r="I31" s="63" t="str">
        <f>IF(VLOOKUP(TableFields[Field],Columns[],8,0)=0,"","-&gt;"&amp;VLOOKUP(TableFields[Field],Columns[],8,0))</f>
        <v/>
      </c>
      <c r="J31" s="63" t="str">
        <f>IF(VLOOKUP(TableFields[Field],Columns[],9,0)=0,"","-&gt;"&amp;VLOOKUP(TableFields[Field],Columns[],9,0))</f>
        <v/>
      </c>
      <c r="K31" s="63" t="str">
        <f>"$table-&gt;"&amp;TableFields[Type]&amp;TableFields[Name]&amp;TableFields[Arg2]&amp;TableFields[Method1]&amp;TableFields[Method2]&amp;TableFields[Method3]&amp;TableFields[Method4]&amp;TableFields[Method5]&amp;";"</f>
        <v>$table-&gt;string('remarks', '1024')-&gt;nullable();</v>
      </c>
    </row>
    <row r="32" spans="1:11" x14ac:dyDescent="0.25">
      <c r="A32" s="63" t="s">
        <v>805</v>
      </c>
      <c r="B32" s="63" t="s">
        <v>837</v>
      </c>
      <c r="C32" s="63" t="str">
        <f>VLOOKUP(TableFields[Field],Columns[],2,0)&amp;"("</f>
        <v>bigInteger(</v>
      </c>
      <c r="D32" s="63" t="str">
        <f>IF(VLOOKUP(TableFields[Field],Columns[],3,0)&lt;&gt;"","'"&amp;VLOOKUP(TableFields[Field],Columns[],3,0)&amp;"'","")</f>
        <v>'attachment1'</v>
      </c>
      <c r="E32" s="62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2" s="63" t="str">
        <f>IF(VLOOKUP(TableFields[Field],Columns[],5,0)=0,"","-&gt;"&amp;VLOOKUP(TableFields[Field],Columns[],5,0))</f>
        <v>-&gt;nullable()</v>
      </c>
      <c r="G32" s="63" t="str">
        <f>IF(VLOOKUP(TableFields[Field],Columns[],6,0)=0,"","-&gt;"&amp;VLOOKUP(TableFields[Field],Columns[],6,0))</f>
        <v/>
      </c>
      <c r="H32" s="63" t="str">
        <f>IF(VLOOKUP(TableFields[Field],Columns[],7,0)=0,"","-&gt;"&amp;VLOOKUP(TableFields[Field],Columns[],7,0))</f>
        <v/>
      </c>
      <c r="I32" s="63" t="str">
        <f>IF(VLOOKUP(TableFields[Field],Columns[],8,0)=0,"","-&gt;"&amp;VLOOKUP(TableFields[Field],Columns[],8,0))</f>
        <v/>
      </c>
      <c r="J32" s="63" t="str">
        <f>IF(VLOOKUP(TableFields[Field],Columns[],9,0)=0,"","-&gt;"&amp;VLOOKUP(TableFields[Field],Columns[],9,0))</f>
        <v/>
      </c>
      <c r="K32" s="63" t="str">
        <f>"$table-&gt;"&amp;TableFields[Type]&amp;TableFields[Name]&amp;TableFields[Arg2]&amp;TableFields[Method1]&amp;TableFields[Method2]&amp;TableFields[Method3]&amp;TableFields[Method4]&amp;TableFields[Method5]&amp;";"</f>
        <v>$table-&gt;bigInteger('attachment1')-&gt;nullable();</v>
      </c>
    </row>
    <row r="33" spans="1:11" x14ac:dyDescent="0.25">
      <c r="A33" s="63" t="s">
        <v>805</v>
      </c>
      <c r="B33" s="63" t="s">
        <v>839</v>
      </c>
      <c r="C33" s="63" t="str">
        <f>VLOOKUP(TableFields[Field],Columns[],2,0)&amp;"("</f>
        <v>bigInteger(</v>
      </c>
      <c r="D33" s="63" t="str">
        <f>IF(VLOOKUP(TableFields[Field],Columns[],3,0)&lt;&gt;"","'"&amp;VLOOKUP(TableFields[Field],Columns[],3,0)&amp;"'","")</f>
        <v>'attachment2'</v>
      </c>
      <c r="E33" s="62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3" s="63" t="str">
        <f>IF(VLOOKUP(TableFields[Field],Columns[],5,0)=0,"","-&gt;"&amp;VLOOKUP(TableFields[Field],Columns[],5,0))</f>
        <v>-&gt;nullable()</v>
      </c>
      <c r="G33" s="63" t="str">
        <f>IF(VLOOKUP(TableFields[Field],Columns[],6,0)=0,"","-&gt;"&amp;VLOOKUP(TableFields[Field],Columns[],6,0))</f>
        <v/>
      </c>
      <c r="H33" s="63" t="str">
        <f>IF(VLOOKUP(TableFields[Field],Columns[],7,0)=0,"","-&gt;"&amp;VLOOKUP(TableFields[Field],Columns[],7,0))</f>
        <v/>
      </c>
      <c r="I33" s="63" t="str">
        <f>IF(VLOOKUP(TableFields[Field],Columns[],8,0)=0,"","-&gt;"&amp;VLOOKUP(TableFields[Field],Columns[],8,0))</f>
        <v/>
      </c>
      <c r="J33" s="63" t="str">
        <f>IF(VLOOKUP(TableFields[Field],Columns[],9,0)=0,"","-&gt;"&amp;VLOOKUP(TableFields[Field],Columns[],9,0))</f>
        <v/>
      </c>
      <c r="K33" s="63" t="str">
        <f>"$table-&gt;"&amp;TableFields[Type]&amp;TableFields[Name]&amp;TableFields[Arg2]&amp;TableFields[Method1]&amp;TableFields[Method2]&amp;TableFields[Method3]&amp;TableFields[Method4]&amp;TableFields[Method5]&amp;";"</f>
        <v>$table-&gt;bigInteger('attachment2')-&gt;nullable();</v>
      </c>
    </row>
    <row r="34" spans="1:11" x14ac:dyDescent="0.25">
      <c r="A34" s="63" t="s">
        <v>805</v>
      </c>
      <c r="B34" s="63" t="s">
        <v>840</v>
      </c>
      <c r="C34" s="63" t="str">
        <f>VLOOKUP(TableFields[Field],Columns[],2,0)&amp;"("</f>
        <v>bigInteger(</v>
      </c>
      <c r="D34" s="63" t="str">
        <f>IF(VLOOKUP(TableFields[Field],Columns[],3,0)&lt;&gt;"","'"&amp;VLOOKUP(TableFields[Field],Columns[],3,0)&amp;"'","")</f>
        <v>'attachment3'</v>
      </c>
      <c r="E34" s="62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4" s="63" t="str">
        <f>IF(VLOOKUP(TableFields[Field],Columns[],5,0)=0,"","-&gt;"&amp;VLOOKUP(TableFields[Field],Columns[],5,0))</f>
        <v>-&gt;nullable()</v>
      </c>
      <c r="G34" s="63" t="str">
        <f>IF(VLOOKUP(TableFields[Field],Columns[],6,0)=0,"","-&gt;"&amp;VLOOKUP(TableFields[Field],Columns[],6,0))</f>
        <v/>
      </c>
      <c r="H34" s="63" t="str">
        <f>IF(VLOOKUP(TableFields[Field],Columns[],7,0)=0,"","-&gt;"&amp;VLOOKUP(TableFields[Field],Columns[],7,0))</f>
        <v/>
      </c>
      <c r="I34" s="63" t="str">
        <f>IF(VLOOKUP(TableFields[Field],Columns[],8,0)=0,"","-&gt;"&amp;VLOOKUP(TableFields[Field],Columns[],8,0))</f>
        <v/>
      </c>
      <c r="J34" s="63" t="str">
        <f>IF(VLOOKUP(TableFields[Field],Columns[],9,0)=0,"","-&gt;"&amp;VLOOKUP(TableFields[Field],Columns[],9,0))</f>
        <v/>
      </c>
      <c r="K34" s="63" t="str">
        <f>"$table-&gt;"&amp;TableFields[Type]&amp;TableFields[Name]&amp;TableFields[Arg2]&amp;TableFields[Method1]&amp;TableFields[Method2]&amp;TableFields[Method3]&amp;TableFields[Method4]&amp;TableFields[Method5]&amp;";"</f>
        <v>$table-&gt;bigInteger('attachment3')-&gt;nullable();</v>
      </c>
    </row>
    <row r="35" spans="1:11" x14ac:dyDescent="0.25">
      <c r="A35" s="63" t="s">
        <v>805</v>
      </c>
      <c r="B35" s="63" t="s">
        <v>823</v>
      </c>
      <c r="C35" s="63" t="str">
        <f>VLOOKUP(TableFields[Field],Columns[],2,0)&amp;"("</f>
        <v>enum(</v>
      </c>
      <c r="D35" s="63" t="str">
        <f>IF(VLOOKUP(TableFields[Field],Columns[],3,0)&lt;&gt;"","'"&amp;VLOOKUP(TableFields[Field],Columns[],3,0)&amp;"'","")</f>
        <v>'progress'</v>
      </c>
      <c r="E35" s="62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['New','Dismissed','Returned','Completed'])</v>
      </c>
      <c r="F35" s="63" t="str">
        <f>IF(VLOOKUP(TableFields[Field],Columns[],5,0)=0,"","-&gt;"&amp;VLOOKUP(TableFields[Field],Columns[],5,0))</f>
        <v>-&gt;nullable()</v>
      </c>
      <c r="G35" s="63" t="str">
        <f>IF(VLOOKUP(TableFields[Field],Columns[],6,0)=0,"","-&gt;"&amp;VLOOKUP(TableFields[Field],Columns[],6,0))</f>
        <v>-&gt;default('New')</v>
      </c>
      <c r="H35" s="63" t="str">
        <f>IF(VLOOKUP(TableFields[Field],Columns[],7,0)=0,"","-&gt;"&amp;VLOOKUP(TableFields[Field],Columns[],7,0))</f>
        <v/>
      </c>
      <c r="I35" s="63" t="str">
        <f>IF(VLOOKUP(TableFields[Field],Columns[],8,0)=0,"","-&gt;"&amp;VLOOKUP(TableFields[Field],Columns[],8,0))</f>
        <v/>
      </c>
      <c r="J35" s="63" t="str">
        <f>IF(VLOOKUP(TableFields[Field],Columns[],9,0)=0,"","-&gt;"&amp;VLOOKUP(TableFields[Field],Columns[],9,0))</f>
        <v/>
      </c>
      <c r="K35" s="63" t="str">
        <f>"$table-&gt;"&amp;TableFields[Type]&amp;TableFields[Name]&amp;TableFields[Arg2]&amp;TableFields[Method1]&amp;TableFields[Method2]&amp;TableFields[Method3]&amp;TableFields[Method4]&amp;TableFields[Method5]&amp;";"</f>
        <v>$table-&gt;enum('progress', ['New','Dismissed','Returned','Completed'])-&gt;nullable()-&gt;default('New');</v>
      </c>
    </row>
    <row r="36" spans="1:11" x14ac:dyDescent="0.25">
      <c r="A36" s="63" t="s">
        <v>805</v>
      </c>
      <c r="B36" s="63" t="s">
        <v>288</v>
      </c>
      <c r="C36" s="63" t="str">
        <f>VLOOKUP(TableFields[Field],Columns[],2,0)&amp;"("</f>
        <v>audit(</v>
      </c>
      <c r="D36" s="63" t="str">
        <f>IF(VLOOKUP(TableFields[Field],Columns[],3,0)&lt;&gt;"","'"&amp;VLOOKUP(TableFields[Field],Columns[],3,0)&amp;"'","")</f>
        <v/>
      </c>
      <c r="E36" s="62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6" s="63" t="str">
        <f>IF(VLOOKUP(TableFields[Field],Columns[],5,0)=0,"","-&gt;"&amp;VLOOKUP(TableFields[Field],Columns[],5,0))</f>
        <v/>
      </c>
      <c r="G36" s="63" t="str">
        <f>IF(VLOOKUP(TableFields[Field],Columns[],6,0)=0,"","-&gt;"&amp;VLOOKUP(TableFields[Field],Columns[],6,0))</f>
        <v/>
      </c>
      <c r="H36" s="63" t="str">
        <f>IF(VLOOKUP(TableFields[Field],Columns[],7,0)=0,"","-&gt;"&amp;VLOOKUP(TableFields[Field],Columns[],7,0))</f>
        <v/>
      </c>
      <c r="I36" s="63" t="str">
        <f>IF(VLOOKUP(TableFields[Field],Columns[],8,0)=0,"","-&gt;"&amp;VLOOKUP(TableFields[Field],Columns[],8,0))</f>
        <v/>
      </c>
      <c r="J36" s="63" t="str">
        <f>IF(VLOOKUP(TableFields[Field],Columns[],9,0)=0,"","-&gt;"&amp;VLOOKUP(TableFields[Field],Columns[],9,0))</f>
        <v/>
      </c>
      <c r="K36" s="63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61" spans="1:11" s="20" customFormat="1" x14ac:dyDescent="0.25">
      <c r="A61"/>
      <c r="B61"/>
      <c r="C61"/>
      <c r="D61"/>
      <c r="E61"/>
      <c r="F61"/>
      <c r="G61"/>
      <c r="H61"/>
      <c r="I61"/>
      <c r="J61"/>
      <c r="K61"/>
    </row>
    <row r="306" spans="1:11" s="20" customFormat="1" x14ac:dyDescent="0.25">
      <c r="A306"/>
      <c r="B306"/>
      <c r="C306"/>
      <c r="D306"/>
      <c r="E306"/>
      <c r="F306"/>
      <c r="G306"/>
      <c r="H306"/>
      <c r="I306"/>
      <c r="J306"/>
      <c r="K306"/>
    </row>
    <row r="332" spans="1:11" s="20" customFormat="1" x14ac:dyDescent="0.25">
      <c r="A332"/>
      <c r="B332"/>
      <c r="C332"/>
      <c r="D332"/>
      <c r="E332"/>
      <c r="F332"/>
      <c r="G332"/>
      <c r="H332"/>
      <c r="I332"/>
      <c r="J332"/>
      <c r="K332"/>
    </row>
    <row r="333" spans="1:11" s="20" customFormat="1" x14ac:dyDescent="0.25">
      <c r="A333"/>
      <c r="B333"/>
      <c r="C333"/>
      <c r="D333"/>
      <c r="E333"/>
      <c r="F333"/>
      <c r="G333"/>
      <c r="H333"/>
      <c r="I333"/>
      <c r="J333"/>
      <c r="K333"/>
    </row>
    <row r="339" spans="1:11" s="20" customFormat="1" x14ac:dyDescent="0.25">
      <c r="A339"/>
      <c r="B339"/>
      <c r="C339"/>
      <c r="D339"/>
      <c r="E339"/>
      <c r="F339"/>
      <c r="G339"/>
      <c r="H339"/>
      <c r="I339"/>
      <c r="J339"/>
      <c r="K339"/>
    </row>
    <row r="347" spans="1:11" s="20" customFormat="1" x14ac:dyDescent="0.25">
      <c r="A347"/>
      <c r="B347"/>
      <c r="C347"/>
      <c r="D347"/>
      <c r="E347"/>
      <c r="F347"/>
      <c r="G347"/>
      <c r="H347"/>
      <c r="I347"/>
      <c r="J347"/>
      <c r="K347"/>
    </row>
    <row r="360" spans="1:11" s="20" customFormat="1" x14ac:dyDescent="0.25">
      <c r="A360"/>
      <c r="B360"/>
      <c r="C360"/>
      <c r="D360"/>
      <c r="E360"/>
      <c r="F360"/>
      <c r="G360"/>
      <c r="H360"/>
      <c r="I360"/>
      <c r="J360"/>
      <c r="K360"/>
    </row>
  </sheetData>
  <dataConsolidate/>
  <dataValidations count="2">
    <dataValidation type="list" allowBlank="1" showInputMessage="1" showErrorMessage="1" sqref="B2:B36">
      <formula1>AvailableFields</formula1>
    </dataValidation>
    <dataValidation type="list" allowBlank="1" showInputMessage="1" showErrorMessage="1" sqref="A2:A36">
      <formula1>TableNames</formula1>
    </dataValidation>
  </dataValidations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"/>
  <sheetViews>
    <sheetView topLeftCell="B1" workbookViewId="0">
      <selection activeCell="F18" sqref="F18"/>
    </sheetView>
  </sheetViews>
  <sheetFormatPr defaultRowHeight="15" x14ac:dyDescent="0.25"/>
  <cols>
    <col min="1" max="1" width="16.42578125" hidden="1" customWidth="1"/>
    <col min="2" max="2" width="18.42578125" bestFit="1" customWidth="1"/>
    <col min="3" max="3" width="11.42578125" style="20" bestFit="1" customWidth="1"/>
    <col min="4" max="18" width="32.5703125" customWidth="1"/>
  </cols>
  <sheetData>
    <row r="1" spans="1:18" x14ac:dyDescent="0.25">
      <c r="A1" s="26" t="s">
        <v>162</v>
      </c>
      <c r="B1" s="26" t="s">
        <v>160</v>
      </c>
      <c r="C1" s="26" t="s">
        <v>71</v>
      </c>
      <c r="D1" s="27" t="s">
        <v>142</v>
      </c>
      <c r="E1" s="27" t="s">
        <v>143</v>
      </c>
      <c r="F1" s="27" t="s">
        <v>144</v>
      </c>
      <c r="G1" s="27" t="s">
        <v>145</v>
      </c>
      <c r="H1" s="27" t="s">
        <v>146</v>
      </c>
      <c r="I1" s="27" t="s">
        <v>147</v>
      </c>
      <c r="J1" s="27" t="s">
        <v>148</v>
      </c>
      <c r="K1" s="27" t="s">
        <v>149</v>
      </c>
      <c r="L1" s="27" t="s">
        <v>150</v>
      </c>
      <c r="M1" s="27" t="s">
        <v>151</v>
      </c>
      <c r="N1" s="27" t="s">
        <v>152</v>
      </c>
      <c r="O1" s="27" t="s">
        <v>153</v>
      </c>
      <c r="P1" s="27" t="s">
        <v>154</v>
      </c>
      <c r="Q1" s="27" t="s">
        <v>155</v>
      </c>
      <c r="R1" s="27" t="s">
        <v>156</v>
      </c>
    </row>
    <row r="2" spans="1:18" x14ac:dyDescent="0.25">
      <c r="A2" s="60" t="str">
        <f>TableData[Table Name]&amp;"-"&amp;(COUNTIF($B$1:TableData[[#This Row],[Table Name]],TableData[[#This Row],[Table Name]])-1)</f>
        <v>Groups-0</v>
      </c>
      <c r="B2" s="65" t="s">
        <v>76</v>
      </c>
      <c r="C2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0</v>
      </c>
      <c r="D2" s="65" t="s">
        <v>23</v>
      </c>
      <c r="E2" s="65" t="s">
        <v>24</v>
      </c>
      <c r="F2" s="65" t="s">
        <v>25</v>
      </c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</row>
    <row r="3" spans="1:18" x14ac:dyDescent="0.25">
      <c r="A3" s="60" t="str">
        <f>TableData[Table Name]&amp;"-"&amp;(COUNTIF($B$1:TableData[[#This Row],[Table Name]],TableData[[#This Row],[Table Name]])-1)</f>
        <v>Roles-0</v>
      </c>
      <c r="B3" s="65" t="s">
        <v>79</v>
      </c>
      <c r="C3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0</v>
      </c>
      <c r="D3" s="65" t="s">
        <v>23</v>
      </c>
      <c r="E3" s="65" t="s">
        <v>24</v>
      </c>
      <c r="F3" s="65" t="s">
        <v>25</v>
      </c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</row>
    <row r="4" spans="1:18" x14ac:dyDescent="0.25">
      <c r="A4" s="60" t="str">
        <f>TableData[Table Name]&amp;"-"&amp;(COUNTIF($B$1:TableData[[#This Row],[Table Name]],TableData[[#This Row],[Table Name]])-1)</f>
        <v>Group Roles-0</v>
      </c>
      <c r="B4" s="65" t="s">
        <v>93</v>
      </c>
      <c r="C4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0</v>
      </c>
      <c r="D4" s="65" t="s">
        <v>63</v>
      </c>
      <c r="E4" s="65" t="s">
        <v>65</v>
      </c>
      <c r="F4" s="65"/>
      <c r="G4" s="65"/>
      <c r="H4" s="65"/>
      <c r="I4" s="65"/>
      <c r="J4" s="65"/>
      <c r="K4" s="65"/>
      <c r="L4" s="65"/>
      <c r="M4" s="65"/>
      <c r="N4" s="65"/>
      <c r="O4" s="65"/>
      <c r="P4" s="65"/>
      <c r="Q4" s="65"/>
      <c r="R4" s="65"/>
    </row>
    <row r="5" spans="1:18" x14ac:dyDescent="0.25">
      <c r="A5" s="60" t="str">
        <f>TableData[Table Name]&amp;"-"&amp;(COUNTIF($B$1:TableData[[#This Row],[Table Name]],TableData[[#This Row],[Table Name]])-1)</f>
        <v>Users-0</v>
      </c>
      <c r="B5" s="65" t="s">
        <v>78</v>
      </c>
      <c r="C5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0</v>
      </c>
      <c r="D5" s="65" t="s">
        <v>23</v>
      </c>
      <c r="E5" s="65" t="s">
        <v>855</v>
      </c>
      <c r="F5" s="65" t="s">
        <v>856</v>
      </c>
      <c r="G5" s="65"/>
      <c r="H5" s="65"/>
      <c r="I5" s="65"/>
      <c r="J5" s="65"/>
      <c r="K5" s="65"/>
      <c r="L5" s="65"/>
      <c r="M5" s="65"/>
      <c r="N5" s="65"/>
      <c r="O5" s="65"/>
      <c r="P5" s="65"/>
      <c r="Q5" s="65"/>
      <c r="R5" s="65"/>
    </row>
    <row r="6" spans="1:18" x14ac:dyDescent="0.25">
      <c r="A6" s="60" t="str">
        <f>TableData[Table Name]&amp;"-"&amp;(COUNTIF($B$1:TableData[[#This Row],[Table Name]],TableData[[#This Row],[Table Name]])-1)</f>
        <v>Group Users-0</v>
      </c>
      <c r="B6" s="65" t="s">
        <v>798</v>
      </c>
      <c r="C6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0</v>
      </c>
      <c r="D6" s="65" t="s">
        <v>63</v>
      </c>
      <c r="E6" s="65" t="s">
        <v>64</v>
      </c>
      <c r="F6" s="65"/>
      <c r="G6" s="65"/>
      <c r="H6" s="65"/>
      <c r="I6" s="65"/>
      <c r="J6" s="65"/>
      <c r="K6" s="65"/>
      <c r="L6" s="65"/>
      <c r="M6" s="65"/>
      <c r="N6" s="65"/>
      <c r="O6" s="65"/>
      <c r="P6" s="65"/>
      <c r="Q6" s="65"/>
      <c r="R6" s="65"/>
    </row>
    <row r="7" spans="1:18" x14ac:dyDescent="0.25">
      <c r="A7" s="60" t="str">
        <f>TableData[Table Name]&amp;"-"&amp;(COUNTIF($B$1:TableData[[#This Row],[Table Name]],TableData[[#This Row],[Table Name]])-1)</f>
        <v>Resource Roles-0</v>
      </c>
      <c r="B7" s="65" t="s">
        <v>94</v>
      </c>
      <c r="C7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0</v>
      </c>
      <c r="D7" s="65" t="s">
        <v>22</v>
      </c>
      <c r="E7" s="65" t="s">
        <v>65</v>
      </c>
      <c r="F7" s="65" t="s">
        <v>857</v>
      </c>
      <c r="G7" s="65" t="s">
        <v>858</v>
      </c>
      <c r="H7" s="65"/>
      <c r="I7" s="65"/>
      <c r="J7" s="65"/>
      <c r="K7" s="65"/>
      <c r="L7" s="65"/>
      <c r="M7" s="65"/>
      <c r="N7" s="65"/>
      <c r="O7" s="65"/>
      <c r="P7" s="65"/>
      <c r="Q7" s="65"/>
      <c r="R7" s="65"/>
    </row>
    <row r="8" spans="1:18" x14ac:dyDescent="0.25">
      <c r="A8" s="60" t="str">
        <f>TableData[Table Name]&amp;"-"&amp;(COUNTIF($B$1:TableData[[#This Row],[Table Name]],TableData[[#This Row],[Table Name]])-1)</f>
        <v>Groups-1</v>
      </c>
      <c r="B8" s="65" t="s">
        <v>76</v>
      </c>
      <c r="C8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800101</v>
      </c>
      <c r="D8" s="65" t="s">
        <v>866</v>
      </c>
      <c r="E8" s="65" t="s">
        <v>862</v>
      </c>
      <c r="F8" s="65" t="s">
        <v>867</v>
      </c>
      <c r="G8" s="65"/>
      <c r="H8" s="65"/>
      <c r="I8" s="65"/>
      <c r="J8" s="65"/>
      <c r="K8" s="65"/>
      <c r="L8" s="65"/>
      <c r="M8" s="65"/>
      <c r="N8" s="65"/>
      <c r="O8" s="65"/>
      <c r="P8" s="65"/>
      <c r="Q8" s="65"/>
      <c r="R8" s="65"/>
    </row>
    <row r="9" spans="1:18" x14ac:dyDescent="0.25">
      <c r="A9" s="60" t="str">
        <f>TableData[Table Name]&amp;"-"&amp;(COUNTIF($B$1:TableData[[#This Row],[Table Name]],TableData[[#This Row],[Table Name]])-1)</f>
        <v>Groups-2</v>
      </c>
      <c r="B9" s="65" t="s">
        <v>76</v>
      </c>
      <c r="C9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800102</v>
      </c>
      <c r="D9" s="65" t="s">
        <v>803</v>
      </c>
      <c r="E9" s="65" t="s">
        <v>863</v>
      </c>
      <c r="F9" s="65" t="s">
        <v>853</v>
      </c>
      <c r="G9" s="65"/>
      <c r="H9" s="65"/>
      <c r="I9" s="65"/>
      <c r="J9" s="65"/>
      <c r="K9" s="65"/>
      <c r="L9" s="65"/>
      <c r="M9" s="65"/>
      <c r="N9" s="65"/>
      <c r="O9" s="65"/>
      <c r="P9" s="65"/>
      <c r="Q9" s="65"/>
      <c r="R9" s="65"/>
    </row>
    <row r="10" spans="1:18" x14ac:dyDescent="0.25">
      <c r="A10" s="60" t="str">
        <f>TableData[Table Name]&amp;"-"&amp;(COUNTIF($B$1:TableData[[#This Row],[Table Name]],TableData[[#This Row],[Table Name]])-1)</f>
        <v>Roles-1</v>
      </c>
      <c r="B10" s="65" t="s">
        <v>79</v>
      </c>
      <c r="C10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800301</v>
      </c>
      <c r="D10" s="65" t="s">
        <v>861</v>
      </c>
      <c r="E10" s="65" t="s">
        <v>862</v>
      </c>
      <c r="F10" s="65" t="s">
        <v>860</v>
      </c>
      <c r="G10" s="65"/>
      <c r="H10" s="65"/>
      <c r="I10" s="65"/>
      <c r="J10" s="65"/>
      <c r="K10" s="65"/>
      <c r="L10" s="65"/>
      <c r="M10" s="65"/>
      <c r="N10" s="65"/>
      <c r="O10" s="65"/>
      <c r="P10" s="65"/>
      <c r="Q10" s="65"/>
      <c r="R10" s="65"/>
    </row>
    <row r="11" spans="1:18" x14ac:dyDescent="0.25">
      <c r="A11" s="60" t="str">
        <f>TableData[Table Name]&amp;"-"&amp;(COUNTIF($B$1:TableData[[#This Row],[Table Name]],TableData[[#This Row],[Table Name]])-1)</f>
        <v>Roles-2</v>
      </c>
      <c r="B11" s="65" t="s">
        <v>79</v>
      </c>
      <c r="C11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800302</v>
      </c>
      <c r="D11" s="65" t="s">
        <v>814</v>
      </c>
      <c r="E11" s="65" t="s">
        <v>863</v>
      </c>
      <c r="F11" s="65" t="s">
        <v>844</v>
      </c>
      <c r="G11" s="65"/>
      <c r="H11" s="65"/>
      <c r="I11" s="65"/>
      <c r="J11" s="65"/>
      <c r="K11" s="65"/>
      <c r="L11" s="65"/>
      <c r="M11" s="65"/>
      <c r="N11" s="65"/>
      <c r="O11" s="65"/>
      <c r="P11" s="65"/>
      <c r="Q11" s="65"/>
      <c r="R11" s="65"/>
    </row>
    <row r="12" spans="1:18" x14ac:dyDescent="0.25">
      <c r="A12" s="60" t="str">
        <f>TableData[Table Name]&amp;"-"&amp;(COUNTIF($B$1:TableData[[#This Row],[Table Name]],TableData[[#This Row],[Table Name]])-1)</f>
        <v>Group Roles-1</v>
      </c>
      <c r="B12" s="65" t="s">
        <v>93</v>
      </c>
      <c r="C12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800401</v>
      </c>
      <c r="D12" s="65">
        <v>800101</v>
      </c>
      <c r="E12" s="65">
        <v>800301</v>
      </c>
      <c r="F12" s="65"/>
      <c r="G12" s="65"/>
      <c r="H12" s="65"/>
      <c r="I12" s="65"/>
      <c r="J12" s="65"/>
      <c r="K12" s="65"/>
      <c r="L12" s="65"/>
      <c r="M12" s="65"/>
      <c r="N12" s="65"/>
      <c r="O12" s="65"/>
      <c r="P12" s="65"/>
      <c r="Q12" s="65"/>
      <c r="R12" s="65"/>
    </row>
    <row r="13" spans="1:18" x14ac:dyDescent="0.25">
      <c r="A13" s="60" t="str">
        <f>TableData[Table Name]&amp;"-"&amp;(COUNTIF($B$1:TableData[[#This Row],[Table Name]],TableData[[#This Row],[Table Name]])-1)</f>
        <v>Group Roles-2</v>
      </c>
      <c r="B13" s="65" t="s">
        <v>93</v>
      </c>
      <c r="C13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800402</v>
      </c>
      <c r="D13" s="65">
        <v>800102</v>
      </c>
      <c r="E13" s="65">
        <v>800302</v>
      </c>
      <c r="F13" s="65"/>
      <c r="G13" s="65"/>
      <c r="H13" s="65"/>
      <c r="I13" s="65"/>
      <c r="J13" s="65"/>
      <c r="K13" s="65"/>
      <c r="L13" s="65"/>
      <c r="M13" s="65"/>
      <c r="N13" s="65"/>
      <c r="O13" s="65"/>
      <c r="P13" s="65"/>
      <c r="Q13" s="65"/>
      <c r="R13" s="65"/>
    </row>
    <row r="14" spans="1:18" x14ac:dyDescent="0.25">
      <c r="A14" s="60" t="str">
        <f>TableData[Table Name]&amp;"-"&amp;(COUNTIF($B$1:TableData[[#This Row],[Table Name]],TableData[[#This Row],[Table Name]])-1)</f>
        <v>Resource Roles-1</v>
      </c>
      <c r="B14" s="65" t="s">
        <v>94</v>
      </c>
      <c r="C14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800601</v>
      </c>
      <c r="D14" s="65">
        <v>800501</v>
      </c>
      <c r="E14" s="65">
        <v>800301</v>
      </c>
      <c r="F14" s="65" t="s">
        <v>864</v>
      </c>
      <c r="G14" s="65"/>
      <c r="H14" s="65"/>
      <c r="I14" s="65"/>
      <c r="J14" s="65"/>
      <c r="K14" s="65"/>
      <c r="L14" s="65"/>
      <c r="M14" s="65"/>
      <c r="N14" s="65"/>
      <c r="O14" s="65"/>
      <c r="P14" s="65"/>
      <c r="Q14" s="65"/>
      <c r="R14" s="65"/>
    </row>
    <row r="15" spans="1:18" x14ac:dyDescent="0.25">
      <c r="A15" s="60" t="str">
        <f>TableData[Table Name]&amp;"-"&amp;(COUNTIF($B$1:TableData[[#This Row],[Table Name]],TableData[[#This Row],[Table Name]])-1)</f>
        <v>Resource Roles-2</v>
      </c>
      <c r="B15" s="65" t="s">
        <v>94</v>
      </c>
      <c r="C15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800602</v>
      </c>
      <c r="D15" s="65">
        <v>800502</v>
      </c>
      <c r="E15" s="65">
        <v>800301</v>
      </c>
      <c r="F15" s="65" t="s">
        <v>864</v>
      </c>
      <c r="G15" s="65"/>
      <c r="H15" s="65"/>
      <c r="I15" s="65"/>
      <c r="J15" s="65"/>
      <c r="K15" s="65"/>
      <c r="L15" s="65"/>
      <c r="M15" s="65"/>
      <c r="N15" s="65"/>
      <c r="O15" s="65"/>
      <c r="P15" s="65"/>
      <c r="Q15" s="65"/>
      <c r="R15" s="65"/>
    </row>
    <row r="16" spans="1:18" x14ac:dyDescent="0.25">
      <c r="A16" s="60" t="str">
        <f>TableData[Table Name]&amp;"-"&amp;(COUNTIF($B$1:TableData[[#This Row],[Table Name]],TableData[[#This Row],[Table Name]])-1)</f>
        <v>Resource Roles-3</v>
      </c>
      <c r="B16" s="65" t="s">
        <v>94</v>
      </c>
      <c r="C16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800603</v>
      </c>
      <c r="D16" s="65">
        <v>800503</v>
      </c>
      <c r="E16" s="65">
        <v>800301</v>
      </c>
      <c r="F16" s="65" t="s">
        <v>864</v>
      </c>
      <c r="G16" s="65"/>
      <c r="H16" s="65"/>
      <c r="I16" s="65"/>
      <c r="J16" s="65"/>
      <c r="K16" s="65"/>
      <c r="L16" s="65"/>
      <c r="M16" s="65"/>
      <c r="N16" s="65"/>
      <c r="O16" s="65"/>
      <c r="P16" s="65"/>
      <c r="Q16" s="65"/>
      <c r="R16" s="65"/>
    </row>
    <row r="17" spans="1:18" x14ac:dyDescent="0.25">
      <c r="A17" s="60" t="str">
        <f>TableData[Table Name]&amp;"-"&amp;(COUNTIF($B$1:TableData[[#This Row],[Table Name]],TableData[[#This Row],[Table Name]])-1)</f>
        <v>Resource Roles-4</v>
      </c>
      <c r="B17" s="65" t="s">
        <v>94</v>
      </c>
      <c r="C17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800604</v>
      </c>
      <c r="D17" s="65">
        <v>800504</v>
      </c>
      <c r="E17" s="65">
        <v>800301</v>
      </c>
      <c r="F17" s="65" t="s">
        <v>864</v>
      </c>
      <c r="G17" s="65"/>
      <c r="H17" s="65"/>
      <c r="I17" s="65"/>
      <c r="J17" s="65"/>
      <c r="K17" s="65"/>
      <c r="L17" s="65"/>
      <c r="M17" s="65"/>
      <c r="N17" s="65"/>
      <c r="O17" s="65"/>
      <c r="P17" s="65"/>
      <c r="Q17" s="65"/>
      <c r="R17" s="65"/>
    </row>
    <row r="18" spans="1:18" x14ac:dyDescent="0.25">
      <c r="A18" s="60" t="str">
        <f>TableData[Table Name]&amp;"-"&amp;(COUNTIF($B$1:TableData[[#This Row],[Table Name]],TableData[[#This Row],[Table Name]])-1)</f>
        <v>Resource Roles-5</v>
      </c>
      <c r="B18" s="65" t="s">
        <v>94</v>
      </c>
      <c r="C18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800605</v>
      </c>
      <c r="D18" s="65">
        <v>800505</v>
      </c>
      <c r="E18" s="65">
        <v>800301</v>
      </c>
      <c r="F18" s="65" t="s">
        <v>1117</v>
      </c>
      <c r="G18" s="65">
        <v>803217</v>
      </c>
      <c r="H18" s="65"/>
      <c r="I18" s="65"/>
      <c r="J18" s="65"/>
      <c r="K18" s="65"/>
      <c r="L18" s="65"/>
      <c r="M18" s="65"/>
      <c r="N18" s="65"/>
      <c r="O18" s="65"/>
      <c r="P18" s="65"/>
      <c r="Q18" s="65"/>
      <c r="R18" s="65"/>
    </row>
    <row r="19" spans="1:18" x14ac:dyDescent="0.25">
      <c r="A19" s="60" t="str">
        <f>TableData[Table Name]&amp;"-"&amp;(COUNTIF($B$1:TableData[[#This Row],[Table Name]],TableData[[#This Row],[Table Name]])-1)</f>
        <v>Resource Roles-6</v>
      </c>
      <c r="B19" s="65" t="s">
        <v>94</v>
      </c>
      <c r="C19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800606</v>
      </c>
      <c r="D19" s="65">
        <v>800505</v>
      </c>
      <c r="E19" s="65">
        <v>800302</v>
      </c>
      <c r="F19" s="65" t="s">
        <v>864</v>
      </c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</row>
  </sheetData>
  <pageMargins left="0.7" right="0.7" top="0.75" bottom="0.75" header="0.3" footer="0.3"/>
  <pageSetup paperSize="9" orientation="portrait" horizontalDpi="4294967293" verticalDpi="12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8"/>
  <sheetViews>
    <sheetView topLeftCell="A22" workbookViewId="0">
      <selection activeCell="F34" sqref="F34"/>
    </sheetView>
  </sheetViews>
  <sheetFormatPr defaultRowHeight="15" x14ac:dyDescent="0.25"/>
  <cols>
    <col min="1" max="1" width="18.42578125" bestFit="1" customWidth="1"/>
    <col min="2" max="2" width="19.7109375" bestFit="1" customWidth="1"/>
    <col min="3" max="3" width="20.140625" bestFit="1" customWidth="1"/>
    <col min="4" max="4" width="21.42578125" bestFit="1" customWidth="1"/>
    <col min="5" max="5" width="13.140625" bestFit="1" customWidth="1"/>
    <col min="6" max="6" width="16.42578125" bestFit="1" customWidth="1"/>
    <col min="7" max="7" width="8.5703125" customWidth="1"/>
    <col min="8" max="21" width="11.28515625" customWidth="1"/>
  </cols>
  <sheetData>
    <row r="1" spans="1:12" x14ac:dyDescent="0.25">
      <c r="A1" s="19" t="s">
        <v>1</v>
      </c>
      <c r="B1" s="20" t="s">
        <v>160</v>
      </c>
      <c r="C1" s="19" t="s">
        <v>116</v>
      </c>
      <c r="D1" s="19" t="s">
        <v>157</v>
      </c>
      <c r="E1" s="20" t="s">
        <v>339</v>
      </c>
      <c r="F1" s="20" t="s">
        <v>340</v>
      </c>
      <c r="G1" s="20" t="s">
        <v>342</v>
      </c>
      <c r="H1" s="19" t="s">
        <v>141</v>
      </c>
      <c r="I1" t="s">
        <v>286</v>
      </c>
      <c r="J1" t="s">
        <v>287</v>
      </c>
      <c r="K1" s="20" t="s">
        <v>797</v>
      </c>
      <c r="L1" t="s">
        <v>865</v>
      </c>
    </row>
    <row r="2" spans="1:12" x14ac:dyDescent="0.25">
      <c r="A2" s="4" t="s">
        <v>78</v>
      </c>
      <c r="B2" s="4" t="s">
        <v>75</v>
      </c>
      <c r="C2" s="1" t="str">
        <f>VLOOKUP(SeedMap[Table Name],Tables[],4,0)</f>
        <v>Milestone\Appframe\Model</v>
      </c>
      <c r="D2" s="1" t="str">
        <f>VLOOKUP(SeedMap[Table Name],Tables[],5,0)</f>
        <v>User</v>
      </c>
      <c r="E2" s="1" t="s">
        <v>161</v>
      </c>
      <c r="F2" s="1" t="s">
        <v>341</v>
      </c>
      <c r="G2" s="11">
        <v>2</v>
      </c>
      <c r="H2" s="6" t="s">
        <v>795</v>
      </c>
      <c r="I2" s="11">
        <v>800000</v>
      </c>
      <c r="J2" s="6" t="str">
        <f>IF(ISNUMBER(SeedMap[Last ID]),"\DB::statement('ALTER TABLE `" &amp;VLOOKUP(SeedMap[[#This Row],[Table Name]],Tables[[Name]:[Table]],2,0) &amp; "`  AUTO_INCREMENT=" &amp; SeedMap[Last ID]+1&amp;"');","")</f>
        <v>\DB::statement('ALTER TABLE `users`  AUTO_INCREMENT=800001');</v>
      </c>
      <c r="K2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users WHERE id &gt; 800000');</v>
      </c>
      <c r="L2" s="63" t="str">
        <f>IF(SeedMap[[#This Row],[Query Method]]="truncate","","\DB::statement('ALTER TABLE `" &amp;VLOOKUP(SeedMap[[#This Row],[Table Name]],Tables[[Name]:[Table]],2,0) &amp; "` AUTO_INCREMENT=1');")</f>
        <v>\DB::statement('ALTER TABLE `users` AUTO_INCREMENT=1');</v>
      </c>
    </row>
    <row r="3" spans="1:12" x14ac:dyDescent="0.25">
      <c r="A3" s="1" t="s">
        <v>76</v>
      </c>
      <c r="B3" s="1" t="s">
        <v>59</v>
      </c>
      <c r="C3" s="1" t="str">
        <f>VLOOKUP(SeedMap[Table Name],Tables[],4,0)</f>
        <v>Milestone\Appframe\Model</v>
      </c>
      <c r="D3" s="1" t="str">
        <f>VLOOKUP(SeedMap[Table Name],Tables[],5,0)</f>
        <v>Group</v>
      </c>
      <c r="E3" s="1" t="s">
        <v>161</v>
      </c>
      <c r="F3" s="1" t="s">
        <v>341</v>
      </c>
      <c r="G3" s="11">
        <v>2</v>
      </c>
      <c r="H3" s="6" t="s">
        <v>795</v>
      </c>
      <c r="I3" s="11">
        <v>800100</v>
      </c>
      <c r="J3" s="8" t="str">
        <f>IF(ISNUMBER(SeedMap[Last ID]),"\DB::statement('ALTER TABLE `" &amp;VLOOKUP(SeedMap[[#This Row],[Table Name]],Tables[[Name]:[Table]],2,0) &amp; "`  AUTO_INCREMENT=" &amp; SeedMap[Last ID]+1&amp;"');","")</f>
        <v>\DB::statement('ALTER TABLE `__groups`  AUTO_INCREMENT=800101');</v>
      </c>
      <c r="K3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__groups WHERE id &gt; 800100');</v>
      </c>
      <c r="L3" s="63" t="str">
        <f>IF(SeedMap[[#This Row],[Query Method]]="truncate","","\DB::statement('ALTER TABLE `" &amp;VLOOKUP(SeedMap[[#This Row],[Table Name]],Tables[[Name]:[Table]],2,0) &amp; "` AUTO_INCREMENT=1');")</f>
        <v>\DB::statement('ALTER TABLE `__groups` AUTO_INCREMENT=1');</v>
      </c>
    </row>
    <row r="4" spans="1:12" x14ac:dyDescent="0.25">
      <c r="A4" s="5" t="s">
        <v>798</v>
      </c>
      <c r="B4" s="5" t="s">
        <v>60</v>
      </c>
      <c r="C4" s="5" t="str">
        <f>VLOOKUP(SeedMap[Table Name],Tables[],4,0)</f>
        <v>Milestone\Appframe\Model</v>
      </c>
      <c r="D4" s="5" t="str">
        <f>VLOOKUP(SeedMap[Table Name],Tables[],5,0)</f>
        <v>GroupUser</v>
      </c>
      <c r="E4" s="1" t="s">
        <v>161</v>
      </c>
      <c r="F4" s="1" t="s">
        <v>341</v>
      </c>
      <c r="G4" s="11">
        <v>2</v>
      </c>
      <c r="H4" s="6" t="s">
        <v>795</v>
      </c>
      <c r="I4" s="11">
        <v>800200</v>
      </c>
      <c r="J4" s="8" t="str">
        <f>IF(ISNUMBER(SeedMap[Last ID]),"\DB::statement('ALTER TABLE `" &amp;VLOOKUP(SeedMap[[#This Row],[Table Name]],Tables[[Name]:[Table]],2,0) &amp; "`  AUTO_INCREMENT=" &amp; SeedMap[Last ID]+1&amp;"');","")</f>
        <v>\DB::statement('ALTER TABLE `__group_users`  AUTO_INCREMENT=800201');</v>
      </c>
      <c r="K4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__group_users WHERE id &gt; 800200');</v>
      </c>
      <c r="L4" s="63" t="str">
        <f>IF(SeedMap[[#This Row],[Query Method]]="truncate","","\DB::statement('ALTER TABLE `" &amp;VLOOKUP(SeedMap[[#This Row],[Table Name]],Tables[[Name]:[Table]],2,0) &amp; "` AUTO_INCREMENT=1');")</f>
        <v>\DB::statement('ALTER TABLE `__group_users` AUTO_INCREMENT=1');</v>
      </c>
    </row>
    <row r="5" spans="1:12" x14ac:dyDescent="0.25">
      <c r="A5" s="1" t="s">
        <v>79</v>
      </c>
      <c r="B5" s="1" t="s">
        <v>61</v>
      </c>
      <c r="C5" s="1" t="str">
        <f>VLOOKUP(SeedMap[Table Name],Tables[],4,0)</f>
        <v>Milestone\Appframe\Model</v>
      </c>
      <c r="D5" s="1" t="str">
        <f>VLOOKUP(SeedMap[Table Name],Tables[],5,0)</f>
        <v>Role</v>
      </c>
      <c r="E5" s="1" t="s">
        <v>161</v>
      </c>
      <c r="F5" s="1" t="s">
        <v>341</v>
      </c>
      <c r="G5" s="11">
        <v>2</v>
      </c>
      <c r="H5" s="6" t="s">
        <v>795</v>
      </c>
      <c r="I5" s="11">
        <v>800300</v>
      </c>
      <c r="J5" s="8" t="str">
        <f>IF(ISNUMBER(SeedMap[Last ID]),"\DB::statement('ALTER TABLE `" &amp;VLOOKUP(SeedMap[[#This Row],[Table Name]],Tables[[Name]:[Table]],2,0) &amp; "`  AUTO_INCREMENT=" &amp; SeedMap[Last ID]+1&amp;"');","")</f>
        <v>\DB::statement('ALTER TABLE `__roles`  AUTO_INCREMENT=800301');</v>
      </c>
      <c r="K5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__roles WHERE id &gt; 800300');</v>
      </c>
      <c r="L5" s="63" t="str">
        <f>IF(SeedMap[[#This Row],[Query Method]]="truncate","","\DB::statement('ALTER TABLE `" &amp;VLOOKUP(SeedMap[[#This Row],[Table Name]],Tables[[Name]:[Table]],2,0) &amp; "` AUTO_INCREMENT=1');")</f>
        <v>\DB::statement('ALTER TABLE `__roles` AUTO_INCREMENT=1');</v>
      </c>
    </row>
    <row r="6" spans="1:12" x14ac:dyDescent="0.25">
      <c r="A6" s="1" t="s">
        <v>93</v>
      </c>
      <c r="B6" s="1" t="s">
        <v>62</v>
      </c>
      <c r="C6" s="1" t="str">
        <f>VLOOKUP(SeedMap[Table Name],Tables[],4,0)</f>
        <v>Milestone\Appframe\Model</v>
      </c>
      <c r="D6" s="1" t="str">
        <f>VLOOKUP(SeedMap[Table Name],Tables[],5,0)</f>
        <v>GroupRole</v>
      </c>
      <c r="E6" s="1" t="s">
        <v>161</v>
      </c>
      <c r="F6" s="1" t="s">
        <v>341</v>
      </c>
      <c r="G6" s="11">
        <v>2</v>
      </c>
      <c r="H6" s="6" t="s">
        <v>795</v>
      </c>
      <c r="I6" s="11">
        <v>800400</v>
      </c>
      <c r="J6" s="8" t="str">
        <f>IF(ISNUMBER(SeedMap[Last ID]),"\DB::statement('ALTER TABLE `" &amp;VLOOKUP(SeedMap[[#This Row],[Table Name]],Tables[[Name]:[Table]],2,0) &amp; "`  AUTO_INCREMENT=" &amp; SeedMap[Last ID]+1&amp;"');","")</f>
        <v>\DB::statement('ALTER TABLE `__group_roles`  AUTO_INCREMENT=800401');</v>
      </c>
      <c r="K6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__group_roles WHERE id &gt; 800400');</v>
      </c>
      <c r="L6" s="63" t="str">
        <f>IF(SeedMap[[#This Row],[Query Method]]="truncate","","\DB::statement('ALTER TABLE `" &amp;VLOOKUP(SeedMap[[#This Row],[Table Name]],Tables[[Name]:[Table]],2,0) &amp; "` AUTO_INCREMENT=1');")</f>
        <v>\DB::statement('ALTER TABLE `__group_roles` AUTO_INCREMENT=1');</v>
      </c>
    </row>
    <row r="7" spans="1:12" x14ac:dyDescent="0.25">
      <c r="A7" s="1" t="s">
        <v>92</v>
      </c>
      <c r="B7" s="1" t="s">
        <v>2</v>
      </c>
      <c r="C7" s="1" t="str">
        <f>VLOOKUP(SeedMap[Table Name],Tables[],4,0)</f>
        <v>Milestone\Appframe\Model</v>
      </c>
      <c r="D7" s="1" t="str">
        <f>VLOOKUP(SeedMap[Table Name],Tables[],5,0)</f>
        <v>Resource</v>
      </c>
      <c r="E7" s="1" t="s">
        <v>343</v>
      </c>
      <c r="F7" s="1" t="s">
        <v>346</v>
      </c>
      <c r="G7" s="11">
        <v>3</v>
      </c>
      <c r="H7" s="6" t="s">
        <v>795</v>
      </c>
      <c r="I7" s="11">
        <v>800500</v>
      </c>
      <c r="J7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`__resources`  AUTO_INCREMENT=800501');</v>
      </c>
      <c r="K7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__resources WHERE id &gt; 800500');</v>
      </c>
      <c r="L7" s="63" t="str">
        <f>IF(SeedMap[[#This Row],[Query Method]]="truncate","","\DB::statement('ALTER TABLE `" &amp;VLOOKUP(SeedMap[[#This Row],[Table Name]],Tables[[Name]:[Table]],2,0) &amp; "` AUTO_INCREMENT=1');")</f>
        <v>\DB::statement('ALTER TABLE `__resources` AUTO_INCREMENT=1');</v>
      </c>
    </row>
    <row r="8" spans="1:12" x14ac:dyDescent="0.25">
      <c r="A8" s="1" t="s">
        <v>94</v>
      </c>
      <c r="B8" s="1" t="s">
        <v>89</v>
      </c>
      <c r="C8" s="1" t="str">
        <f>VLOOKUP(SeedMap[Table Name],Tables[],4,0)</f>
        <v>Milestone\Appframe\Model</v>
      </c>
      <c r="D8" s="1" t="str">
        <f>VLOOKUP(SeedMap[Table Name],Tables[],5,0)</f>
        <v>ResourceRole</v>
      </c>
      <c r="E8" s="1" t="s">
        <v>161</v>
      </c>
      <c r="F8" s="1" t="s">
        <v>341</v>
      </c>
      <c r="G8" s="11">
        <v>2</v>
      </c>
      <c r="H8" s="6" t="s">
        <v>795</v>
      </c>
      <c r="I8" s="11">
        <v>800600</v>
      </c>
      <c r="J8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`__resource_roles`  AUTO_INCREMENT=800601');</v>
      </c>
      <c r="K8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__resource_roles WHERE id &gt; 800600');</v>
      </c>
      <c r="L8" s="63" t="str">
        <f>IF(SeedMap[[#This Row],[Query Method]]="truncate","","\DB::statement('ALTER TABLE `" &amp;VLOOKUP(SeedMap[[#This Row],[Table Name]],Tables[[Name]:[Table]],2,0) &amp; "` AUTO_INCREMENT=1');")</f>
        <v>\DB::statement('ALTER TABLE `__resource_roles` AUTO_INCREMENT=1');</v>
      </c>
    </row>
    <row r="9" spans="1:12" x14ac:dyDescent="0.25">
      <c r="A9" s="2" t="s">
        <v>163</v>
      </c>
      <c r="B9" s="2" t="s">
        <v>0</v>
      </c>
      <c r="C9" s="1" t="str">
        <f>VLOOKUP(SeedMap[Table Name],Tables[],4,0)</f>
        <v>Milestone\Appframe\Model</v>
      </c>
      <c r="D9" s="1" t="str">
        <f>VLOOKUP(SeedMap[Table Name],Tables[],5,0)</f>
        <v>ResourceScope</v>
      </c>
      <c r="E9" s="1" t="s">
        <v>387</v>
      </c>
      <c r="F9" s="1" t="s">
        <v>388</v>
      </c>
      <c r="G9" s="11">
        <v>3</v>
      </c>
      <c r="H9" s="6" t="s">
        <v>795</v>
      </c>
      <c r="I9" s="11">
        <v>800700</v>
      </c>
      <c r="J9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`__resource_scopes`  AUTO_INCREMENT=800701');</v>
      </c>
      <c r="K9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__resource_scopes WHERE id &gt; 800700');</v>
      </c>
      <c r="L9" s="63" t="str">
        <f>IF(SeedMap[[#This Row],[Query Method]]="truncate","","\DB::statement('ALTER TABLE `" &amp;VLOOKUP(SeedMap[[#This Row],[Table Name]],Tables[[Name]:[Table]],2,0) &amp; "` AUTO_INCREMENT=1');")</f>
        <v>\DB::statement('ALTER TABLE `__resource_scopes` AUTO_INCREMENT=1');</v>
      </c>
    </row>
    <row r="10" spans="1:12" x14ac:dyDescent="0.25">
      <c r="A10" s="1" t="s">
        <v>165</v>
      </c>
      <c r="B10" s="1" t="s">
        <v>3</v>
      </c>
      <c r="C10" s="1" t="str">
        <f>VLOOKUP(SeedMap[Table Name],Tables[],4,0)</f>
        <v>Milestone\Appframe\Model</v>
      </c>
      <c r="D10" s="1" t="str">
        <f>VLOOKUP(SeedMap[Table Name],Tables[],5,0)</f>
        <v>ResourceRelation</v>
      </c>
      <c r="E10" s="1" t="s">
        <v>347</v>
      </c>
      <c r="F10" s="1" t="s">
        <v>348</v>
      </c>
      <c r="G10" s="11">
        <v>6</v>
      </c>
      <c r="H10" s="6" t="s">
        <v>795</v>
      </c>
      <c r="I10" s="11">
        <v>800800</v>
      </c>
      <c r="J10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`__resource_relations`  AUTO_INCREMENT=800801');</v>
      </c>
      <c r="K10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__resource_relations WHERE id &gt; 800800');</v>
      </c>
      <c r="L10" s="63" t="str">
        <f>IF(SeedMap[[#This Row],[Query Method]]="truncate","","\DB::statement('ALTER TABLE `" &amp;VLOOKUP(SeedMap[[#This Row],[Table Name]],Tables[[Name]:[Table]],2,0) &amp; "` AUTO_INCREMENT=1');")</f>
        <v>\DB::statement('ALTER TABLE `__resource_relations` AUTO_INCREMENT=1');</v>
      </c>
    </row>
    <row r="11" spans="1:12" x14ac:dyDescent="0.25">
      <c r="A11" s="2" t="s">
        <v>159</v>
      </c>
      <c r="B11" s="2" t="s">
        <v>6</v>
      </c>
      <c r="C11" s="2" t="str">
        <f>VLOOKUP(SeedMap[Table Name],Tables[],4,0)</f>
        <v>Milestone\Appframe\Model</v>
      </c>
      <c r="D11" s="2" t="str">
        <f>VLOOKUP(SeedMap[Table Name],Tables[],5,0)</f>
        <v>ResourceForm</v>
      </c>
      <c r="E11" s="1" t="s">
        <v>350</v>
      </c>
      <c r="F11" s="1" t="s">
        <v>351</v>
      </c>
      <c r="G11" s="11">
        <v>4</v>
      </c>
      <c r="H11" s="6" t="s">
        <v>795</v>
      </c>
      <c r="I11" s="11">
        <v>800900</v>
      </c>
      <c r="J11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`__resource_forms`  AUTO_INCREMENT=800901');</v>
      </c>
      <c r="K11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__resource_forms WHERE id &gt; 800900');</v>
      </c>
      <c r="L11" s="63" t="str">
        <f>IF(SeedMap[[#This Row],[Query Method]]="truncate","","\DB::statement('ALTER TABLE `" &amp;VLOOKUP(SeedMap[[#This Row],[Table Name]],Tables[[Name]:[Table]],2,0) &amp; "` AUTO_INCREMENT=1');")</f>
        <v>\DB::statement('ALTER TABLE `__resource_forms` AUTO_INCREMENT=1');</v>
      </c>
    </row>
    <row r="12" spans="1:12" x14ac:dyDescent="0.25">
      <c r="A12" s="2" t="s">
        <v>137</v>
      </c>
      <c r="B12" s="2" t="s">
        <v>48</v>
      </c>
      <c r="C12" s="2" t="str">
        <f>VLOOKUP(SeedMap[Table Name],Tables[],4,0)</f>
        <v>Milestone\Appframe\Model</v>
      </c>
      <c r="D12" s="2" t="str">
        <f>VLOOKUP(SeedMap[Table Name],Tables[],5,0)</f>
        <v>ResourceFormField</v>
      </c>
      <c r="E12" s="1" t="s">
        <v>353</v>
      </c>
      <c r="F12" s="1" t="s">
        <v>354</v>
      </c>
      <c r="G12" s="11">
        <v>4</v>
      </c>
      <c r="H12" s="6" t="s">
        <v>795</v>
      </c>
      <c r="I12" s="11">
        <v>801000</v>
      </c>
      <c r="J12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`__resource_form_fields`  AUTO_INCREMENT=801001');</v>
      </c>
      <c r="K12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__resource_form_fields WHERE id &gt; 801000');</v>
      </c>
      <c r="L12" s="63" t="str">
        <f>IF(SeedMap[[#This Row],[Query Method]]="truncate","","\DB::statement('ALTER TABLE `" &amp;VLOOKUP(SeedMap[[#This Row],[Table Name]],Tables[[Name]:[Table]],2,0) &amp; "` AUTO_INCREMENT=1');")</f>
        <v>\DB::statement('ALTER TABLE `__resource_form_fields` AUTO_INCREMENT=1');</v>
      </c>
    </row>
    <row r="13" spans="1:12" x14ac:dyDescent="0.25">
      <c r="A13" s="2" t="s">
        <v>182</v>
      </c>
      <c r="B13" s="2" t="s">
        <v>50</v>
      </c>
      <c r="C13" s="2" t="str">
        <f>VLOOKUP(SeedMap[Table Name],Tables[],4,0)</f>
        <v>Milestone\Appframe\Model</v>
      </c>
      <c r="D13" s="2" t="str">
        <f>VLOOKUP(SeedMap[Table Name],Tables[],5,0)</f>
        <v>ResourceFormFieldData</v>
      </c>
      <c r="E13" s="1" t="s">
        <v>353</v>
      </c>
      <c r="F13" s="1" t="s">
        <v>360</v>
      </c>
      <c r="G13" s="11">
        <v>3</v>
      </c>
      <c r="H13" s="6" t="s">
        <v>795</v>
      </c>
      <c r="I13" s="11">
        <v>801100</v>
      </c>
      <c r="J13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`__resource_form_field_data`  AUTO_INCREMENT=801101');</v>
      </c>
      <c r="K13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__resource_form_field_data WHERE id &gt; 801100');</v>
      </c>
      <c r="L13" s="63" t="str">
        <f>IF(SeedMap[[#This Row],[Query Method]]="truncate","","\DB::statement('ALTER TABLE `" &amp;VLOOKUP(SeedMap[[#This Row],[Table Name]],Tables[[Name]:[Table]],2,0) &amp; "` AUTO_INCREMENT=1');")</f>
        <v>\DB::statement('ALTER TABLE `__resource_form_field_data` AUTO_INCREMENT=1');</v>
      </c>
    </row>
    <row r="14" spans="1:12" x14ac:dyDescent="0.25">
      <c r="A14" s="4" t="s">
        <v>173</v>
      </c>
      <c r="B14" s="4" t="s">
        <v>168</v>
      </c>
      <c r="C14" s="2" t="str">
        <f>VLOOKUP(SeedMap[Table Name],Tables[],4,0)</f>
        <v>Milestone\Appframe\Model</v>
      </c>
      <c r="D14" s="2" t="str">
        <f>VLOOKUP(SeedMap[Table Name],Tables[],5,0)</f>
        <v>ResourceFormFieldOption</v>
      </c>
      <c r="E14" s="1" t="s">
        <v>353</v>
      </c>
      <c r="F14" s="1" t="s">
        <v>364</v>
      </c>
      <c r="G14" s="11">
        <v>2</v>
      </c>
      <c r="H14" s="6" t="s">
        <v>795</v>
      </c>
      <c r="I14" s="11">
        <v>801200</v>
      </c>
      <c r="J14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`__resource_form_field_options`  AUTO_INCREMENT=801201');</v>
      </c>
      <c r="K14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__resource_form_field_options WHERE id &gt; 801200');</v>
      </c>
      <c r="L14" s="63" t="str">
        <f>IF(SeedMap[[#This Row],[Query Method]]="truncate","","\DB::statement('ALTER TABLE `" &amp;VLOOKUP(SeedMap[[#This Row],[Table Name]],Tables[[Name]:[Table]],2,0) &amp; "` AUTO_INCREMENT=1');")</f>
        <v>\DB::statement('ALTER TABLE `__resource_form_field_options` AUTO_INCREMENT=1');</v>
      </c>
    </row>
    <row r="15" spans="1:12" x14ac:dyDescent="0.25">
      <c r="A15" s="2" t="s">
        <v>329</v>
      </c>
      <c r="B15" s="4" t="s">
        <v>49</v>
      </c>
      <c r="C15" s="2" t="str">
        <f>VLOOKUP(SeedMap[Table Name],Tables[],4,0)</f>
        <v>Milestone\Appframe\Model</v>
      </c>
      <c r="D15" s="2" t="str">
        <f>VLOOKUP(SeedMap[Table Name],Tables[],5,0)</f>
        <v>ResourceFormFieldAttr</v>
      </c>
      <c r="E15" s="1" t="s">
        <v>370</v>
      </c>
      <c r="F15" s="1" t="s">
        <v>371</v>
      </c>
      <c r="G15" s="11">
        <v>1</v>
      </c>
      <c r="H15" s="6" t="s">
        <v>795</v>
      </c>
      <c r="I15" s="11">
        <v>801300</v>
      </c>
      <c r="J15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`__resource_form_field_attrs`  AUTO_INCREMENT=801301');</v>
      </c>
      <c r="K15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__resource_form_field_attrs WHERE id &gt; 801300');</v>
      </c>
      <c r="L15" s="63" t="str">
        <f>IF(SeedMap[[#This Row],[Query Method]]="truncate","","\DB::statement('ALTER TABLE `" &amp;VLOOKUP(SeedMap[[#This Row],[Table Name]],Tables[[Name]:[Table]],2,0) &amp; "` AUTO_INCREMENT=1');")</f>
        <v>\DB::statement('ALTER TABLE `__resource_form_field_attrs` AUTO_INCREMENT=1');</v>
      </c>
    </row>
    <row r="16" spans="1:12" x14ac:dyDescent="0.25">
      <c r="A16" s="4" t="s">
        <v>267</v>
      </c>
      <c r="B16" s="4" t="s">
        <v>265</v>
      </c>
      <c r="C16" s="2" t="str">
        <f>VLOOKUP(SeedMap[Table Name],Tables[],4,0)</f>
        <v>Milestone\Appframe\Model</v>
      </c>
      <c r="D16" s="2" t="str">
        <f>VLOOKUP(SeedMap[Table Name],Tables[],5,0)</f>
        <v>ResourceFormFieldDynamic</v>
      </c>
      <c r="E16" s="1" t="s">
        <v>478</v>
      </c>
      <c r="F16" s="1" t="s">
        <v>479</v>
      </c>
      <c r="G16" s="11">
        <v>1</v>
      </c>
      <c r="H16" s="6" t="s">
        <v>795</v>
      </c>
      <c r="I16" s="11">
        <v>801400</v>
      </c>
      <c r="J16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`__resource_form_field_dynamic`  AUTO_INCREMENT=801401');</v>
      </c>
      <c r="K16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__resource_form_field_dynamic WHERE id &gt; 801400');</v>
      </c>
      <c r="L16" s="63" t="str">
        <f>IF(SeedMap[[#This Row],[Query Method]]="truncate","","\DB::statement('ALTER TABLE `" &amp;VLOOKUP(SeedMap[[#This Row],[Table Name]],Tables[[Name]:[Table]],2,0) &amp; "` AUTO_INCREMENT=1');")</f>
        <v>\DB::statement('ALTER TABLE `__resource_form_field_dynamic` AUTO_INCREMENT=1');</v>
      </c>
    </row>
    <row r="17" spans="1:12" x14ac:dyDescent="0.25">
      <c r="A17" s="2" t="s">
        <v>177</v>
      </c>
      <c r="B17" s="4" t="s">
        <v>51</v>
      </c>
      <c r="C17" s="2" t="str">
        <f>VLOOKUP(SeedMap[Table Name],Tables[],4,0)</f>
        <v>Milestone\Appframe\Model</v>
      </c>
      <c r="D17" s="2" t="str">
        <f>VLOOKUP(SeedMap[Table Name],Tables[],5,0)</f>
        <v>ResourceFormFieldValidation</v>
      </c>
      <c r="E17" s="1" t="s">
        <v>372</v>
      </c>
      <c r="F17" s="1" t="s">
        <v>373</v>
      </c>
      <c r="G17" s="11">
        <v>1</v>
      </c>
      <c r="H17" s="6" t="s">
        <v>795</v>
      </c>
      <c r="I17" s="11">
        <v>801500</v>
      </c>
      <c r="J17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`__resource_form_field_validations`  AUTO_INCREMENT=801501');</v>
      </c>
      <c r="K17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__resource_form_field_validations WHERE id &gt; 801500');</v>
      </c>
      <c r="L17" s="63" t="str">
        <f>IF(SeedMap[[#This Row],[Query Method]]="truncate","","\DB::statement('ALTER TABLE `" &amp;VLOOKUP(SeedMap[[#This Row],[Table Name]],Tables[[Name]:[Table]],2,0) &amp; "` AUTO_INCREMENT=1');")</f>
        <v>\DB::statement('ALTER TABLE `__resource_form_field_validations` AUTO_INCREMENT=1');</v>
      </c>
    </row>
    <row r="18" spans="1:12" x14ac:dyDescent="0.25">
      <c r="A18" s="4" t="s">
        <v>242</v>
      </c>
      <c r="B18" s="4" t="s">
        <v>237</v>
      </c>
      <c r="C18" s="2" t="str">
        <f>VLOOKUP(SeedMap[Table Name],Tables[],4,0)</f>
        <v>Milestone\Appframe\Model</v>
      </c>
      <c r="D18" s="2" t="str">
        <f>VLOOKUP(SeedMap[Table Name],Tables[],5,0)</f>
        <v>ResourceFormFieldDepend</v>
      </c>
      <c r="E18" s="1" t="s">
        <v>474</v>
      </c>
      <c r="F18" s="1" t="s">
        <v>475</v>
      </c>
      <c r="G18" s="11">
        <v>1</v>
      </c>
      <c r="H18" s="6" t="s">
        <v>795</v>
      </c>
      <c r="I18" s="11">
        <v>801600</v>
      </c>
      <c r="J18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`__resource_form_field_depends`  AUTO_INCREMENT=801601');</v>
      </c>
      <c r="K18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__resource_form_field_depends WHERE id &gt; 801600');</v>
      </c>
      <c r="L18" s="63" t="str">
        <f>IF(SeedMap[[#This Row],[Query Method]]="truncate","","\DB::statement('ALTER TABLE `" &amp;VLOOKUP(SeedMap[[#This Row],[Table Name]],Tables[[Name]:[Table]],2,0) &amp; "` AUTO_INCREMENT=1');")</f>
        <v>\DB::statement('ALTER TABLE `__resource_form_field_depends` AUTO_INCREMENT=1');</v>
      </c>
    </row>
    <row r="19" spans="1:12" x14ac:dyDescent="0.25">
      <c r="A19" s="4" t="s">
        <v>214</v>
      </c>
      <c r="B19" s="4" t="s">
        <v>211</v>
      </c>
      <c r="C19" s="2" t="str">
        <f>VLOOKUP(SeedMap[Table Name],Tables[],4,0)</f>
        <v>Milestone\Appframe\Model</v>
      </c>
      <c r="D19" s="2" t="str">
        <f>VLOOKUP(SeedMap[Table Name],Tables[],5,0)</f>
        <v>ResourceFormLayout</v>
      </c>
      <c r="E19" s="1" t="s">
        <v>353</v>
      </c>
      <c r="F19" s="1" t="s">
        <v>369</v>
      </c>
      <c r="G19" s="11">
        <v>2</v>
      </c>
      <c r="H19" s="6" t="s">
        <v>795</v>
      </c>
      <c r="I19" s="11">
        <v>801700</v>
      </c>
      <c r="J19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`__resource_form_layout`  AUTO_INCREMENT=801701');</v>
      </c>
      <c r="K19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__resource_form_layout WHERE id &gt; 801700');</v>
      </c>
      <c r="L19" s="63" t="str">
        <f>IF(SeedMap[[#This Row],[Query Method]]="truncate","","\DB::statement('ALTER TABLE `" &amp;VLOOKUP(SeedMap[[#This Row],[Table Name]],Tables[[Name]:[Table]],2,0) &amp; "` AUTO_INCREMENT=1');")</f>
        <v>\DB::statement('ALTER TABLE `__resource_form_layout` AUTO_INCREMENT=1');</v>
      </c>
    </row>
    <row r="20" spans="1:12" x14ac:dyDescent="0.25">
      <c r="A20" s="4" t="s">
        <v>482</v>
      </c>
      <c r="B20" s="4" t="s">
        <v>481</v>
      </c>
      <c r="C20" s="4" t="str">
        <f>VLOOKUP(SeedMap[Table Name],Tables[],4,0)</f>
        <v>Milestone\Appframe\Model</v>
      </c>
      <c r="D20" s="4" t="str">
        <f>VLOOKUP(SeedMap[Table Name],Tables[],5,0)</f>
        <v>ResourceFormDataMap</v>
      </c>
      <c r="E20" s="1" t="s">
        <v>490</v>
      </c>
      <c r="F20" s="1" t="s">
        <v>491</v>
      </c>
      <c r="G20" s="31">
        <v>1</v>
      </c>
      <c r="H20" s="6" t="s">
        <v>795</v>
      </c>
      <c r="I20" s="11">
        <v>801800</v>
      </c>
      <c r="J20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`__resource_form_data_map`  AUTO_INCREMENT=801801');</v>
      </c>
      <c r="K20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__resource_form_data_map WHERE id &gt; 801800');</v>
      </c>
      <c r="L20" s="63" t="str">
        <f>IF(SeedMap[[#This Row],[Query Method]]="truncate","","\DB::statement('ALTER TABLE `" &amp;VLOOKUP(SeedMap[[#This Row],[Table Name]],Tables[[Name]:[Table]],2,0) &amp; "` AUTO_INCREMENT=1');")</f>
        <v>\DB::statement('ALTER TABLE `__resource_form_data_map` AUTO_INCREMENT=1');</v>
      </c>
    </row>
    <row r="21" spans="1:12" x14ac:dyDescent="0.25">
      <c r="A21" s="4" t="s">
        <v>179</v>
      </c>
      <c r="B21" s="4" t="s">
        <v>66</v>
      </c>
      <c r="C21" s="2" t="str">
        <f>VLOOKUP(SeedMap[Table Name],Tables[],4,0)</f>
        <v>Milestone\Appframe\Model</v>
      </c>
      <c r="D21" s="2" t="str">
        <f>VLOOKUP(SeedMap[Table Name],Tables[],5,0)</f>
        <v>ResourceFormDefault</v>
      </c>
      <c r="E21" s="1" t="s">
        <v>390</v>
      </c>
      <c r="F21" s="1" t="s">
        <v>388</v>
      </c>
      <c r="G21" s="11">
        <v>2</v>
      </c>
      <c r="H21" s="6" t="s">
        <v>795</v>
      </c>
      <c r="I21" s="11">
        <v>801900</v>
      </c>
      <c r="J21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`__resource_form_defaults`  AUTO_INCREMENT=801901');</v>
      </c>
      <c r="K21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__resource_form_defaults WHERE id &gt; 801900');</v>
      </c>
      <c r="L21" s="63" t="str">
        <f>IF(SeedMap[[#This Row],[Query Method]]="truncate","","\DB::statement('ALTER TABLE `" &amp;VLOOKUP(SeedMap[[#This Row],[Table Name]],Tables[[Name]:[Table]],2,0) &amp; "` AUTO_INCREMENT=1');")</f>
        <v>\DB::statement('ALTER TABLE `__resource_form_defaults` AUTO_INCREMENT=1');</v>
      </c>
    </row>
    <row r="22" spans="1:12" x14ac:dyDescent="0.25">
      <c r="A22" s="4" t="s">
        <v>229</v>
      </c>
      <c r="B22" s="4" t="s">
        <v>225</v>
      </c>
      <c r="C22" s="2" t="str">
        <f>VLOOKUP(SeedMap[Table Name],Tables[],4,0)</f>
        <v>Milestone\Appframe\Model</v>
      </c>
      <c r="D22" s="2" t="str">
        <f>VLOOKUP(SeedMap[Table Name],Tables[],5,0)</f>
        <v>ResourceFormCollection</v>
      </c>
      <c r="E22" s="1" t="s">
        <v>403</v>
      </c>
      <c r="F22" s="1" t="s">
        <v>404</v>
      </c>
      <c r="G22" s="11">
        <v>5</v>
      </c>
      <c r="H22" s="6" t="s">
        <v>795</v>
      </c>
      <c r="I22" s="11">
        <v>802000</v>
      </c>
      <c r="J22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`__resource_form_collection`  AUTO_INCREMENT=802001');</v>
      </c>
      <c r="K22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__resource_form_collection WHERE id &gt; 802000');</v>
      </c>
      <c r="L22" s="63" t="str">
        <f>IF(SeedMap[[#This Row],[Query Method]]="truncate","","\DB::statement('ALTER TABLE `" &amp;VLOOKUP(SeedMap[[#This Row],[Table Name]],Tables[[Name]:[Table]],2,0) &amp; "` AUTO_INCREMENT=1');")</f>
        <v>\DB::statement('ALTER TABLE `__resource_form_collection` AUTO_INCREMENT=1');</v>
      </c>
    </row>
    <row r="23" spans="1:12" x14ac:dyDescent="0.25">
      <c r="A23" s="2" t="s">
        <v>292</v>
      </c>
      <c r="B23" s="2" t="s">
        <v>285</v>
      </c>
      <c r="C23" s="2" t="str">
        <f>VLOOKUP(SeedMap[Table Name],Tables[],4,0)</f>
        <v>Milestone\Appframe\Model</v>
      </c>
      <c r="D23" s="2" t="str">
        <f>VLOOKUP(SeedMap[Table Name],Tables[],5,0)</f>
        <v>ResourceFormUpload</v>
      </c>
      <c r="E23" s="1" t="s">
        <v>161</v>
      </c>
      <c r="F23" s="1" t="s">
        <v>341</v>
      </c>
      <c r="G23" s="11">
        <v>2</v>
      </c>
      <c r="H23" s="6" t="s">
        <v>795</v>
      </c>
      <c r="I23" s="11">
        <v>802100</v>
      </c>
      <c r="J23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`__resource_form_upload`  AUTO_INCREMENT=802101');</v>
      </c>
      <c r="K23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__resource_form_upload WHERE id &gt; 802100');</v>
      </c>
      <c r="L23" s="63" t="str">
        <f>IF(SeedMap[[#This Row],[Query Method]]="truncate","","\DB::statement('ALTER TABLE `" &amp;VLOOKUP(SeedMap[[#This Row],[Table Name]],Tables[[Name]:[Table]],2,0) &amp; "` AUTO_INCREMENT=1');")</f>
        <v>\DB::statement('ALTER TABLE `__resource_form_upload` AUTO_INCREMENT=1');</v>
      </c>
    </row>
    <row r="24" spans="1:12" x14ac:dyDescent="0.25">
      <c r="A24" s="2" t="s">
        <v>164</v>
      </c>
      <c r="B24" s="2" t="s">
        <v>5</v>
      </c>
      <c r="C24" s="2" t="str">
        <f>VLOOKUP(SeedMap[Table Name],Tables[],4,0)</f>
        <v>Milestone\Appframe\Model</v>
      </c>
      <c r="D24" s="2" t="str">
        <f>VLOOKUP(SeedMap[Table Name],Tables[],5,0)</f>
        <v>ResourceList</v>
      </c>
      <c r="E24" s="1" t="s">
        <v>185</v>
      </c>
      <c r="F24" s="1" t="s">
        <v>453</v>
      </c>
      <c r="G24" s="11">
        <v>3</v>
      </c>
      <c r="H24" s="6" t="s">
        <v>795</v>
      </c>
      <c r="I24" s="11">
        <v>802200</v>
      </c>
      <c r="J24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`__resource_lists`  AUTO_INCREMENT=802201');</v>
      </c>
      <c r="K24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__resource_lists WHERE id &gt; 802200');</v>
      </c>
      <c r="L24" s="63" t="str">
        <f>IF(SeedMap[[#This Row],[Query Method]]="truncate","","\DB::statement('ALTER TABLE `" &amp;VLOOKUP(SeedMap[[#This Row],[Table Name]],Tables[[Name]:[Table]],2,0) &amp; "` AUTO_INCREMENT=1');")</f>
        <v>\DB::statement('ALTER TABLE `__resource_lists` AUTO_INCREMENT=1');</v>
      </c>
    </row>
    <row r="25" spans="1:12" x14ac:dyDescent="0.25">
      <c r="A25" s="2" t="s">
        <v>192</v>
      </c>
      <c r="B25" s="2" t="s">
        <v>11</v>
      </c>
      <c r="C25" s="2" t="str">
        <f>VLOOKUP(SeedMap[Table Name],Tables[],4,0)</f>
        <v>Milestone\Appframe\Model</v>
      </c>
      <c r="D25" s="2" t="str">
        <f>VLOOKUP(SeedMap[Table Name],Tables[],5,0)</f>
        <v>ResourceListScope</v>
      </c>
      <c r="E25" s="1" t="s">
        <v>422</v>
      </c>
      <c r="F25" s="1" t="s">
        <v>423</v>
      </c>
      <c r="G25" s="11">
        <v>1</v>
      </c>
      <c r="H25" s="6" t="s">
        <v>795</v>
      </c>
      <c r="I25" s="11">
        <v>802300</v>
      </c>
      <c r="J25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`__resource_list_scopes`  AUTO_INCREMENT=802301');</v>
      </c>
      <c r="K25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__resource_list_scopes WHERE id &gt; 802300');</v>
      </c>
      <c r="L25" s="63" t="str">
        <f>IF(SeedMap[[#This Row],[Query Method]]="truncate","","\DB::statement('ALTER TABLE `" &amp;VLOOKUP(SeedMap[[#This Row],[Table Name]],Tables[[Name]:[Table]],2,0) &amp; "` AUTO_INCREMENT=1');")</f>
        <v>\DB::statement('ALTER TABLE `__resource_list_scopes` AUTO_INCREMENT=1');</v>
      </c>
    </row>
    <row r="26" spans="1:12" x14ac:dyDescent="0.25">
      <c r="A26" s="2" t="s">
        <v>330</v>
      </c>
      <c r="B26" s="4" t="s">
        <v>10</v>
      </c>
      <c r="C26" s="2" t="str">
        <f>VLOOKUP(SeedMap[Table Name],Tables[],4,0)</f>
        <v>Milestone\Appframe\Model</v>
      </c>
      <c r="D26" s="2" t="str">
        <f>VLOOKUP(SeedMap[Table Name],Tables[],5,0)</f>
        <v>ResourceListRelation</v>
      </c>
      <c r="E26" s="1" t="s">
        <v>422</v>
      </c>
      <c r="F26" s="1" t="s">
        <v>424</v>
      </c>
      <c r="G26" s="11">
        <v>1</v>
      </c>
      <c r="H26" s="6" t="s">
        <v>795</v>
      </c>
      <c r="I26" s="11">
        <v>802400</v>
      </c>
      <c r="J26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`__resource_list_relations`  AUTO_INCREMENT=802401');</v>
      </c>
      <c r="K26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__resource_list_relations WHERE id &gt; 802400');</v>
      </c>
      <c r="L26" s="63" t="str">
        <f>IF(SeedMap[[#This Row],[Query Method]]="truncate","","\DB::statement('ALTER TABLE `" &amp;VLOOKUP(SeedMap[[#This Row],[Table Name]],Tables[[Name]:[Table]],2,0) &amp; "` AUTO_INCREMENT=1');")</f>
        <v>\DB::statement('ALTER TABLE `__resource_list_relations` AUTO_INCREMENT=1');</v>
      </c>
    </row>
    <row r="27" spans="1:12" x14ac:dyDescent="0.25">
      <c r="A27" s="2" t="s">
        <v>203</v>
      </c>
      <c r="B27" s="4" t="s">
        <v>200</v>
      </c>
      <c r="C27" s="2" t="str">
        <f>VLOOKUP(SeedMap[Table Name],Tables[],4,0)</f>
        <v>Milestone\Appframe\Model</v>
      </c>
      <c r="D27" s="2" t="str">
        <f>VLOOKUP(SeedMap[Table Name],Tables[],5,0)</f>
        <v>ResourceListLayout</v>
      </c>
      <c r="E27" s="1" t="s">
        <v>433</v>
      </c>
      <c r="F27" s="1" t="s">
        <v>434</v>
      </c>
      <c r="G27" s="11">
        <v>2</v>
      </c>
      <c r="H27" s="6" t="s">
        <v>795</v>
      </c>
      <c r="I27" s="11">
        <v>802500</v>
      </c>
      <c r="J27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`__resource_list_layout`  AUTO_INCREMENT=802501');</v>
      </c>
      <c r="K27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__resource_list_layout WHERE id &gt; 802500');</v>
      </c>
      <c r="L27" s="63" t="str">
        <f>IF(SeedMap[[#This Row],[Query Method]]="truncate","","\DB::statement('ALTER TABLE `" &amp;VLOOKUP(SeedMap[[#This Row],[Table Name]],Tables[[Name]:[Table]],2,0) &amp; "` AUTO_INCREMENT=1');")</f>
        <v>\DB::statement('ALTER TABLE `__resource_list_layout` AUTO_INCREMENT=1');</v>
      </c>
    </row>
    <row r="28" spans="1:12" x14ac:dyDescent="0.25">
      <c r="A28" s="2" t="s">
        <v>235</v>
      </c>
      <c r="B28" s="4" t="s">
        <v>233</v>
      </c>
      <c r="C28" s="2" t="str">
        <f>VLOOKUP(SeedMap[Table Name],Tables[],4,0)</f>
        <v>Milestone\Appframe\Model</v>
      </c>
      <c r="D28" s="2" t="str">
        <f>VLOOKUP(SeedMap[Table Name],Tables[],5,0)</f>
        <v>ResourceListSearch</v>
      </c>
      <c r="E28" s="1" t="s">
        <v>430</v>
      </c>
      <c r="F28" s="1" t="s">
        <v>431</v>
      </c>
      <c r="G28" s="11">
        <v>2</v>
      </c>
      <c r="H28" s="6" t="s">
        <v>795</v>
      </c>
      <c r="I28" s="11">
        <v>802600</v>
      </c>
      <c r="J28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`__resource_list_search`  AUTO_INCREMENT=802601');</v>
      </c>
      <c r="K28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__resource_list_search WHERE id &gt; 802600');</v>
      </c>
      <c r="L28" s="63" t="str">
        <f>IF(SeedMap[[#This Row],[Query Method]]="truncate","","\DB::statement('ALTER TABLE `" &amp;VLOOKUP(SeedMap[[#This Row],[Table Name]],Tables[[Name]:[Table]],2,0) &amp; "` AUTO_INCREMENT=1');")</f>
        <v>\DB::statement('ALTER TABLE `__resource_list_search` AUTO_INCREMENT=1');</v>
      </c>
    </row>
    <row r="29" spans="1:12" x14ac:dyDescent="0.25">
      <c r="A29" s="4" t="s">
        <v>199</v>
      </c>
      <c r="B29" s="4" t="s">
        <v>4</v>
      </c>
      <c r="C29" s="2" t="str">
        <f>VLOOKUP(SeedMap[Table Name],Tables[],4,0)</f>
        <v>Milestone\Appframe\Model</v>
      </c>
      <c r="D29" s="2" t="str">
        <f>VLOOKUP(SeedMap[Table Name],Tables[],5,0)</f>
        <v>ResourceData</v>
      </c>
      <c r="E29" s="1" t="s">
        <v>194</v>
      </c>
      <c r="F29" s="1" t="s">
        <v>388</v>
      </c>
      <c r="G29" s="11">
        <v>3</v>
      </c>
      <c r="H29" s="6" t="s">
        <v>795</v>
      </c>
      <c r="I29" s="11">
        <v>802700</v>
      </c>
      <c r="J29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`__resource_data`  AUTO_INCREMENT=802701');</v>
      </c>
      <c r="K29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__resource_data WHERE id &gt; 802700');</v>
      </c>
      <c r="L29" s="63" t="str">
        <f>IF(SeedMap[[#This Row],[Query Method]]="truncate","","\DB::statement('ALTER TABLE `" &amp;VLOOKUP(SeedMap[[#This Row],[Table Name]],Tables[[Name]:[Table]],2,0) &amp; "` AUTO_INCREMENT=1');")</f>
        <v>\DB::statement('ALTER TABLE `__resource_data` AUTO_INCREMENT=1');</v>
      </c>
    </row>
    <row r="30" spans="1:12" x14ac:dyDescent="0.25">
      <c r="A30" s="4" t="s">
        <v>232</v>
      </c>
      <c r="B30" s="4" t="s">
        <v>205</v>
      </c>
      <c r="C30" s="2" t="str">
        <f>VLOOKUP(SeedMap[Table Name],Tables[],4,0)</f>
        <v>Milestone\Appframe\Model</v>
      </c>
      <c r="D30" s="2" t="str">
        <f>VLOOKUP(SeedMap[Table Name],Tables[],5,0)</f>
        <v>ResourceDataScope</v>
      </c>
      <c r="E30" s="1" t="s">
        <v>441</v>
      </c>
      <c r="F30" s="1" t="s">
        <v>423</v>
      </c>
      <c r="G30" s="11">
        <v>1</v>
      </c>
      <c r="H30" s="6" t="s">
        <v>795</v>
      </c>
      <c r="I30" s="11">
        <v>802800</v>
      </c>
      <c r="J30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`__resource_data_scopes`  AUTO_INCREMENT=802801');</v>
      </c>
      <c r="K30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__resource_data_scopes WHERE id &gt; 802800');</v>
      </c>
      <c r="L30" s="63" t="str">
        <f>IF(SeedMap[[#This Row],[Query Method]]="truncate","","\DB::statement('ALTER TABLE `" &amp;VLOOKUP(SeedMap[[#This Row],[Table Name]],Tables[[Name]:[Table]],2,0) &amp; "` AUTO_INCREMENT=1');")</f>
        <v>\DB::statement('ALTER TABLE `__resource_data_scopes` AUTO_INCREMENT=1');</v>
      </c>
    </row>
    <row r="31" spans="1:12" x14ac:dyDescent="0.25">
      <c r="A31" s="2" t="s">
        <v>197</v>
      </c>
      <c r="B31" s="2" t="s">
        <v>9</v>
      </c>
      <c r="C31" s="2" t="str">
        <f>VLOOKUP(SeedMap[Table Name],Tables[],4,0)</f>
        <v>Milestone\Appframe\Model</v>
      </c>
      <c r="D31" s="2" t="str">
        <f>VLOOKUP(SeedMap[Table Name],Tables[],5,0)</f>
        <v>ResourceDataRelation</v>
      </c>
      <c r="E31" s="1" t="s">
        <v>441</v>
      </c>
      <c r="F31" s="1" t="s">
        <v>424</v>
      </c>
      <c r="G31" s="11">
        <v>1</v>
      </c>
      <c r="H31" s="6" t="s">
        <v>795</v>
      </c>
      <c r="I31" s="11">
        <v>802900</v>
      </c>
      <c r="J31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`__resource_data_relations`  AUTO_INCREMENT=802901');</v>
      </c>
      <c r="K31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__resource_data_relations WHERE id &gt; 802900');</v>
      </c>
      <c r="L31" s="63" t="str">
        <f>IF(SeedMap[[#This Row],[Query Method]]="truncate","","\DB::statement('ALTER TABLE `" &amp;VLOOKUP(SeedMap[[#This Row],[Table Name]],Tables[[Name]:[Table]],2,0) &amp; "` AUTO_INCREMENT=1');")</f>
        <v>\DB::statement('ALTER TABLE `__resource_data_relations` AUTO_INCREMENT=1');</v>
      </c>
    </row>
    <row r="32" spans="1:12" x14ac:dyDescent="0.25">
      <c r="A32" s="4" t="s">
        <v>219</v>
      </c>
      <c r="B32" s="4" t="s">
        <v>216</v>
      </c>
      <c r="C32" s="2" t="str">
        <f>VLOOKUP(SeedMap[Table Name],Tables[],4,0)</f>
        <v>Milestone\Appframe\Model</v>
      </c>
      <c r="D32" s="2" t="str">
        <f>VLOOKUP(SeedMap[Table Name],Tables[],5,0)</f>
        <v>ResourceDataViewSection</v>
      </c>
      <c r="E32" s="1" t="s">
        <v>448</v>
      </c>
      <c r="F32" s="1" t="s">
        <v>544</v>
      </c>
      <c r="G32" s="11">
        <v>3</v>
      </c>
      <c r="H32" s="6" t="s">
        <v>795</v>
      </c>
      <c r="I32" s="11">
        <v>803000</v>
      </c>
      <c r="J32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`__resource_data_view_sections`  AUTO_INCREMENT=803001');</v>
      </c>
      <c r="K32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__resource_data_view_sections WHERE id &gt; 803000');</v>
      </c>
      <c r="L32" s="63" t="str">
        <f>IF(SeedMap[[#This Row],[Query Method]]="truncate","","\DB::statement('ALTER TABLE `" &amp;VLOOKUP(SeedMap[[#This Row],[Table Name]],Tables[[Name]:[Table]],2,0) &amp; "` AUTO_INCREMENT=1');")</f>
        <v>\DB::statement('ALTER TABLE `__resource_data_view_sections` AUTO_INCREMENT=1');</v>
      </c>
    </row>
    <row r="33" spans="1:12" x14ac:dyDescent="0.25">
      <c r="A33" s="4" t="s">
        <v>222</v>
      </c>
      <c r="B33" s="4" t="s">
        <v>217</v>
      </c>
      <c r="C33" s="2" t="str">
        <f>VLOOKUP(SeedMap[Table Name],Tables[],4,0)</f>
        <v>Milestone\Appframe\Model</v>
      </c>
      <c r="D33" s="2" t="str">
        <f>VLOOKUP(SeedMap[Table Name],Tables[],5,0)</f>
        <v>ResourceDataViewSectionItem</v>
      </c>
      <c r="E33" s="1" t="s">
        <v>446</v>
      </c>
      <c r="F33" s="1" t="s">
        <v>447</v>
      </c>
      <c r="G33" s="11">
        <v>2</v>
      </c>
      <c r="H33" s="6" t="s">
        <v>795</v>
      </c>
      <c r="I33" s="11">
        <v>803100</v>
      </c>
      <c r="J33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`__resource_data_view_section_items`  AUTO_INCREMENT=803101');</v>
      </c>
      <c r="K33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__resource_data_view_section_items WHERE id &gt; 803100');</v>
      </c>
      <c r="L33" s="63" t="str">
        <f>IF(SeedMap[[#This Row],[Query Method]]="truncate","","\DB::statement('ALTER TABLE `" &amp;VLOOKUP(SeedMap[[#This Row],[Table Name]],Tables[[Name]:[Table]],2,0) &amp; "` AUTO_INCREMENT=1');")</f>
        <v>\DB::statement('ALTER TABLE `__resource_data_view_section_items` AUTO_INCREMENT=1');</v>
      </c>
    </row>
    <row r="34" spans="1:12" x14ac:dyDescent="0.25">
      <c r="A34" s="2" t="s">
        <v>109</v>
      </c>
      <c r="B34" s="2" t="s">
        <v>8</v>
      </c>
      <c r="C34" s="2" t="str">
        <f>VLOOKUP(SeedMap[Table Name],Tables[],4,0)</f>
        <v>Milestone\Appframe\Model</v>
      </c>
      <c r="D34" s="2" t="str">
        <f>VLOOKUP(SeedMap[Table Name],Tables[],5,0)</f>
        <v>ResourceAction</v>
      </c>
      <c r="E34" s="1" t="s">
        <v>110</v>
      </c>
      <c r="F34" s="1" t="s">
        <v>1060</v>
      </c>
      <c r="G34" s="11">
        <v>3</v>
      </c>
      <c r="H34" s="6" t="s">
        <v>795</v>
      </c>
      <c r="I34" s="11">
        <v>803200</v>
      </c>
      <c r="J34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`__resource_actions`  AUTO_INCREMENT=803201');</v>
      </c>
      <c r="K34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__resource_actions WHERE id &gt; 803200');</v>
      </c>
      <c r="L34" s="63" t="str">
        <f>IF(SeedMap[[#This Row],[Query Method]]="truncate","","\DB::statement('ALTER TABLE `" &amp;VLOOKUP(SeedMap[[#This Row],[Table Name]],Tables[[Name]:[Table]],2,0) &amp; "` AUTO_INCREMENT=1');")</f>
        <v>\DB::statement('ALTER TABLE `__resource_actions` AUTO_INCREMENT=1');</v>
      </c>
    </row>
    <row r="35" spans="1:12" x14ac:dyDescent="0.25">
      <c r="A35" s="2" t="s">
        <v>331</v>
      </c>
      <c r="B35" s="2" t="s">
        <v>47</v>
      </c>
      <c r="C35" s="2" t="str">
        <f>VLOOKUP(SeedMap[Table Name],Tables[],4,0)</f>
        <v>Milestone\Appframe\Model</v>
      </c>
      <c r="D35" s="2" t="str">
        <f>VLOOKUP(SeedMap[Table Name],Tables[],5,0)</f>
        <v>ResourceActionMethod</v>
      </c>
      <c r="E35" s="1" t="s">
        <v>110</v>
      </c>
      <c r="F35" s="1" t="s">
        <v>799</v>
      </c>
      <c r="G35" s="11">
        <v>1</v>
      </c>
      <c r="H35" s="6" t="s">
        <v>795</v>
      </c>
      <c r="I35" s="11">
        <v>803300</v>
      </c>
      <c r="J35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`__resource_action_methods`  AUTO_INCREMENT=803301');</v>
      </c>
      <c r="K35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__resource_action_methods WHERE id &gt; 803300');</v>
      </c>
      <c r="L35" s="63" t="str">
        <f>IF(SeedMap[[#This Row],[Query Method]]="truncate","","\DB::statement('ALTER TABLE `" &amp;VLOOKUP(SeedMap[[#This Row],[Table Name]],Tables[[Name]:[Table]],2,0) &amp; "` AUTO_INCREMENT=1');")</f>
        <v>\DB::statement('ALTER TABLE `__resource_action_methods` AUTO_INCREMENT=1');</v>
      </c>
    </row>
    <row r="36" spans="1:12" x14ac:dyDescent="0.25">
      <c r="A36" s="2" t="s">
        <v>332</v>
      </c>
      <c r="B36" s="2" t="s">
        <v>46</v>
      </c>
      <c r="C36" s="2" t="str">
        <f>VLOOKUP(SeedMap[Table Name],Tables[],4,0)</f>
        <v>Milestone\Appframe\Model</v>
      </c>
      <c r="D36" s="2" t="str">
        <f>VLOOKUP(SeedMap[Table Name],Tables[],5,0)</f>
        <v>ResourceActionAttr</v>
      </c>
      <c r="E36" s="1" t="s">
        <v>450</v>
      </c>
      <c r="F36" s="1" t="s">
        <v>371</v>
      </c>
      <c r="G36" s="11">
        <v>1</v>
      </c>
      <c r="H36" s="6" t="s">
        <v>795</v>
      </c>
      <c r="I36" s="11">
        <v>803400</v>
      </c>
      <c r="J36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`__resource_action_attrs`  AUTO_INCREMENT=803401');</v>
      </c>
      <c r="K36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__resource_action_attrs WHERE id &gt; 803400');</v>
      </c>
      <c r="L36" s="63" t="str">
        <f>IF(SeedMap[[#This Row],[Query Method]]="truncate","","\DB::statement('ALTER TABLE `" &amp;VLOOKUP(SeedMap[[#This Row],[Table Name]],Tables[[Name]:[Table]],2,0) &amp; "` AUTO_INCREMENT=1');")</f>
        <v>\DB::statement('ALTER TABLE `__resource_action_attrs` AUTO_INCREMENT=1');</v>
      </c>
    </row>
    <row r="37" spans="1:12" x14ac:dyDescent="0.25">
      <c r="A37" s="2" t="s">
        <v>333</v>
      </c>
      <c r="B37" s="4" t="s">
        <v>57</v>
      </c>
      <c r="C37" s="2" t="str">
        <f>VLOOKUP(SeedMap[Table Name],Tables[],4,0)</f>
        <v>Milestone\Appframe\Model</v>
      </c>
      <c r="D37" s="2" t="str">
        <f>VLOOKUP(SeedMap[Table Name],Tables[],5,0)</f>
        <v>ResourceActionList</v>
      </c>
      <c r="E37" s="1" t="s">
        <v>383</v>
      </c>
      <c r="F37" s="1" t="s">
        <v>384</v>
      </c>
      <c r="G37" s="11">
        <v>1</v>
      </c>
      <c r="H37" s="6" t="s">
        <v>795</v>
      </c>
      <c r="I37" s="11">
        <v>803500</v>
      </c>
      <c r="J37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`__resource_action_lists`  AUTO_INCREMENT=803501');</v>
      </c>
      <c r="K37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__resource_action_lists WHERE id &gt; 803500');</v>
      </c>
      <c r="L37" s="63" t="str">
        <f>IF(SeedMap[[#This Row],[Query Method]]="truncate","","\DB::statement('ALTER TABLE `" &amp;VLOOKUP(SeedMap[[#This Row],[Table Name]],Tables[[Name]:[Table]],2,0) &amp; "` AUTO_INCREMENT=1');")</f>
        <v>\DB::statement('ALTER TABLE `__resource_action_lists` AUTO_INCREMENT=1');</v>
      </c>
    </row>
    <row r="38" spans="1:12" x14ac:dyDescent="0.25">
      <c r="A38" s="2" t="s">
        <v>334</v>
      </c>
      <c r="B38" s="4" t="s">
        <v>58</v>
      </c>
      <c r="C38" s="2" t="str">
        <f>VLOOKUP(SeedMap[Table Name],Tables[],4,0)</f>
        <v>Milestone\Appframe\Model</v>
      </c>
      <c r="D38" s="2" t="str">
        <f>VLOOKUP(SeedMap[Table Name],Tables[],5,0)</f>
        <v>ResourceActionData</v>
      </c>
      <c r="E38" s="1" t="s">
        <v>383</v>
      </c>
      <c r="F38" s="1" t="s">
        <v>385</v>
      </c>
      <c r="G38" s="11">
        <v>1</v>
      </c>
      <c r="H38" s="6" t="s">
        <v>795</v>
      </c>
      <c r="I38" s="11">
        <v>803600</v>
      </c>
      <c r="J38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`__resource_action_data`  AUTO_INCREMENT=803601');</v>
      </c>
      <c r="K38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__resource_action_data WHERE id &gt; 803600');</v>
      </c>
      <c r="L38" s="63" t="str">
        <f>IF(SeedMap[[#This Row],[Query Method]]="truncate","","\DB::statement('ALTER TABLE `" &amp;VLOOKUP(SeedMap[[#This Row],[Table Name]],Tables[[Name]:[Table]],2,0) &amp; "` AUTO_INCREMENT=1');")</f>
        <v>\DB::statement('ALTER TABLE `__resource_action_data` AUTO_INCREMENT=1');</v>
      </c>
    </row>
    <row r="39" spans="1:12" x14ac:dyDescent="0.25">
      <c r="A39" s="2" t="s">
        <v>537</v>
      </c>
      <c r="B39" s="2" t="s">
        <v>7</v>
      </c>
      <c r="C39" s="2" t="str">
        <f>VLOOKUP(SeedMap[Table Name],Tables[],4,0)</f>
        <v>Milestone\Appframe\Model</v>
      </c>
      <c r="D39" s="2" t="str">
        <f>VLOOKUP(SeedMap[Table Name],Tables[],5,0)</f>
        <v>ResourceDefault</v>
      </c>
      <c r="E39" s="1" t="s">
        <v>542</v>
      </c>
      <c r="F39" s="1" t="s">
        <v>543</v>
      </c>
      <c r="G39" s="11">
        <v>1</v>
      </c>
      <c r="H39" s="6" t="s">
        <v>795</v>
      </c>
      <c r="I39" s="11">
        <v>803700</v>
      </c>
      <c r="J39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`__resource_defaults`  AUTO_INCREMENT=803701');</v>
      </c>
      <c r="K39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__resource_defaults WHERE id &gt; 803700');</v>
      </c>
      <c r="L39" s="63" t="str">
        <f>IF(SeedMap[[#This Row],[Query Method]]="truncate","","\DB::statement('ALTER TABLE `" &amp;VLOOKUP(SeedMap[[#This Row],[Table Name]],Tables[[Name]:[Table]],2,0) &amp; "` AUTO_INCREMENT=1');")</f>
        <v>\DB::statement('ALTER TABLE `__resource_defaults` AUTO_INCREMENT=1');</v>
      </c>
    </row>
    <row r="40" spans="1:12" x14ac:dyDescent="0.25">
      <c r="A40" s="4" t="s">
        <v>255</v>
      </c>
      <c r="B40" s="4" t="s">
        <v>247</v>
      </c>
      <c r="C40" s="2" t="str">
        <f>VLOOKUP(SeedMap[Table Name],Tables[],4,0)</f>
        <v>Milestone\Appframe\Model</v>
      </c>
      <c r="D40" s="2" t="str">
        <f>VLOOKUP(SeedMap[Table Name],Tables[],5,0)</f>
        <v>ResourceMetric</v>
      </c>
      <c r="E40" s="1" t="s">
        <v>161</v>
      </c>
      <c r="F40" s="1" t="s">
        <v>341</v>
      </c>
      <c r="G40" s="11">
        <v>2</v>
      </c>
      <c r="H40" s="6" t="s">
        <v>795</v>
      </c>
      <c r="I40" s="11">
        <v>803800</v>
      </c>
      <c r="J40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`__resource_metrics`  AUTO_INCREMENT=803801');</v>
      </c>
      <c r="K40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__resource_metrics WHERE id &gt; 803800');</v>
      </c>
      <c r="L40" s="63" t="str">
        <f>IF(SeedMap[[#This Row],[Query Method]]="truncate","","\DB::statement('ALTER TABLE `" &amp;VLOOKUP(SeedMap[[#This Row],[Table Name]],Tables[[Name]:[Table]],2,0) &amp; "` AUTO_INCREMENT=1');")</f>
        <v>\DB::statement('ALTER TABLE `__resource_metrics` AUTO_INCREMENT=1');</v>
      </c>
    </row>
    <row r="41" spans="1:12" x14ac:dyDescent="0.25">
      <c r="A41" s="1" t="s">
        <v>260</v>
      </c>
      <c r="B41" s="5" t="s">
        <v>248</v>
      </c>
      <c r="C41" s="4" t="str">
        <f>VLOOKUP(SeedMap[Table Name],Tables[],4,0)</f>
        <v>Milestone\Appframe\Model</v>
      </c>
      <c r="D41" s="4" t="str">
        <f>VLOOKUP(SeedMap[Table Name],Tables[],5,0)</f>
        <v>ResourceDashboard</v>
      </c>
      <c r="E41" s="1" t="s">
        <v>161</v>
      </c>
      <c r="F41" s="1" t="s">
        <v>341</v>
      </c>
      <c r="G41" s="11">
        <v>2</v>
      </c>
      <c r="H41" s="6" t="s">
        <v>795</v>
      </c>
      <c r="I41" s="11">
        <v>803900</v>
      </c>
      <c r="J41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`__resource_dashboard`  AUTO_INCREMENT=803901');</v>
      </c>
      <c r="K41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__resource_dashboard WHERE id &gt; 803900');</v>
      </c>
      <c r="L41" s="63" t="str">
        <f>IF(SeedMap[[#This Row],[Query Method]]="truncate","","\DB::statement('ALTER TABLE `" &amp;VLOOKUP(SeedMap[[#This Row],[Table Name]],Tables[[Name]:[Table]],2,0) &amp; "` AUTO_INCREMENT=1');")</f>
        <v>\DB::statement('ALTER TABLE `__resource_dashboard` AUTO_INCREMENT=1');</v>
      </c>
    </row>
    <row r="42" spans="1:12" x14ac:dyDescent="0.25">
      <c r="A42" s="5" t="s">
        <v>253</v>
      </c>
      <c r="B42" s="5" t="s">
        <v>249</v>
      </c>
      <c r="C42" s="4" t="str">
        <f>VLOOKUP(SeedMap[Table Name],Tables[],4,0)</f>
        <v>Milestone\Appframe\Model</v>
      </c>
      <c r="D42" s="4" t="str">
        <f>VLOOKUP(SeedMap[Table Name],Tables[],5,0)</f>
        <v>ResourceDashboardSection</v>
      </c>
      <c r="E42" s="1" t="s">
        <v>161</v>
      </c>
      <c r="F42" s="1" t="s">
        <v>341</v>
      </c>
      <c r="G42" s="11">
        <v>2</v>
      </c>
      <c r="H42" s="6" t="s">
        <v>795</v>
      </c>
      <c r="I42" s="11">
        <v>804000</v>
      </c>
      <c r="J42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`__resource_dashboard_sections`  AUTO_INCREMENT=804001');</v>
      </c>
      <c r="K42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__resource_dashboard_sections WHERE id &gt; 804000');</v>
      </c>
      <c r="L42" s="63" t="str">
        <f>IF(SeedMap[[#This Row],[Query Method]]="truncate","","\DB::statement('ALTER TABLE `" &amp;VLOOKUP(SeedMap[[#This Row],[Table Name]],Tables[[Name]:[Table]],2,0) &amp; "` AUTO_INCREMENT=1');")</f>
        <v>\DB::statement('ALTER TABLE `__resource_dashboard_sections` AUTO_INCREMENT=1');</v>
      </c>
    </row>
    <row r="43" spans="1:12" x14ac:dyDescent="0.25">
      <c r="A43" s="5" t="s">
        <v>254</v>
      </c>
      <c r="B43" s="5" t="s">
        <v>251</v>
      </c>
      <c r="C43" s="4" t="str">
        <f>VLOOKUP(SeedMap[Table Name],Tables[],4,0)</f>
        <v>Milestone\Appframe\Model</v>
      </c>
      <c r="D43" s="4" t="str">
        <f>VLOOKUP(SeedMap[Table Name],Tables[],5,0)</f>
        <v>ResourceDashboardSectionItem</v>
      </c>
      <c r="E43" s="1" t="s">
        <v>161</v>
      </c>
      <c r="F43" s="1" t="s">
        <v>341</v>
      </c>
      <c r="G43" s="11">
        <v>2</v>
      </c>
      <c r="H43" s="6" t="s">
        <v>795</v>
      </c>
      <c r="I43" s="11">
        <v>804100</v>
      </c>
      <c r="J43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`__resource_dashboard_section_items`  AUTO_INCREMENT=804101');</v>
      </c>
      <c r="K43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__resource_dashboard_section_items WHERE id &gt; 804100');</v>
      </c>
      <c r="L43" s="63" t="str">
        <f>IF(SeedMap[[#This Row],[Query Method]]="truncate","","\DB::statement('ALTER TABLE `" &amp;VLOOKUP(SeedMap[[#This Row],[Table Name]],Tables[[Name]:[Table]],2,0) &amp; "` AUTO_INCREMENT=1');")</f>
        <v>\DB::statement('ALTER TABLE `__resource_dashboard_section_items` AUTO_INCREMENT=1');</v>
      </c>
    </row>
    <row r="44" spans="1:12" x14ac:dyDescent="0.25">
      <c r="A44" s="63" t="s">
        <v>844</v>
      </c>
      <c r="B44" s="63" t="s">
        <v>803</v>
      </c>
      <c r="C44" s="63" t="str">
        <f>VLOOKUP(SeedMap[Table Name],Tables[],4,0)</f>
        <v>Milestone\Task\Model</v>
      </c>
      <c r="D44" s="63" t="str">
        <f>VLOOKUP(SeedMap[Table Name],Tables[],5,0)</f>
        <v>Partner</v>
      </c>
      <c r="E44" s="1" t="s">
        <v>161</v>
      </c>
      <c r="F44" s="1" t="s">
        <v>341</v>
      </c>
      <c r="G44" s="11">
        <v>2</v>
      </c>
      <c r="H44" s="6" t="s">
        <v>859</v>
      </c>
      <c r="I44" s="11"/>
      <c r="J44" s="62" t="str">
        <f>IF(ISNUMBER(SeedMap[Last ID]),"\DB::statement('ALTER TABLE `" &amp;VLOOKUP(SeedMap[[#This Row],[Table Name]],Tables[[Name]:[Table]],2,0) &amp; "`  AUTO_INCREMENT=" &amp; SeedMap[Last ID]+1&amp;"');","")</f>
        <v/>
      </c>
      <c r="K44" s="62" t="str">
        <f>IF(SeedMap[[#This Row],[Query Method]]="truncate","","\DB::statement('DELETE FROM "&amp;VLOOKUP(SeedMap[[#This Row],[Table Name]],Tables[[Name]:[Table]],2,0)&amp;" WHERE id &gt; "&amp;SeedMap[[#This Row],[Last ID]]&amp;"');")</f>
        <v/>
      </c>
      <c r="L44" s="63" t="str">
        <f>IF(SeedMap[[#This Row],[Query Method]]="truncate","","\DB::statement('ALTER TABLE `" &amp;VLOOKUP(SeedMap[[#This Row],[Table Name]],Tables[[Name]:[Table]],2,0) &amp; "` AUTO_INCREMENT=1');")</f>
        <v/>
      </c>
    </row>
    <row r="45" spans="1:12" x14ac:dyDescent="0.25">
      <c r="A45" s="63" t="s">
        <v>96</v>
      </c>
      <c r="B45" s="63" t="s">
        <v>59</v>
      </c>
      <c r="C45" s="63" t="str">
        <f>VLOOKUP(SeedMap[Table Name],Tables[],4,0)</f>
        <v>Milestone\Appframe\Model</v>
      </c>
      <c r="D45" s="63" t="str">
        <f>VLOOKUP(SeedMap[Table Name],Tables[],5,0)</f>
        <v>Group</v>
      </c>
      <c r="E45" s="1" t="s">
        <v>161</v>
      </c>
      <c r="F45" s="1" t="s">
        <v>341</v>
      </c>
      <c r="G45" s="11">
        <v>2</v>
      </c>
      <c r="H45" s="6" t="s">
        <v>859</v>
      </c>
      <c r="I45" s="66"/>
      <c r="J45" s="62" t="str">
        <f>IF(ISNUMBER(SeedMap[Last ID]),"\DB::statement('ALTER TABLE `" &amp;VLOOKUP(SeedMap[[#This Row],[Table Name]],Tables[[Name]:[Table]],2,0) &amp; "`  AUTO_INCREMENT=" &amp; SeedMap[Last ID]+1&amp;"');","")</f>
        <v/>
      </c>
      <c r="K45" s="62" t="str">
        <f>IF(SeedMap[[#This Row],[Query Method]]="truncate","","\DB::statement('DELETE FROM "&amp;VLOOKUP(SeedMap[[#This Row],[Table Name]],Tables[[Name]:[Table]],2,0)&amp;" WHERE id &gt; "&amp;SeedMap[[#This Row],[Last ID]]&amp;"');")</f>
        <v/>
      </c>
      <c r="L45" s="63" t="str">
        <f>IF(SeedMap[[#This Row],[Query Method]]="truncate","","\DB::statement('ALTER TABLE `" &amp;VLOOKUP(SeedMap[[#This Row],[Table Name]],Tables[[Name]:[Table]],2,0) &amp; "` AUTO_INCREMENT=1');")</f>
        <v/>
      </c>
    </row>
    <row r="46" spans="1:12" x14ac:dyDescent="0.25">
      <c r="A46" s="63" t="s">
        <v>845</v>
      </c>
      <c r="B46" s="63" t="s">
        <v>804</v>
      </c>
      <c r="C46" s="63" t="str">
        <f>VLOOKUP(SeedMap[Table Name],Tables[],4,0)</f>
        <v>Milestone\Task\Model</v>
      </c>
      <c r="D46" s="63" t="str">
        <f>VLOOKUP(SeedMap[Table Name],Tables[],5,0)</f>
        <v>GroupPartner</v>
      </c>
      <c r="E46" s="1" t="s">
        <v>161</v>
      </c>
      <c r="F46" s="1" t="s">
        <v>341</v>
      </c>
      <c r="G46" s="11">
        <v>2</v>
      </c>
      <c r="H46" s="6" t="s">
        <v>859</v>
      </c>
      <c r="I46" s="66"/>
      <c r="J46" s="62" t="str">
        <f>IF(ISNUMBER(SeedMap[Last ID]),"\DB::statement('ALTER TABLE `" &amp;VLOOKUP(SeedMap[[#This Row],[Table Name]],Tables[[Name]:[Table]],2,0) &amp; "`  AUTO_INCREMENT=" &amp; SeedMap[Last ID]+1&amp;"');","")</f>
        <v/>
      </c>
      <c r="K46" s="62" t="str">
        <f>IF(SeedMap[[#This Row],[Query Method]]="truncate","","\DB::statement('DELETE FROM "&amp;VLOOKUP(SeedMap[[#This Row],[Table Name]],Tables[[Name]:[Table]],2,0)&amp;" WHERE id &gt; "&amp;SeedMap[[#This Row],[Last ID]]&amp;"');")</f>
        <v/>
      </c>
      <c r="L46" s="63" t="str">
        <f>IF(SeedMap[[#This Row],[Query Method]]="truncate","","\DB::statement('ALTER TABLE `" &amp;VLOOKUP(SeedMap[[#This Row],[Table Name]],Tables[[Name]:[Table]],2,0) &amp; "` AUTO_INCREMENT=1');")</f>
        <v/>
      </c>
    </row>
    <row r="47" spans="1:12" x14ac:dyDescent="0.25">
      <c r="A47" s="63" t="s">
        <v>846</v>
      </c>
      <c r="B47" s="63" t="s">
        <v>802</v>
      </c>
      <c r="C47" s="63" t="str">
        <f>VLOOKUP(SeedMap[Table Name],Tables[],4,0)</f>
        <v>Milestone\Task\Model</v>
      </c>
      <c r="D47" s="63" t="str">
        <f>VLOOKUP(SeedMap[Table Name],Tables[],5,0)</f>
        <v>Task</v>
      </c>
      <c r="E47" s="1" t="s">
        <v>161</v>
      </c>
      <c r="F47" s="1" t="s">
        <v>341</v>
      </c>
      <c r="G47" s="11">
        <v>2</v>
      </c>
      <c r="H47" s="6" t="s">
        <v>859</v>
      </c>
      <c r="I47" s="66"/>
      <c r="J47" s="62" t="str">
        <f>IF(ISNUMBER(SeedMap[Last ID]),"\DB::statement('ALTER TABLE `" &amp;VLOOKUP(SeedMap[[#This Row],[Table Name]],Tables[[Name]:[Table]],2,0) &amp; "`  AUTO_INCREMENT=" &amp; SeedMap[Last ID]+1&amp;"');","")</f>
        <v/>
      </c>
      <c r="K47" s="62" t="str">
        <f>IF(SeedMap[[#This Row],[Query Method]]="truncate","","\DB::statement('DELETE FROM "&amp;VLOOKUP(SeedMap[[#This Row],[Table Name]],Tables[[Name]:[Table]],2,0)&amp;" WHERE id &gt; "&amp;SeedMap[[#This Row],[Last ID]]&amp;"');")</f>
        <v/>
      </c>
      <c r="L47" s="63" t="str">
        <f>IF(SeedMap[[#This Row],[Query Method]]="truncate","","\DB::statement('ALTER TABLE `" &amp;VLOOKUP(SeedMap[[#This Row],[Table Name]],Tables[[Name]:[Table]],2,0) &amp; "` AUTO_INCREMENT=1');")</f>
        <v/>
      </c>
    </row>
    <row r="48" spans="1:12" x14ac:dyDescent="0.25">
      <c r="A48" s="63" t="s">
        <v>847</v>
      </c>
      <c r="B48" s="63" t="s">
        <v>805</v>
      </c>
      <c r="C48" s="63" t="str">
        <f>VLOOKUP(SeedMap[Table Name],Tables[],4,0)</f>
        <v>Milestone\Task\Model</v>
      </c>
      <c r="D48" s="63" t="str">
        <f>VLOOKUP(SeedMap[Table Name],Tables[],5,0)</f>
        <v>PartnerTask</v>
      </c>
      <c r="E48" s="1" t="s">
        <v>161</v>
      </c>
      <c r="F48" s="1" t="s">
        <v>341</v>
      </c>
      <c r="G48" s="11">
        <v>2</v>
      </c>
      <c r="H48" s="6" t="s">
        <v>859</v>
      </c>
      <c r="I48" s="66"/>
      <c r="J48" s="62" t="str">
        <f>IF(ISNUMBER(SeedMap[Last ID]),"\DB::statement('ALTER TABLE `" &amp;VLOOKUP(SeedMap[[#This Row],[Table Name]],Tables[[Name]:[Table]],2,0) &amp; "`  AUTO_INCREMENT=" &amp; SeedMap[Last ID]+1&amp;"');","")</f>
        <v/>
      </c>
      <c r="K48" s="62" t="str">
        <f>IF(SeedMap[[#This Row],[Query Method]]="truncate","","\DB::statement('DELETE FROM "&amp;VLOOKUP(SeedMap[[#This Row],[Table Name]],Tables[[Name]:[Table]],2,0)&amp;" WHERE id &gt; "&amp;SeedMap[[#This Row],[Last ID]]&amp;"');")</f>
        <v/>
      </c>
      <c r="L48" s="63" t="str">
        <f>IF(SeedMap[[#This Row],[Query Method]]="truncate","","\DB::statement('ALTER TABLE `" &amp;VLOOKUP(SeedMap[[#This Row],[Table Name]],Tables[[Name]:[Table]],2,0) &amp; "` AUTO_INCREMENT=1');")</f>
        <v/>
      </c>
    </row>
  </sheetData>
  <dataValidations count="2">
    <dataValidation type="list" allowBlank="1" showInputMessage="1" showErrorMessage="1" sqref="B2:B48">
      <formula1>TableNames</formula1>
    </dataValidation>
    <dataValidation type="list" allowBlank="1" showInputMessage="1" showErrorMessage="1" sqref="H2:H48">
      <formula1>"truncate,query"</formula1>
    </dataValidation>
  </dataValidations>
  <pageMargins left="0.7" right="0.7" top="0.75" bottom="0.75" header="0.3" footer="0.3"/>
  <pageSetup paperSize="9" orientation="portrait" horizontalDpi="4294967293" verticalDpi="30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8"/>
  <sheetViews>
    <sheetView workbookViewId="0">
      <selection sqref="A1:D3"/>
    </sheetView>
  </sheetViews>
  <sheetFormatPr defaultRowHeight="15" x14ac:dyDescent="0.25"/>
  <cols>
    <col min="1" max="16384" width="9.140625" style="20"/>
  </cols>
  <sheetData>
    <row r="1" spans="1:20" s="28" customFormat="1" ht="15" customHeight="1" x14ac:dyDescent="0.25">
      <c r="A1" s="89" t="s">
        <v>214</v>
      </c>
      <c r="B1" s="89"/>
      <c r="C1" s="89"/>
      <c r="D1" s="89"/>
      <c r="E1" s="90" t="str">
        <f>"\"&amp;VLOOKUP($A$1,SeedMap[],3,0)&amp;"\"&amp;VLOOKUP($A$1,SeedMap[],4,0)&amp;"::"&amp;VLOOKUP($A$1,SeedMap[],8,0)&amp;"()"</f>
        <v>\Milestone\Appframe\Model\ResourceFormLayout::query()</v>
      </c>
      <c r="F1" s="90"/>
      <c r="G1" s="90"/>
      <c r="H1" s="90"/>
      <c r="I1" s="91" t="s">
        <v>73</v>
      </c>
      <c r="J1" s="91"/>
      <c r="K1" s="91"/>
      <c r="L1" s="91"/>
      <c r="M1" s="91"/>
      <c r="N1" s="91"/>
      <c r="O1" s="91"/>
      <c r="P1" s="91"/>
      <c r="Q1" s="91"/>
      <c r="R1" s="91"/>
      <c r="S1" s="23" t="str">
        <f>""</f>
        <v/>
      </c>
      <c r="T1" s="10"/>
    </row>
    <row r="2" spans="1:20" s="28" customFormat="1" ht="15" customHeight="1" x14ac:dyDescent="0.25">
      <c r="A2" s="89"/>
      <c r="B2" s="89"/>
      <c r="C2" s="89"/>
      <c r="D2" s="89"/>
      <c r="E2" s="90" t="str">
        <f>VLOOKUP($A$1,SeedMap[],5,0)</f>
        <v>FormFields</v>
      </c>
      <c r="F2" s="90"/>
      <c r="G2" s="90"/>
      <c r="H2" s="90"/>
      <c r="I2" s="91" t="s">
        <v>72</v>
      </c>
      <c r="J2" s="91"/>
      <c r="K2" s="91"/>
      <c r="L2" s="91"/>
      <c r="M2" s="91"/>
      <c r="N2" s="91"/>
      <c r="O2" s="91"/>
      <c r="P2" s="91"/>
      <c r="Q2" s="91"/>
      <c r="R2" s="91"/>
      <c r="S2" s="23" t="str">
        <f>";"</f>
        <v>;</v>
      </c>
      <c r="T2" s="10"/>
    </row>
    <row r="3" spans="1:20" s="28" customFormat="1" ht="15" customHeight="1" x14ac:dyDescent="0.25">
      <c r="A3" s="89"/>
      <c r="B3" s="89"/>
      <c r="C3" s="89"/>
      <c r="D3" s="89"/>
      <c r="E3" s="90" t="str">
        <f>VLOOKUP($A$1,SeedMap[],6,0)</f>
        <v>[[Primary FL]:[Colspan]]</v>
      </c>
      <c r="F3" s="90"/>
      <c r="G3" s="90"/>
      <c r="H3" s="90"/>
      <c r="I3" s="91" t="s">
        <v>158</v>
      </c>
      <c r="J3" s="91"/>
      <c r="K3" s="91"/>
      <c r="L3" s="91"/>
      <c r="M3" s="91"/>
      <c r="N3" s="91"/>
      <c r="O3" s="91"/>
      <c r="P3" s="91"/>
      <c r="Q3" s="91"/>
      <c r="R3" s="91"/>
      <c r="S3" s="23" t="str">
        <f>$I$3</f>
        <v>\DB::statement('set foreign_key_checks = ' . $_);</v>
      </c>
      <c r="T3" s="10"/>
    </row>
    <row r="4" spans="1:20" s="28" customFormat="1" hidden="1" x14ac:dyDescent="0.25">
      <c r="A4" s="24"/>
      <c r="B4" s="21">
        <f>VLOOKUP($A$1,SeedMap[],7,0)</f>
        <v>2</v>
      </c>
      <c r="C4" s="21">
        <v>1</v>
      </c>
      <c r="D4" s="21">
        <f>C$4+1</f>
        <v>2</v>
      </c>
      <c r="E4" s="21">
        <f t="shared" ref="E4:Q4" si="0">D$4+1</f>
        <v>3</v>
      </c>
      <c r="F4" s="21">
        <f t="shared" si="0"/>
        <v>4</v>
      </c>
      <c r="G4" s="21">
        <f t="shared" si="0"/>
        <v>5</v>
      </c>
      <c r="H4" s="21">
        <f t="shared" si="0"/>
        <v>6</v>
      </c>
      <c r="I4" s="21">
        <f t="shared" si="0"/>
        <v>7</v>
      </c>
      <c r="J4" s="21">
        <f t="shared" si="0"/>
        <v>8</v>
      </c>
      <c r="K4" s="21">
        <f t="shared" si="0"/>
        <v>9</v>
      </c>
      <c r="L4" s="21">
        <f t="shared" si="0"/>
        <v>10</v>
      </c>
      <c r="M4" s="21">
        <f t="shared" si="0"/>
        <v>11</v>
      </c>
      <c r="N4" s="21">
        <f t="shared" si="0"/>
        <v>12</v>
      </c>
      <c r="O4" s="21">
        <f t="shared" si="0"/>
        <v>13</v>
      </c>
      <c r="P4" s="21">
        <f t="shared" si="0"/>
        <v>14</v>
      </c>
      <c r="Q4" s="21">
        <f t="shared" si="0"/>
        <v>15</v>
      </c>
      <c r="R4" s="21"/>
      <c r="S4" s="29" t="str">
        <f>"-&gt;create(["</f>
        <v>-&gt;create([</v>
      </c>
      <c r="T4" s="23" t="str">
        <f>"])"</f>
        <v>])</v>
      </c>
    </row>
    <row r="5" spans="1:20" s="28" customFormat="1" hidden="1" x14ac:dyDescent="0.25">
      <c r="A5" s="24"/>
      <c r="B5" s="21"/>
      <c r="C5" s="25" t="str">
        <f ca="1">IFERROR(IF(VLOOKUP($A$1&amp;"-0",INDIRECT($E$2&amp;$E$3),C$4+$B$4,0)=0,"id",VLOOKUP($A$1&amp;"-0",INDIRECT($E$2&amp;$E$3),C$4+$B$4,0)),"")</f>
        <v>id</v>
      </c>
      <c r="D5" s="25" t="str">
        <f t="shared" ref="D5:Q5" ca="1" si="1">IFERROR(IF(VLOOKUP($A$1&amp;"-0",INDIRECT($E$2&amp;$E$3),D$4+$B$4,0)=0,"id",VLOOKUP($A$1&amp;"-0",INDIRECT($E$2&amp;$E$3),D$4+$B$4,0)),"")</f>
        <v>resource_form</v>
      </c>
      <c r="E5" s="25" t="str">
        <f t="shared" ca="1" si="1"/>
        <v>form_field</v>
      </c>
      <c r="F5" s="25" t="str">
        <f t="shared" ca="1" si="1"/>
        <v>colspan</v>
      </c>
      <c r="G5" s="25" t="str">
        <f t="shared" ca="1" si="1"/>
        <v/>
      </c>
      <c r="H5" s="25" t="str">
        <f t="shared" ca="1" si="1"/>
        <v/>
      </c>
      <c r="I5" s="25" t="str">
        <f t="shared" ca="1" si="1"/>
        <v/>
      </c>
      <c r="J5" s="25" t="str">
        <f t="shared" ca="1" si="1"/>
        <v/>
      </c>
      <c r="K5" s="25" t="str">
        <f t="shared" ca="1" si="1"/>
        <v/>
      </c>
      <c r="L5" s="25" t="str">
        <f t="shared" ca="1" si="1"/>
        <v/>
      </c>
      <c r="M5" s="25" t="str">
        <f t="shared" ca="1" si="1"/>
        <v/>
      </c>
      <c r="N5" s="25" t="str">
        <f t="shared" ca="1" si="1"/>
        <v/>
      </c>
      <c r="O5" s="25" t="str">
        <f t="shared" ca="1" si="1"/>
        <v/>
      </c>
      <c r="P5" s="25" t="str">
        <f t="shared" ca="1" si="1"/>
        <v/>
      </c>
      <c r="Q5" s="25" t="str">
        <f t="shared" ca="1" si="1"/>
        <v/>
      </c>
      <c r="R5" s="21"/>
      <c r="S5" s="10"/>
      <c r="T5" s="10"/>
    </row>
    <row r="6" spans="1:20" x14ac:dyDescent="0.25">
      <c r="A6" s="24"/>
      <c r="B6" s="86" t="str">
        <f>$I$1</f>
        <v>$_ = \DB::statement('SELECT @@GLOBAL.foreign_key_checks');</v>
      </c>
      <c r="C6" s="86"/>
      <c r="D6" s="86"/>
      <c r="E6" s="86"/>
      <c r="F6" s="86"/>
      <c r="G6" s="86"/>
      <c r="H6" s="86"/>
      <c r="I6" s="86"/>
      <c r="J6" s="86"/>
      <c r="K6" s="86"/>
      <c r="L6" s="86"/>
      <c r="M6" s="86"/>
      <c r="N6" s="86"/>
      <c r="O6" s="86"/>
      <c r="P6" s="86"/>
      <c r="Q6" s="86"/>
      <c r="R6" s="86"/>
      <c r="S6" s="10"/>
      <c r="T6" s="10"/>
    </row>
    <row r="7" spans="1:20" x14ac:dyDescent="0.25">
      <c r="A7" s="24"/>
      <c r="B7" s="87" t="str">
        <f>$I$2</f>
        <v>\DB::statement('set foreign_key_checks = 0');</v>
      </c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</row>
    <row r="8" spans="1:20" x14ac:dyDescent="0.25">
      <c r="A8" s="24"/>
      <c r="B8" s="88" t="str">
        <f>$E$1</f>
        <v>\Milestone\Appframe\Model\ResourceFormLayout::query()</v>
      </c>
      <c r="C8" s="88"/>
      <c r="D8" s="88"/>
      <c r="E8" s="88"/>
      <c r="F8" s="88"/>
      <c r="G8" s="88"/>
      <c r="H8" s="88"/>
      <c r="I8" s="88"/>
      <c r="J8" s="88"/>
      <c r="K8" s="88"/>
      <c r="L8" s="88"/>
      <c r="M8" s="88"/>
      <c r="N8" s="88"/>
      <c r="O8" s="88"/>
      <c r="P8" s="88"/>
      <c r="Q8" s="88"/>
      <c r="R8" s="88"/>
    </row>
    <row r="9" spans="1:20" x14ac:dyDescent="0.25">
      <c r="A9" s="21">
        <v>1</v>
      </c>
      <c r="B9" s="22" t="str">
        <f ca="1">IF($B8="","",IF($B8=";",$I$3,IF($B8=$I$3,"",IF(ISNA(VLOOKUP($A$1&amp;"-"&amp;$A9,INDIRECT($E$2&amp;$E$3),1,0)),";",$S$4))))</f>
        <v>-&gt;create([</v>
      </c>
      <c r="C9" s="50" t="str">
        <f ca="1">IF(AND($B9=$S$4,C$5&lt;&gt;""),IF(VLOOKUP($A$1&amp;"-"&amp;$A9,INDIRECT($E$2&amp;$E$3),C$4+$B$4,0)="","","'"&amp;C$5&amp;"' =&gt; '"&amp;VLOOKUP($A$1&amp;"-"&amp;$A9,INDIRECT($E$2&amp;$E$3),C$4+$B$4,0)&amp;"', "),"")</f>
        <v xml:space="preserve">'id' =&gt; '801701', </v>
      </c>
      <c r="D9" s="50" t="str">
        <f t="shared" ref="D9:Q24" ca="1" si="2">IF(AND($B9=$S$4,D$5&lt;&gt;""),IF(VLOOKUP($A$1&amp;"-"&amp;$A9,INDIRECT($E$2&amp;$E$3),D$4+$B$4,0)="","","'"&amp;D$5&amp;"' =&gt; '"&amp;VLOOKUP($A$1&amp;"-"&amp;$A9,INDIRECT($E$2&amp;$E$3),D$4+$B$4,0)&amp;"', "),"")</f>
        <v xml:space="preserve">'resource_form' =&gt; '800905', </v>
      </c>
      <c r="E9" s="50" t="str">
        <f t="shared" ca="1" si="2"/>
        <v xml:space="preserve">'form_field' =&gt; '801018', </v>
      </c>
      <c r="F9" s="50" t="str">
        <f t="shared" ca="1" si="2"/>
        <v xml:space="preserve">'colspan' =&gt; '12', </v>
      </c>
      <c r="G9" s="50" t="str">
        <f t="shared" ca="1" si="2"/>
        <v/>
      </c>
      <c r="H9" s="50" t="str">
        <f t="shared" ca="1" si="2"/>
        <v/>
      </c>
      <c r="I9" s="50" t="str">
        <f t="shared" ca="1" si="2"/>
        <v/>
      </c>
      <c r="J9" s="50" t="str">
        <f t="shared" ca="1" si="2"/>
        <v/>
      </c>
      <c r="K9" s="50" t="str">
        <f t="shared" ca="1" si="2"/>
        <v/>
      </c>
      <c r="L9" s="50" t="str">
        <f t="shared" ca="1" si="2"/>
        <v/>
      </c>
      <c r="M9" s="50" t="str">
        <f t="shared" ca="1" si="2"/>
        <v/>
      </c>
      <c r="N9" s="50" t="str">
        <f t="shared" ca="1" si="2"/>
        <v/>
      </c>
      <c r="O9" s="50" t="str">
        <f t="shared" ca="1" si="2"/>
        <v/>
      </c>
      <c r="P9" s="50" t="str">
        <f t="shared" ca="1" si="2"/>
        <v/>
      </c>
      <c r="Q9" s="50" t="str">
        <f t="shared" ca="1" si="2"/>
        <v/>
      </c>
      <c r="R9" s="50" t="str">
        <f ca="1">IF(B9=$S$4,$T$4,"")</f>
        <v>])</v>
      </c>
    </row>
    <row r="10" spans="1:20" x14ac:dyDescent="0.25">
      <c r="A10" s="21">
        <v>2</v>
      </c>
      <c r="B10" s="22" t="str">
        <f t="shared" ref="B10:B73" ca="1" si="3">IF($B9="","",IF($B9=";",$I$3,IF($B9=$I$3,"",IF(ISNA(VLOOKUP($A$1&amp;"-"&amp;$A10,INDIRECT($E$2&amp;$E$3),1,0)),";",$S$4))))</f>
        <v>-&gt;create([</v>
      </c>
      <c r="C10" s="50" t="str">
        <f t="shared" ref="C10:Q40" ca="1" si="4">IF(AND($B10=$S$4,C$5&lt;&gt;""),IF(VLOOKUP($A$1&amp;"-"&amp;$A10,INDIRECT($E$2&amp;$E$3),C$4+$B$4,0)="","","'"&amp;C$5&amp;"' =&gt; '"&amp;VLOOKUP($A$1&amp;"-"&amp;$A10,INDIRECT($E$2&amp;$E$3),C$4+$B$4,0)&amp;"', "),"")</f>
        <v xml:space="preserve">'id' =&gt; '801702', </v>
      </c>
      <c r="D10" s="50" t="str">
        <f t="shared" ca="1" si="2"/>
        <v xml:space="preserve">'resource_form' =&gt; '800905', </v>
      </c>
      <c r="E10" s="50" t="str">
        <f t="shared" ca="1" si="2"/>
        <v xml:space="preserve">'form_field' =&gt; '801019', </v>
      </c>
      <c r="F10" s="50" t="str">
        <f t="shared" ca="1" si="2"/>
        <v xml:space="preserve">'colspan' =&gt; '12', </v>
      </c>
      <c r="G10" s="50" t="str">
        <f t="shared" ca="1" si="2"/>
        <v/>
      </c>
      <c r="H10" s="50" t="str">
        <f t="shared" ca="1" si="2"/>
        <v/>
      </c>
      <c r="I10" s="50" t="str">
        <f t="shared" ca="1" si="2"/>
        <v/>
      </c>
      <c r="J10" s="50" t="str">
        <f t="shared" ca="1" si="2"/>
        <v/>
      </c>
      <c r="K10" s="50" t="str">
        <f t="shared" ca="1" si="2"/>
        <v/>
      </c>
      <c r="L10" s="50" t="str">
        <f t="shared" ca="1" si="2"/>
        <v/>
      </c>
      <c r="M10" s="50" t="str">
        <f t="shared" ca="1" si="2"/>
        <v/>
      </c>
      <c r="N10" s="50" t="str">
        <f t="shared" ca="1" si="2"/>
        <v/>
      </c>
      <c r="O10" s="50" t="str">
        <f t="shared" ca="1" si="2"/>
        <v/>
      </c>
      <c r="P10" s="50" t="str">
        <f t="shared" ca="1" si="2"/>
        <v/>
      </c>
      <c r="Q10" s="50" t="str">
        <f t="shared" ca="1" si="2"/>
        <v/>
      </c>
      <c r="R10" s="50" t="str">
        <f t="shared" ref="R10:R73" ca="1" si="5">IF(B10=$S$4,$T$4,"")</f>
        <v>])</v>
      </c>
    </row>
    <row r="11" spans="1:20" x14ac:dyDescent="0.25">
      <c r="A11" s="21">
        <v>3</v>
      </c>
      <c r="B11" s="22" t="str">
        <f t="shared" ca="1" si="3"/>
        <v>-&gt;create([</v>
      </c>
      <c r="C11" s="50" t="str">
        <f t="shared" ca="1" si="4"/>
        <v xml:space="preserve">'id' =&gt; '801703', </v>
      </c>
      <c r="D11" s="50" t="str">
        <f t="shared" ca="1" si="2"/>
        <v xml:space="preserve">'resource_form' =&gt; '800905', </v>
      </c>
      <c r="E11" s="50" t="str">
        <f t="shared" ca="1" si="2"/>
        <v xml:space="preserve">'form_field' =&gt; '801020', </v>
      </c>
      <c r="F11" s="50" t="str">
        <f t="shared" ca="1" si="2"/>
        <v xml:space="preserve">'colspan' =&gt; '12', </v>
      </c>
      <c r="G11" s="50" t="str">
        <f t="shared" ca="1" si="2"/>
        <v/>
      </c>
      <c r="H11" s="50" t="str">
        <f t="shared" ca="1" si="2"/>
        <v/>
      </c>
      <c r="I11" s="50" t="str">
        <f t="shared" ca="1" si="2"/>
        <v/>
      </c>
      <c r="J11" s="50" t="str">
        <f t="shared" ca="1" si="2"/>
        <v/>
      </c>
      <c r="K11" s="50" t="str">
        <f t="shared" ca="1" si="2"/>
        <v/>
      </c>
      <c r="L11" s="50" t="str">
        <f t="shared" ca="1" si="2"/>
        <v/>
      </c>
      <c r="M11" s="50" t="str">
        <f t="shared" ca="1" si="2"/>
        <v/>
      </c>
      <c r="N11" s="50" t="str">
        <f t="shared" ca="1" si="2"/>
        <v/>
      </c>
      <c r="O11" s="50" t="str">
        <f t="shared" ca="1" si="2"/>
        <v/>
      </c>
      <c r="P11" s="50" t="str">
        <f t="shared" ca="1" si="2"/>
        <v/>
      </c>
      <c r="Q11" s="50" t="str">
        <f t="shared" ca="1" si="2"/>
        <v/>
      </c>
      <c r="R11" s="50" t="str">
        <f t="shared" ca="1" si="5"/>
        <v>])</v>
      </c>
    </row>
    <row r="12" spans="1:20" x14ac:dyDescent="0.25">
      <c r="A12" s="21">
        <v>4</v>
      </c>
      <c r="B12" s="22" t="str">
        <f t="shared" ca="1" si="3"/>
        <v>-&gt;create([</v>
      </c>
      <c r="C12" s="50" t="str">
        <f t="shared" ca="1" si="4"/>
        <v xml:space="preserve">'id' =&gt; '801704', </v>
      </c>
      <c r="D12" s="50" t="str">
        <f t="shared" ca="1" si="2"/>
        <v xml:space="preserve">'resource_form' =&gt; '800905', </v>
      </c>
      <c r="E12" s="50" t="str">
        <f t="shared" ca="1" si="2"/>
        <v xml:space="preserve">'form_field' =&gt; '801021', </v>
      </c>
      <c r="F12" s="50" t="str">
        <f t="shared" ca="1" si="2"/>
        <v xml:space="preserve">'colspan' =&gt; '12', </v>
      </c>
      <c r="G12" s="50" t="str">
        <f t="shared" ca="1" si="2"/>
        <v/>
      </c>
      <c r="H12" s="50" t="str">
        <f t="shared" ca="1" si="2"/>
        <v/>
      </c>
      <c r="I12" s="50" t="str">
        <f t="shared" ca="1" si="2"/>
        <v/>
      </c>
      <c r="J12" s="50" t="str">
        <f t="shared" ca="1" si="2"/>
        <v/>
      </c>
      <c r="K12" s="50" t="str">
        <f t="shared" ca="1" si="2"/>
        <v/>
      </c>
      <c r="L12" s="50" t="str">
        <f t="shared" ca="1" si="2"/>
        <v/>
      </c>
      <c r="M12" s="50" t="str">
        <f t="shared" ca="1" si="2"/>
        <v/>
      </c>
      <c r="N12" s="50" t="str">
        <f t="shared" ca="1" si="2"/>
        <v/>
      </c>
      <c r="O12" s="50" t="str">
        <f t="shared" ca="1" si="2"/>
        <v/>
      </c>
      <c r="P12" s="50" t="str">
        <f t="shared" ca="1" si="2"/>
        <v/>
      </c>
      <c r="Q12" s="50" t="str">
        <f t="shared" ca="1" si="2"/>
        <v/>
      </c>
      <c r="R12" s="50" t="str">
        <f t="shared" ca="1" si="5"/>
        <v>])</v>
      </c>
    </row>
    <row r="13" spans="1:20" x14ac:dyDescent="0.25">
      <c r="A13" s="21">
        <v>5</v>
      </c>
      <c r="B13" s="22" t="str">
        <f t="shared" ca="1" si="3"/>
        <v>-&gt;create([</v>
      </c>
      <c r="C13" s="50" t="str">
        <f t="shared" ca="1" si="4"/>
        <v xml:space="preserve">'id' =&gt; '801705', </v>
      </c>
      <c r="D13" s="50" t="str">
        <f t="shared" ca="1" si="2"/>
        <v xml:space="preserve">'resource_form' =&gt; '800905', </v>
      </c>
      <c r="E13" s="50" t="str">
        <f t="shared" ca="1" si="2"/>
        <v xml:space="preserve">'form_field' =&gt; '801022', </v>
      </c>
      <c r="F13" s="50" t="str">
        <f t="shared" ca="1" si="2"/>
        <v xml:space="preserve">'colspan' =&gt; '4', </v>
      </c>
      <c r="G13" s="50" t="str">
        <f t="shared" ca="1" si="2"/>
        <v/>
      </c>
      <c r="H13" s="50" t="str">
        <f t="shared" ca="1" si="2"/>
        <v/>
      </c>
      <c r="I13" s="50" t="str">
        <f t="shared" ca="1" si="2"/>
        <v/>
      </c>
      <c r="J13" s="50" t="str">
        <f t="shared" ca="1" si="2"/>
        <v/>
      </c>
      <c r="K13" s="50" t="str">
        <f t="shared" ca="1" si="2"/>
        <v/>
      </c>
      <c r="L13" s="50" t="str">
        <f t="shared" ca="1" si="2"/>
        <v/>
      </c>
      <c r="M13" s="50" t="str">
        <f t="shared" ca="1" si="2"/>
        <v/>
      </c>
      <c r="N13" s="50" t="str">
        <f t="shared" ca="1" si="2"/>
        <v/>
      </c>
      <c r="O13" s="50" t="str">
        <f t="shared" ca="1" si="2"/>
        <v/>
      </c>
      <c r="P13" s="50" t="str">
        <f t="shared" ca="1" si="2"/>
        <v/>
      </c>
      <c r="Q13" s="50" t="str">
        <f t="shared" ca="1" si="2"/>
        <v/>
      </c>
      <c r="R13" s="50" t="str">
        <f t="shared" ca="1" si="5"/>
        <v>])</v>
      </c>
    </row>
    <row r="14" spans="1:20" x14ac:dyDescent="0.25">
      <c r="A14" s="21">
        <v>6</v>
      </c>
      <c r="B14" s="22" t="str">
        <f t="shared" ca="1" si="3"/>
        <v>-&gt;create([</v>
      </c>
      <c r="C14" s="50" t="str">
        <f t="shared" ca="1" si="4"/>
        <v xml:space="preserve">'id' =&gt; '801706', </v>
      </c>
      <c r="D14" s="50" t="str">
        <f t="shared" ca="1" si="2"/>
        <v xml:space="preserve">'resource_form' =&gt; '800905', </v>
      </c>
      <c r="E14" s="50" t="str">
        <f t="shared" ca="1" si="2"/>
        <v xml:space="preserve">'form_field' =&gt; '801023', </v>
      </c>
      <c r="F14" s="50" t="str">
        <f t="shared" ca="1" si="2"/>
        <v xml:space="preserve">'colspan' =&gt; '4', </v>
      </c>
      <c r="G14" s="50" t="str">
        <f t="shared" ca="1" si="2"/>
        <v/>
      </c>
      <c r="H14" s="50" t="str">
        <f t="shared" ca="1" si="2"/>
        <v/>
      </c>
      <c r="I14" s="50" t="str">
        <f t="shared" ca="1" si="2"/>
        <v/>
      </c>
      <c r="J14" s="50" t="str">
        <f t="shared" ca="1" si="2"/>
        <v/>
      </c>
      <c r="K14" s="50" t="str">
        <f t="shared" ca="1" si="2"/>
        <v/>
      </c>
      <c r="L14" s="50" t="str">
        <f t="shared" ca="1" si="2"/>
        <v/>
      </c>
      <c r="M14" s="50" t="str">
        <f t="shared" ca="1" si="2"/>
        <v/>
      </c>
      <c r="N14" s="50" t="str">
        <f t="shared" ca="1" si="2"/>
        <v/>
      </c>
      <c r="O14" s="50" t="str">
        <f t="shared" ca="1" si="2"/>
        <v/>
      </c>
      <c r="P14" s="50" t="str">
        <f t="shared" ca="1" si="2"/>
        <v/>
      </c>
      <c r="Q14" s="50" t="str">
        <f t="shared" ca="1" si="2"/>
        <v/>
      </c>
      <c r="R14" s="50" t="str">
        <f t="shared" ca="1" si="5"/>
        <v>])</v>
      </c>
    </row>
    <row r="15" spans="1:20" x14ac:dyDescent="0.25">
      <c r="A15" s="21">
        <v>7</v>
      </c>
      <c r="B15" s="22" t="str">
        <f t="shared" ca="1" si="3"/>
        <v>-&gt;create([</v>
      </c>
      <c r="C15" s="50" t="str">
        <f t="shared" ca="1" si="4"/>
        <v xml:space="preserve">'id' =&gt; '801707', </v>
      </c>
      <c r="D15" s="50" t="str">
        <f t="shared" ca="1" si="2"/>
        <v xml:space="preserve">'resource_form' =&gt; '800905', </v>
      </c>
      <c r="E15" s="50" t="str">
        <f t="shared" ca="1" si="2"/>
        <v xml:space="preserve">'form_field' =&gt; '801024', </v>
      </c>
      <c r="F15" s="50" t="str">
        <f t="shared" ca="1" si="2"/>
        <v xml:space="preserve">'colspan' =&gt; '4', </v>
      </c>
      <c r="G15" s="50" t="str">
        <f t="shared" ca="1" si="2"/>
        <v/>
      </c>
      <c r="H15" s="50" t="str">
        <f t="shared" ca="1" si="2"/>
        <v/>
      </c>
      <c r="I15" s="50" t="str">
        <f t="shared" ca="1" si="2"/>
        <v/>
      </c>
      <c r="J15" s="50" t="str">
        <f t="shared" ca="1" si="2"/>
        <v/>
      </c>
      <c r="K15" s="50" t="str">
        <f t="shared" ca="1" si="2"/>
        <v/>
      </c>
      <c r="L15" s="50" t="str">
        <f t="shared" ca="1" si="2"/>
        <v/>
      </c>
      <c r="M15" s="50" t="str">
        <f t="shared" ca="1" si="2"/>
        <v/>
      </c>
      <c r="N15" s="50" t="str">
        <f t="shared" ca="1" si="2"/>
        <v/>
      </c>
      <c r="O15" s="50" t="str">
        <f t="shared" ca="1" si="2"/>
        <v/>
      </c>
      <c r="P15" s="50" t="str">
        <f t="shared" ca="1" si="2"/>
        <v/>
      </c>
      <c r="Q15" s="50" t="str">
        <f t="shared" ca="1" si="2"/>
        <v/>
      </c>
      <c r="R15" s="50" t="str">
        <f t="shared" ca="1" si="5"/>
        <v>])</v>
      </c>
    </row>
    <row r="16" spans="1:20" x14ac:dyDescent="0.25">
      <c r="A16" s="21">
        <v>8</v>
      </c>
      <c r="B16" s="22" t="str">
        <f t="shared" ca="1" si="3"/>
        <v>;</v>
      </c>
      <c r="C16" s="50" t="str">
        <f t="shared" ca="1" si="4"/>
        <v/>
      </c>
      <c r="D16" s="50" t="str">
        <f t="shared" ca="1" si="2"/>
        <v/>
      </c>
      <c r="E16" s="50" t="str">
        <f t="shared" ca="1" si="2"/>
        <v/>
      </c>
      <c r="F16" s="50" t="str">
        <f t="shared" ca="1" si="2"/>
        <v/>
      </c>
      <c r="G16" s="50" t="str">
        <f t="shared" ca="1" si="2"/>
        <v/>
      </c>
      <c r="H16" s="50" t="str">
        <f t="shared" ca="1" si="2"/>
        <v/>
      </c>
      <c r="I16" s="50" t="str">
        <f t="shared" ca="1" si="2"/>
        <v/>
      </c>
      <c r="J16" s="50" t="str">
        <f t="shared" ca="1" si="2"/>
        <v/>
      </c>
      <c r="K16" s="50" t="str">
        <f t="shared" ca="1" si="2"/>
        <v/>
      </c>
      <c r="L16" s="50" t="str">
        <f t="shared" ca="1" si="2"/>
        <v/>
      </c>
      <c r="M16" s="50" t="str">
        <f t="shared" ca="1" si="2"/>
        <v/>
      </c>
      <c r="N16" s="50" t="str">
        <f t="shared" ca="1" si="2"/>
        <v/>
      </c>
      <c r="O16" s="50" t="str">
        <f t="shared" ca="1" si="2"/>
        <v/>
      </c>
      <c r="P16" s="50" t="str">
        <f t="shared" ca="1" si="2"/>
        <v/>
      </c>
      <c r="Q16" s="50" t="str">
        <f t="shared" ca="1" si="2"/>
        <v/>
      </c>
      <c r="R16" s="50" t="str">
        <f t="shared" ca="1" si="5"/>
        <v/>
      </c>
    </row>
    <row r="17" spans="1:18" x14ac:dyDescent="0.25">
      <c r="A17" s="21">
        <v>9</v>
      </c>
      <c r="B17" s="22" t="str">
        <f t="shared" ca="1" si="3"/>
        <v>\DB::statement('set foreign_key_checks = ' . $_);</v>
      </c>
      <c r="C17" s="50" t="str">
        <f t="shared" ca="1" si="4"/>
        <v/>
      </c>
      <c r="D17" s="50" t="str">
        <f t="shared" ca="1" si="2"/>
        <v/>
      </c>
      <c r="E17" s="50" t="str">
        <f t="shared" ca="1" si="2"/>
        <v/>
      </c>
      <c r="F17" s="50" t="str">
        <f t="shared" ca="1" si="2"/>
        <v/>
      </c>
      <c r="G17" s="50" t="str">
        <f t="shared" ca="1" si="2"/>
        <v/>
      </c>
      <c r="H17" s="50" t="str">
        <f t="shared" ca="1" si="2"/>
        <v/>
      </c>
      <c r="I17" s="50" t="str">
        <f t="shared" ca="1" si="2"/>
        <v/>
      </c>
      <c r="J17" s="50" t="str">
        <f t="shared" ca="1" si="2"/>
        <v/>
      </c>
      <c r="K17" s="50" t="str">
        <f t="shared" ca="1" si="2"/>
        <v/>
      </c>
      <c r="L17" s="50" t="str">
        <f t="shared" ca="1" si="2"/>
        <v/>
      </c>
      <c r="M17" s="50" t="str">
        <f t="shared" ca="1" si="2"/>
        <v/>
      </c>
      <c r="N17" s="50" t="str">
        <f t="shared" ca="1" si="2"/>
        <v/>
      </c>
      <c r="O17" s="50" t="str">
        <f t="shared" ca="1" si="2"/>
        <v/>
      </c>
      <c r="P17" s="50" t="str">
        <f t="shared" ca="1" si="2"/>
        <v/>
      </c>
      <c r="Q17" s="50" t="str">
        <f t="shared" ca="1" si="2"/>
        <v/>
      </c>
      <c r="R17" s="50" t="str">
        <f t="shared" ca="1" si="5"/>
        <v/>
      </c>
    </row>
    <row r="18" spans="1:18" x14ac:dyDescent="0.25">
      <c r="A18" s="21">
        <v>10</v>
      </c>
      <c r="B18" s="22" t="str">
        <f t="shared" ca="1" si="3"/>
        <v/>
      </c>
      <c r="C18" s="50" t="str">
        <f t="shared" ca="1" si="4"/>
        <v/>
      </c>
      <c r="D18" s="50" t="str">
        <f t="shared" ca="1" si="2"/>
        <v/>
      </c>
      <c r="E18" s="50" t="str">
        <f t="shared" ca="1" si="2"/>
        <v/>
      </c>
      <c r="F18" s="50" t="str">
        <f t="shared" ca="1" si="2"/>
        <v/>
      </c>
      <c r="G18" s="50" t="str">
        <f t="shared" ca="1" si="2"/>
        <v/>
      </c>
      <c r="H18" s="50" t="str">
        <f t="shared" ca="1" si="2"/>
        <v/>
      </c>
      <c r="I18" s="50" t="str">
        <f t="shared" ca="1" si="2"/>
        <v/>
      </c>
      <c r="J18" s="50" t="str">
        <f t="shared" ca="1" si="2"/>
        <v/>
      </c>
      <c r="K18" s="50" t="str">
        <f t="shared" ca="1" si="2"/>
        <v/>
      </c>
      <c r="L18" s="50" t="str">
        <f t="shared" ca="1" si="2"/>
        <v/>
      </c>
      <c r="M18" s="50" t="str">
        <f t="shared" ca="1" si="2"/>
        <v/>
      </c>
      <c r="N18" s="50" t="str">
        <f t="shared" ca="1" si="2"/>
        <v/>
      </c>
      <c r="O18" s="50" t="str">
        <f t="shared" ca="1" si="2"/>
        <v/>
      </c>
      <c r="P18" s="50" t="str">
        <f t="shared" ca="1" si="2"/>
        <v/>
      </c>
      <c r="Q18" s="50" t="str">
        <f t="shared" ca="1" si="2"/>
        <v/>
      </c>
      <c r="R18" s="50" t="str">
        <f t="shared" ca="1" si="5"/>
        <v/>
      </c>
    </row>
    <row r="19" spans="1:18" x14ac:dyDescent="0.25">
      <c r="A19" s="21">
        <v>11</v>
      </c>
      <c r="B19" s="22" t="str">
        <f t="shared" ca="1" si="3"/>
        <v/>
      </c>
      <c r="C19" s="50" t="str">
        <f t="shared" ca="1" si="4"/>
        <v/>
      </c>
      <c r="D19" s="50" t="str">
        <f t="shared" ca="1" si="2"/>
        <v/>
      </c>
      <c r="E19" s="50" t="str">
        <f t="shared" ca="1" si="2"/>
        <v/>
      </c>
      <c r="F19" s="50" t="str">
        <f t="shared" ca="1" si="2"/>
        <v/>
      </c>
      <c r="G19" s="50" t="str">
        <f t="shared" ca="1" si="2"/>
        <v/>
      </c>
      <c r="H19" s="50" t="str">
        <f t="shared" ca="1" si="2"/>
        <v/>
      </c>
      <c r="I19" s="50" t="str">
        <f t="shared" ca="1" si="2"/>
        <v/>
      </c>
      <c r="J19" s="50" t="str">
        <f t="shared" ca="1" si="2"/>
        <v/>
      </c>
      <c r="K19" s="50" t="str">
        <f t="shared" ca="1" si="2"/>
        <v/>
      </c>
      <c r="L19" s="50" t="str">
        <f t="shared" ca="1" si="2"/>
        <v/>
      </c>
      <c r="M19" s="50" t="str">
        <f t="shared" ca="1" si="2"/>
        <v/>
      </c>
      <c r="N19" s="50" t="str">
        <f t="shared" ca="1" si="2"/>
        <v/>
      </c>
      <c r="O19" s="50" t="str">
        <f t="shared" ca="1" si="2"/>
        <v/>
      </c>
      <c r="P19" s="50" t="str">
        <f t="shared" ca="1" si="2"/>
        <v/>
      </c>
      <c r="Q19" s="50" t="str">
        <f t="shared" ca="1" si="2"/>
        <v/>
      </c>
      <c r="R19" s="50" t="str">
        <f t="shared" ca="1" si="5"/>
        <v/>
      </c>
    </row>
    <row r="20" spans="1:18" x14ac:dyDescent="0.25">
      <c r="A20" s="21">
        <v>12</v>
      </c>
      <c r="B20" s="22" t="str">
        <f t="shared" ca="1" si="3"/>
        <v/>
      </c>
      <c r="C20" s="50" t="str">
        <f t="shared" ca="1" si="4"/>
        <v/>
      </c>
      <c r="D20" s="50" t="str">
        <f t="shared" ca="1" si="2"/>
        <v/>
      </c>
      <c r="E20" s="50" t="str">
        <f t="shared" ca="1" si="2"/>
        <v/>
      </c>
      <c r="F20" s="50" t="str">
        <f t="shared" ca="1" si="2"/>
        <v/>
      </c>
      <c r="G20" s="50" t="str">
        <f t="shared" ca="1" si="2"/>
        <v/>
      </c>
      <c r="H20" s="50" t="str">
        <f t="shared" ca="1" si="2"/>
        <v/>
      </c>
      <c r="I20" s="50" t="str">
        <f t="shared" ca="1" si="2"/>
        <v/>
      </c>
      <c r="J20" s="50" t="str">
        <f t="shared" ca="1" si="2"/>
        <v/>
      </c>
      <c r="K20" s="50" t="str">
        <f t="shared" ca="1" si="2"/>
        <v/>
      </c>
      <c r="L20" s="50" t="str">
        <f t="shared" ca="1" si="2"/>
        <v/>
      </c>
      <c r="M20" s="50" t="str">
        <f t="shared" ca="1" si="2"/>
        <v/>
      </c>
      <c r="N20" s="50" t="str">
        <f t="shared" ca="1" si="2"/>
        <v/>
      </c>
      <c r="O20" s="50" t="str">
        <f t="shared" ca="1" si="2"/>
        <v/>
      </c>
      <c r="P20" s="50" t="str">
        <f t="shared" ca="1" si="2"/>
        <v/>
      </c>
      <c r="Q20" s="50" t="str">
        <f t="shared" ca="1" si="2"/>
        <v/>
      </c>
      <c r="R20" s="50" t="str">
        <f t="shared" ca="1" si="5"/>
        <v/>
      </c>
    </row>
    <row r="21" spans="1:18" x14ac:dyDescent="0.25">
      <c r="A21" s="21">
        <v>13</v>
      </c>
      <c r="B21" s="22" t="str">
        <f t="shared" ca="1" si="3"/>
        <v/>
      </c>
      <c r="C21" s="50" t="str">
        <f t="shared" ca="1" si="4"/>
        <v/>
      </c>
      <c r="D21" s="50" t="str">
        <f t="shared" ca="1" si="2"/>
        <v/>
      </c>
      <c r="E21" s="50" t="str">
        <f t="shared" ca="1" si="2"/>
        <v/>
      </c>
      <c r="F21" s="50" t="str">
        <f t="shared" ca="1" si="2"/>
        <v/>
      </c>
      <c r="G21" s="50" t="str">
        <f t="shared" ca="1" si="2"/>
        <v/>
      </c>
      <c r="H21" s="50" t="str">
        <f t="shared" ca="1" si="2"/>
        <v/>
      </c>
      <c r="I21" s="50" t="str">
        <f t="shared" ca="1" si="2"/>
        <v/>
      </c>
      <c r="J21" s="50" t="str">
        <f t="shared" ca="1" si="2"/>
        <v/>
      </c>
      <c r="K21" s="50" t="str">
        <f t="shared" ca="1" si="2"/>
        <v/>
      </c>
      <c r="L21" s="50" t="str">
        <f t="shared" ca="1" si="2"/>
        <v/>
      </c>
      <c r="M21" s="50" t="str">
        <f t="shared" ca="1" si="2"/>
        <v/>
      </c>
      <c r="N21" s="50" t="str">
        <f t="shared" ca="1" si="2"/>
        <v/>
      </c>
      <c r="O21" s="50" t="str">
        <f t="shared" ca="1" si="2"/>
        <v/>
      </c>
      <c r="P21" s="50" t="str">
        <f t="shared" ca="1" si="2"/>
        <v/>
      </c>
      <c r="Q21" s="50" t="str">
        <f t="shared" ca="1" si="2"/>
        <v/>
      </c>
      <c r="R21" s="50" t="str">
        <f t="shared" ca="1" si="5"/>
        <v/>
      </c>
    </row>
    <row r="22" spans="1:18" x14ac:dyDescent="0.25">
      <c r="A22" s="21">
        <v>14</v>
      </c>
      <c r="B22" s="22" t="str">
        <f t="shared" ca="1" si="3"/>
        <v/>
      </c>
      <c r="C22" s="50" t="str">
        <f t="shared" ca="1" si="4"/>
        <v/>
      </c>
      <c r="D22" s="50" t="str">
        <f t="shared" ca="1" si="2"/>
        <v/>
      </c>
      <c r="E22" s="50" t="str">
        <f t="shared" ca="1" si="2"/>
        <v/>
      </c>
      <c r="F22" s="50" t="str">
        <f t="shared" ca="1" si="2"/>
        <v/>
      </c>
      <c r="G22" s="50" t="str">
        <f t="shared" ca="1" si="2"/>
        <v/>
      </c>
      <c r="H22" s="50" t="str">
        <f t="shared" ca="1" si="2"/>
        <v/>
      </c>
      <c r="I22" s="50" t="str">
        <f t="shared" ca="1" si="2"/>
        <v/>
      </c>
      <c r="J22" s="50" t="str">
        <f t="shared" ca="1" si="2"/>
        <v/>
      </c>
      <c r="K22" s="50" t="str">
        <f t="shared" ca="1" si="2"/>
        <v/>
      </c>
      <c r="L22" s="50" t="str">
        <f t="shared" ca="1" si="2"/>
        <v/>
      </c>
      <c r="M22" s="50" t="str">
        <f t="shared" ca="1" si="2"/>
        <v/>
      </c>
      <c r="N22" s="50" t="str">
        <f t="shared" ca="1" si="2"/>
        <v/>
      </c>
      <c r="O22" s="50" t="str">
        <f t="shared" ca="1" si="2"/>
        <v/>
      </c>
      <c r="P22" s="50" t="str">
        <f t="shared" ca="1" si="2"/>
        <v/>
      </c>
      <c r="Q22" s="50" t="str">
        <f t="shared" ca="1" si="2"/>
        <v/>
      </c>
      <c r="R22" s="50" t="str">
        <f t="shared" ca="1" si="5"/>
        <v/>
      </c>
    </row>
    <row r="23" spans="1:18" x14ac:dyDescent="0.25">
      <c r="A23" s="21">
        <v>15</v>
      </c>
      <c r="B23" s="22" t="str">
        <f t="shared" ca="1" si="3"/>
        <v/>
      </c>
      <c r="C23" s="50" t="str">
        <f t="shared" ca="1" si="4"/>
        <v/>
      </c>
      <c r="D23" s="50" t="str">
        <f t="shared" ca="1" si="2"/>
        <v/>
      </c>
      <c r="E23" s="50" t="str">
        <f t="shared" ca="1" si="2"/>
        <v/>
      </c>
      <c r="F23" s="50" t="str">
        <f t="shared" ca="1" si="2"/>
        <v/>
      </c>
      <c r="G23" s="50" t="str">
        <f t="shared" ca="1" si="2"/>
        <v/>
      </c>
      <c r="H23" s="50" t="str">
        <f t="shared" ca="1" si="2"/>
        <v/>
      </c>
      <c r="I23" s="50" t="str">
        <f t="shared" ca="1" si="2"/>
        <v/>
      </c>
      <c r="J23" s="50" t="str">
        <f t="shared" ca="1" si="2"/>
        <v/>
      </c>
      <c r="K23" s="50" t="str">
        <f t="shared" ca="1" si="2"/>
        <v/>
      </c>
      <c r="L23" s="50" t="str">
        <f t="shared" ca="1" si="2"/>
        <v/>
      </c>
      <c r="M23" s="50" t="str">
        <f t="shared" ca="1" si="2"/>
        <v/>
      </c>
      <c r="N23" s="50" t="str">
        <f t="shared" ca="1" si="2"/>
        <v/>
      </c>
      <c r="O23" s="50" t="str">
        <f t="shared" ca="1" si="2"/>
        <v/>
      </c>
      <c r="P23" s="50" t="str">
        <f t="shared" ca="1" si="2"/>
        <v/>
      </c>
      <c r="Q23" s="50" t="str">
        <f t="shared" ca="1" si="2"/>
        <v/>
      </c>
      <c r="R23" s="50" t="str">
        <f t="shared" ca="1" si="5"/>
        <v/>
      </c>
    </row>
    <row r="24" spans="1:18" x14ac:dyDescent="0.25">
      <c r="A24" s="21">
        <v>16</v>
      </c>
      <c r="B24" s="22" t="str">
        <f t="shared" ca="1" si="3"/>
        <v/>
      </c>
      <c r="C24" s="50" t="str">
        <f t="shared" ca="1" si="4"/>
        <v/>
      </c>
      <c r="D24" s="50" t="str">
        <f t="shared" ca="1" si="2"/>
        <v/>
      </c>
      <c r="E24" s="50" t="str">
        <f t="shared" ca="1" si="2"/>
        <v/>
      </c>
      <c r="F24" s="50" t="str">
        <f t="shared" ca="1" si="2"/>
        <v/>
      </c>
      <c r="G24" s="50" t="str">
        <f t="shared" ca="1" si="2"/>
        <v/>
      </c>
      <c r="H24" s="50" t="str">
        <f t="shared" ca="1" si="2"/>
        <v/>
      </c>
      <c r="I24" s="50" t="str">
        <f t="shared" ca="1" si="2"/>
        <v/>
      </c>
      <c r="J24" s="50" t="str">
        <f t="shared" ca="1" si="2"/>
        <v/>
      </c>
      <c r="K24" s="50" t="str">
        <f t="shared" ca="1" si="2"/>
        <v/>
      </c>
      <c r="L24" s="50" t="str">
        <f t="shared" ca="1" si="2"/>
        <v/>
      </c>
      <c r="M24" s="50" t="str">
        <f t="shared" ca="1" si="2"/>
        <v/>
      </c>
      <c r="N24" s="50" t="str">
        <f t="shared" ca="1" si="2"/>
        <v/>
      </c>
      <c r="O24" s="50" t="str">
        <f t="shared" ca="1" si="2"/>
        <v/>
      </c>
      <c r="P24" s="50" t="str">
        <f t="shared" ca="1" si="2"/>
        <v/>
      </c>
      <c r="Q24" s="50" t="str">
        <f t="shared" ca="1" si="2"/>
        <v/>
      </c>
      <c r="R24" s="50" t="str">
        <f t="shared" ca="1" si="5"/>
        <v/>
      </c>
    </row>
    <row r="25" spans="1:18" x14ac:dyDescent="0.25">
      <c r="A25" s="21">
        <v>17</v>
      </c>
      <c r="B25" s="22" t="str">
        <f t="shared" ca="1" si="3"/>
        <v/>
      </c>
      <c r="C25" s="50" t="str">
        <f t="shared" ca="1" si="4"/>
        <v/>
      </c>
      <c r="D25" s="50" t="str">
        <f t="shared" ca="1" si="4"/>
        <v/>
      </c>
      <c r="E25" s="50" t="str">
        <f t="shared" ca="1" si="4"/>
        <v/>
      </c>
      <c r="F25" s="50" t="str">
        <f t="shared" ca="1" si="4"/>
        <v/>
      </c>
      <c r="G25" s="50" t="str">
        <f t="shared" ca="1" si="4"/>
        <v/>
      </c>
      <c r="H25" s="50" t="str">
        <f t="shared" ca="1" si="4"/>
        <v/>
      </c>
      <c r="I25" s="50" t="str">
        <f t="shared" ca="1" si="4"/>
        <v/>
      </c>
      <c r="J25" s="50" t="str">
        <f t="shared" ca="1" si="4"/>
        <v/>
      </c>
      <c r="K25" s="50" t="str">
        <f t="shared" ca="1" si="4"/>
        <v/>
      </c>
      <c r="L25" s="50" t="str">
        <f t="shared" ca="1" si="4"/>
        <v/>
      </c>
      <c r="M25" s="50" t="str">
        <f t="shared" ca="1" si="4"/>
        <v/>
      </c>
      <c r="N25" s="50" t="str">
        <f t="shared" ca="1" si="4"/>
        <v/>
      </c>
      <c r="O25" s="50" t="str">
        <f t="shared" ca="1" si="4"/>
        <v/>
      </c>
      <c r="P25" s="50" t="str">
        <f t="shared" ca="1" si="4"/>
        <v/>
      </c>
      <c r="Q25" s="50" t="str">
        <f t="shared" ca="1" si="4"/>
        <v/>
      </c>
      <c r="R25" s="50" t="str">
        <f t="shared" ca="1" si="5"/>
        <v/>
      </c>
    </row>
    <row r="26" spans="1:18" x14ac:dyDescent="0.25">
      <c r="A26" s="21">
        <v>18</v>
      </c>
      <c r="B26" s="22" t="str">
        <f t="shared" ca="1" si="3"/>
        <v/>
      </c>
      <c r="C26" s="50" t="str">
        <f t="shared" ca="1" si="4"/>
        <v/>
      </c>
      <c r="D26" s="50" t="str">
        <f t="shared" ca="1" si="4"/>
        <v/>
      </c>
      <c r="E26" s="50" t="str">
        <f t="shared" ca="1" si="4"/>
        <v/>
      </c>
      <c r="F26" s="50" t="str">
        <f t="shared" ca="1" si="4"/>
        <v/>
      </c>
      <c r="G26" s="50" t="str">
        <f t="shared" ca="1" si="4"/>
        <v/>
      </c>
      <c r="H26" s="50" t="str">
        <f t="shared" ca="1" si="4"/>
        <v/>
      </c>
      <c r="I26" s="50" t="str">
        <f t="shared" ca="1" si="4"/>
        <v/>
      </c>
      <c r="J26" s="50" t="str">
        <f t="shared" ca="1" si="4"/>
        <v/>
      </c>
      <c r="K26" s="50" t="str">
        <f t="shared" ca="1" si="4"/>
        <v/>
      </c>
      <c r="L26" s="50" t="str">
        <f t="shared" ca="1" si="4"/>
        <v/>
      </c>
      <c r="M26" s="50" t="str">
        <f t="shared" ca="1" si="4"/>
        <v/>
      </c>
      <c r="N26" s="50" t="str">
        <f t="shared" ca="1" si="4"/>
        <v/>
      </c>
      <c r="O26" s="50" t="str">
        <f t="shared" ca="1" si="4"/>
        <v/>
      </c>
      <c r="P26" s="50" t="str">
        <f t="shared" ca="1" si="4"/>
        <v/>
      </c>
      <c r="Q26" s="50" t="str">
        <f t="shared" ca="1" si="4"/>
        <v/>
      </c>
      <c r="R26" s="50" t="str">
        <f t="shared" ca="1" si="5"/>
        <v/>
      </c>
    </row>
    <row r="27" spans="1:18" x14ac:dyDescent="0.25">
      <c r="A27" s="21">
        <v>19</v>
      </c>
      <c r="B27" s="22" t="str">
        <f t="shared" ca="1" si="3"/>
        <v/>
      </c>
      <c r="C27" s="50" t="str">
        <f t="shared" ca="1" si="4"/>
        <v/>
      </c>
      <c r="D27" s="50" t="str">
        <f t="shared" ca="1" si="4"/>
        <v/>
      </c>
      <c r="E27" s="50" t="str">
        <f t="shared" ca="1" si="4"/>
        <v/>
      </c>
      <c r="F27" s="50" t="str">
        <f t="shared" ca="1" si="4"/>
        <v/>
      </c>
      <c r="G27" s="50" t="str">
        <f t="shared" ca="1" si="4"/>
        <v/>
      </c>
      <c r="H27" s="50" t="str">
        <f t="shared" ca="1" si="4"/>
        <v/>
      </c>
      <c r="I27" s="50" t="str">
        <f t="shared" ca="1" si="4"/>
        <v/>
      </c>
      <c r="J27" s="50" t="str">
        <f t="shared" ca="1" si="4"/>
        <v/>
      </c>
      <c r="K27" s="50" t="str">
        <f t="shared" ca="1" si="4"/>
        <v/>
      </c>
      <c r="L27" s="50" t="str">
        <f t="shared" ca="1" si="4"/>
        <v/>
      </c>
      <c r="M27" s="50" t="str">
        <f t="shared" ca="1" si="4"/>
        <v/>
      </c>
      <c r="N27" s="50" t="str">
        <f t="shared" ca="1" si="4"/>
        <v/>
      </c>
      <c r="O27" s="50" t="str">
        <f t="shared" ca="1" si="4"/>
        <v/>
      </c>
      <c r="P27" s="50" t="str">
        <f t="shared" ca="1" si="4"/>
        <v/>
      </c>
      <c r="Q27" s="50" t="str">
        <f t="shared" ca="1" si="4"/>
        <v/>
      </c>
      <c r="R27" s="50" t="str">
        <f t="shared" ca="1" si="5"/>
        <v/>
      </c>
    </row>
    <row r="28" spans="1:18" x14ac:dyDescent="0.25">
      <c r="A28" s="21">
        <v>20</v>
      </c>
      <c r="B28" s="22" t="str">
        <f t="shared" ca="1" si="3"/>
        <v/>
      </c>
      <c r="C28" s="50" t="str">
        <f t="shared" ca="1" si="4"/>
        <v/>
      </c>
      <c r="D28" s="50" t="str">
        <f t="shared" ca="1" si="4"/>
        <v/>
      </c>
      <c r="E28" s="50" t="str">
        <f t="shared" ca="1" si="4"/>
        <v/>
      </c>
      <c r="F28" s="50" t="str">
        <f t="shared" ca="1" si="4"/>
        <v/>
      </c>
      <c r="G28" s="50" t="str">
        <f t="shared" ca="1" si="4"/>
        <v/>
      </c>
      <c r="H28" s="50" t="str">
        <f t="shared" ca="1" si="4"/>
        <v/>
      </c>
      <c r="I28" s="50" t="str">
        <f t="shared" ca="1" si="4"/>
        <v/>
      </c>
      <c r="J28" s="50" t="str">
        <f t="shared" ca="1" si="4"/>
        <v/>
      </c>
      <c r="K28" s="50" t="str">
        <f t="shared" ca="1" si="4"/>
        <v/>
      </c>
      <c r="L28" s="50" t="str">
        <f t="shared" ca="1" si="4"/>
        <v/>
      </c>
      <c r="M28" s="50" t="str">
        <f t="shared" ca="1" si="4"/>
        <v/>
      </c>
      <c r="N28" s="50" t="str">
        <f t="shared" ca="1" si="4"/>
        <v/>
      </c>
      <c r="O28" s="50" t="str">
        <f t="shared" ca="1" si="4"/>
        <v/>
      </c>
      <c r="P28" s="50" t="str">
        <f t="shared" ca="1" si="4"/>
        <v/>
      </c>
      <c r="Q28" s="50" t="str">
        <f t="shared" ca="1" si="4"/>
        <v/>
      </c>
      <c r="R28" s="50" t="str">
        <f t="shared" ca="1" si="5"/>
        <v/>
      </c>
    </row>
    <row r="29" spans="1:18" x14ac:dyDescent="0.25">
      <c r="A29" s="21">
        <v>21</v>
      </c>
      <c r="B29" s="22" t="str">
        <f t="shared" ca="1" si="3"/>
        <v/>
      </c>
      <c r="C29" s="50" t="str">
        <f t="shared" ca="1" si="4"/>
        <v/>
      </c>
      <c r="D29" s="50" t="str">
        <f t="shared" ca="1" si="4"/>
        <v/>
      </c>
      <c r="E29" s="50" t="str">
        <f t="shared" ca="1" si="4"/>
        <v/>
      </c>
      <c r="F29" s="50" t="str">
        <f t="shared" ca="1" si="4"/>
        <v/>
      </c>
      <c r="G29" s="50" t="str">
        <f t="shared" ca="1" si="4"/>
        <v/>
      </c>
      <c r="H29" s="50" t="str">
        <f t="shared" ca="1" si="4"/>
        <v/>
      </c>
      <c r="I29" s="50" t="str">
        <f t="shared" ca="1" si="4"/>
        <v/>
      </c>
      <c r="J29" s="50" t="str">
        <f t="shared" ca="1" si="4"/>
        <v/>
      </c>
      <c r="K29" s="50" t="str">
        <f t="shared" ca="1" si="4"/>
        <v/>
      </c>
      <c r="L29" s="50" t="str">
        <f t="shared" ca="1" si="4"/>
        <v/>
      </c>
      <c r="M29" s="50" t="str">
        <f t="shared" ca="1" si="4"/>
        <v/>
      </c>
      <c r="N29" s="50" t="str">
        <f t="shared" ca="1" si="4"/>
        <v/>
      </c>
      <c r="O29" s="50" t="str">
        <f t="shared" ca="1" si="4"/>
        <v/>
      </c>
      <c r="P29" s="50" t="str">
        <f t="shared" ca="1" si="4"/>
        <v/>
      </c>
      <c r="Q29" s="50" t="str">
        <f t="shared" ca="1" si="4"/>
        <v/>
      </c>
      <c r="R29" s="50" t="str">
        <f t="shared" ca="1" si="5"/>
        <v/>
      </c>
    </row>
    <row r="30" spans="1:18" x14ac:dyDescent="0.25">
      <c r="A30" s="21">
        <v>22</v>
      </c>
      <c r="B30" s="22" t="str">
        <f t="shared" ca="1" si="3"/>
        <v/>
      </c>
      <c r="C30" s="50" t="str">
        <f t="shared" ca="1" si="4"/>
        <v/>
      </c>
      <c r="D30" s="50" t="str">
        <f t="shared" ca="1" si="4"/>
        <v/>
      </c>
      <c r="E30" s="50" t="str">
        <f t="shared" ca="1" si="4"/>
        <v/>
      </c>
      <c r="F30" s="50" t="str">
        <f t="shared" ca="1" si="4"/>
        <v/>
      </c>
      <c r="G30" s="50" t="str">
        <f t="shared" ca="1" si="4"/>
        <v/>
      </c>
      <c r="H30" s="50" t="str">
        <f t="shared" ca="1" si="4"/>
        <v/>
      </c>
      <c r="I30" s="50" t="str">
        <f t="shared" ca="1" si="4"/>
        <v/>
      </c>
      <c r="J30" s="50" t="str">
        <f t="shared" ca="1" si="4"/>
        <v/>
      </c>
      <c r="K30" s="50" t="str">
        <f t="shared" ca="1" si="4"/>
        <v/>
      </c>
      <c r="L30" s="50" t="str">
        <f t="shared" ca="1" si="4"/>
        <v/>
      </c>
      <c r="M30" s="50" t="str">
        <f t="shared" ca="1" si="4"/>
        <v/>
      </c>
      <c r="N30" s="50" t="str">
        <f t="shared" ca="1" si="4"/>
        <v/>
      </c>
      <c r="O30" s="50" t="str">
        <f t="shared" ca="1" si="4"/>
        <v/>
      </c>
      <c r="P30" s="50" t="str">
        <f t="shared" ca="1" si="4"/>
        <v/>
      </c>
      <c r="Q30" s="50" t="str">
        <f t="shared" ca="1" si="4"/>
        <v/>
      </c>
      <c r="R30" s="50" t="str">
        <f t="shared" ca="1" si="5"/>
        <v/>
      </c>
    </row>
    <row r="31" spans="1:18" x14ac:dyDescent="0.25">
      <c r="A31" s="21">
        <v>23</v>
      </c>
      <c r="B31" s="22" t="str">
        <f t="shared" ca="1" si="3"/>
        <v/>
      </c>
      <c r="C31" s="50" t="str">
        <f t="shared" ca="1" si="4"/>
        <v/>
      </c>
      <c r="D31" s="50" t="str">
        <f t="shared" ca="1" si="4"/>
        <v/>
      </c>
      <c r="E31" s="50" t="str">
        <f t="shared" ca="1" si="4"/>
        <v/>
      </c>
      <c r="F31" s="50" t="str">
        <f t="shared" ca="1" si="4"/>
        <v/>
      </c>
      <c r="G31" s="50" t="str">
        <f t="shared" ca="1" si="4"/>
        <v/>
      </c>
      <c r="H31" s="50" t="str">
        <f t="shared" ca="1" si="4"/>
        <v/>
      </c>
      <c r="I31" s="50" t="str">
        <f t="shared" ca="1" si="4"/>
        <v/>
      </c>
      <c r="J31" s="50" t="str">
        <f t="shared" ca="1" si="4"/>
        <v/>
      </c>
      <c r="K31" s="50" t="str">
        <f t="shared" ca="1" si="4"/>
        <v/>
      </c>
      <c r="L31" s="50" t="str">
        <f t="shared" ca="1" si="4"/>
        <v/>
      </c>
      <c r="M31" s="50" t="str">
        <f t="shared" ca="1" si="4"/>
        <v/>
      </c>
      <c r="N31" s="50" t="str">
        <f t="shared" ca="1" si="4"/>
        <v/>
      </c>
      <c r="O31" s="50" t="str">
        <f t="shared" ca="1" si="4"/>
        <v/>
      </c>
      <c r="P31" s="50" t="str">
        <f t="shared" ca="1" si="4"/>
        <v/>
      </c>
      <c r="Q31" s="50" t="str">
        <f t="shared" ca="1" si="4"/>
        <v/>
      </c>
      <c r="R31" s="50" t="str">
        <f t="shared" ca="1" si="5"/>
        <v/>
      </c>
    </row>
    <row r="32" spans="1:18" x14ac:dyDescent="0.25">
      <c r="A32" s="21">
        <v>24</v>
      </c>
      <c r="B32" s="22" t="str">
        <f t="shared" ca="1" si="3"/>
        <v/>
      </c>
      <c r="C32" s="50" t="str">
        <f t="shared" ca="1" si="4"/>
        <v/>
      </c>
      <c r="D32" s="50" t="str">
        <f t="shared" ca="1" si="4"/>
        <v/>
      </c>
      <c r="E32" s="50" t="str">
        <f t="shared" ca="1" si="4"/>
        <v/>
      </c>
      <c r="F32" s="50" t="str">
        <f t="shared" ca="1" si="4"/>
        <v/>
      </c>
      <c r="G32" s="50" t="str">
        <f t="shared" ca="1" si="4"/>
        <v/>
      </c>
      <c r="H32" s="50" t="str">
        <f t="shared" ca="1" si="4"/>
        <v/>
      </c>
      <c r="I32" s="50" t="str">
        <f t="shared" ca="1" si="4"/>
        <v/>
      </c>
      <c r="J32" s="50" t="str">
        <f t="shared" ca="1" si="4"/>
        <v/>
      </c>
      <c r="K32" s="50" t="str">
        <f t="shared" ca="1" si="4"/>
        <v/>
      </c>
      <c r="L32" s="50" t="str">
        <f t="shared" ca="1" si="4"/>
        <v/>
      </c>
      <c r="M32" s="50" t="str">
        <f t="shared" ca="1" si="4"/>
        <v/>
      </c>
      <c r="N32" s="50" t="str">
        <f t="shared" ca="1" si="4"/>
        <v/>
      </c>
      <c r="O32" s="50" t="str">
        <f t="shared" ca="1" si="4"/>
        <v/>
      </c>
      <c r="P32" s="50" t="str">
        <f t="shared" ca="1" si="4"/>
        <v/>
      </c>
      <c r="Q32" s="50" t="str">
        <f t="shared" ca="1" si="4"/>
        <v/>
      </c>
      <c r="R32" s="50" t="str">
        <f t="shared" ca="1" si="5"/>
        <v/>
      </c>
    </row>
    <row r="33" spans="1:18" x14ac:dyDescent="0.25">
      <c r="A33" s="21">
        <v>25</v>
      </c>
      <c r="B33" s="22" t="str">
        <f t="shared" ca="1" si="3"/>
        <v/>
      </c>
      <c r="C33" s="50" t="str">
        <f t="shared" ca="1" si="4"/>
        <v/>
      </c>
      <c r="D33" s="50" t="str">
        <f t="shared" ca="1" si="4"/>
        <v/>
      </c>
      <c r="E33" s="50" t="str">
        <f t="shared" ca="1" si="4"/>
        <v/>
      </c>
      <c r="F33" s="50" t="str">
        <f t="shared" ca="1" si="4"/>
        <v/>
      </c>
      <c r="G33" s="50" t="str">
        <f t="shared" ca="1" si="4"/>
        <v/>
      </c>
      <c r="H33" s="50" t="str">
        <f t="shared" ca="1" si="4"/>
        <v/>
      </c>
      <c r="I33" s="50" t="str">
        <f t="shared" ca="1" si="4"/>
        <v/>
      </c>
      <c r="J33" s="50" t="str">
        <f t="shared" ca="1" si="4"/>
        <v/>
      </c>
      <c r="K33" s="50" t="str">
        <f t="shared" ca="1" si="4"/>
        <v/>
      </c>
      <c r="L33" s="50" t="str">
        <f t="shared" ca="1" si="4"/>
        <v/>
      </c>
      <c r="M33" s="50" t="str">
        <f t="shared" ca="1" si="4"/>
        <v/>
      </c>
      <c r="N33" s="50" t="str">
        <f t="shared" ca="1" si="4"/>
        <v/>
      </c>
      <c r="O33" s="50" t="str">
        <f t="shared" ca="1" si="4"/>
        <v/>
      </c>
      <c r="P33" s="50" t="str">
        <f t="shared" ca="1" si="4"/>
        <v/>
      </c>
      <c r="Q33" s="50" t="str">
        <f t="shared" ca="1" si="4"/>
        <v/>
      </c>
      <c r="R33" s="50" t="str">
        <f t="shared" ca="1" si="5"/>
        <v/>
      </c>
    </row>
    <row r="34" spans="1:18" x14ac:dyDescent="0.25">
      <c r="A34" s="21">
        <v>26</v>
      </c>
      <c r="B34" s="22" t="str">
        <f t="shared" ca="1" si="3"/>
        <v/>
      </c>
      <c r="C34" s="50" t="str">
        <f t="shared" ca="1" si="4"/>
        <v/>
      </c>
      <c r="D34" s="50" t="str">
        <f t="shared" ca="1" si="4"/>
        <v/>
      </c>
      <c r="E34" s="50" t="str">
        <f t="shared" ca="1" si="4"/>
        <v/>
      </c>
      <c r="F34" s="50" t="str">
        <f t="shared" ca="1" si="4"/>
        <v/>
      </c>
      <c r="G34" s="50" t="str">
        <f t="shared" ca="1" si="4"/>
        <v/>
      </c>
      <c r="H34" s="50" t="str">
        <f t="shared" ca="1" si="4"/>
        <v/>
      </c>
      <c r="I34" s="50" t="str">
        <f t="shared" ca="1" si="4"/>
        <v/>
      </c>
      <c r="J34" s="50" t="str">
        <f t="shared" ca="1" si="4"/>
        <v/>
      </c>
      <c r="K34" s="50" t="str">
        <f t="shared" ca="1" si="4"/>
        <v/>
      </c>
      <c r="L34" s="50" t="str">
        <f t="shared" ca="1" si="4"/>
        <v/>
      </c>
      <c r="M34" s="50" t="str">
        <f t="shared" ca="1" si="4"/>
        <v/>
      </c>
      <c r="N34" s="50" t="str">
        <f t="shared" ca="1" si="4"/>
        <v/>
      </c>
      <c r="O34" s="50" t="str">
        <f t="shared" ca="1" si="4"/>
        <v/>
      </c>
      <c r="P34" s="50" t="str">
        <f t="shared" ca="1" si="4"/>
        <v/>
      </c>
      <c r="Q34" s="50" t="str">
        <f t="shared" ca="1" si="4"/>
        <v/>
      </c>
      <c r="R34" s="50" t="str">
        <f t="shared" ca="1" si="5"/>
        <v/>
      </c>
    </row>
    <row r="35" spans="1:18" x14ac:dyDescent="0.25">
      <c r="A35" s="21">
        <v>27</v>
      </c>
      <c r="B35" s="22" t="str">
        <f t="shared" ca="1" si="3"/>
        <v/>
      </c>
      <c r="C35" s="50" t="str">
        <f t="shared" ca="1" si="4"/>
        <v/>
      </c>
      <c r="D35" s="50" t="str">
        <f t="shared" ca="1" si="4"/>
        <v/>
      </c>
      <c r="E35" s="50" t="str">
        <f t="shared" ca="1" si="4"/>
        <v/>
      </c>
      <c r="F35" s="50" t="str">
        <f t="shared" ca="1" si="4"/>
        <v/>
      </c>
      <c r="G35" s="50" t="str">
        <f t="shared" ca="1" si="4"/>
        <v/>
      </c>
      <c r="H35" s="50" t="str">
        <f t="shared" ca="1" si="4"/>
        <v/>
      </c>
      <c r="I35" s="50" t="str">
        <f t="shared" ca="1" si="4"/>
        <v/>
      </c>
      <c r="J35" s="50" t="str">
        <f t="shared" ca="1" si="4"/>
        <v/>
      </c>
      <c r="K35" s="50" t="str">
        <f t="shared" ca="1" si="4"/>
        <v/>
      </c>
      <c r="L35" s="50" t="str">
        <f t="shared" ca="1" si="4"/>
        <v/>
      </c>
      <c r="M35" s="50" t="str">
        <f t="shared" ca="1" si="4"/>
        <v/>
      </c>
      <c r="N35" s="50" t="str">
        <f t="shared" ca="1" si="4"/>
        <v/>
      </c>
      <c r="O35" s="50" t="str">
        <f t="shared" ca="1" si="4"/>
        <v/>
      </c>
      <c r="P35" s="50" t="str">
        <f t="shared" ca="1" si="4"/>
        <v/>
      </c>
      <c r="Q35" s="50" t="str">
        <f t="shared" ca="1" si="4"/>
        <v/>
      </c>
      <c r="R35" s="50" t="str">
        <f t="shared" ca="1" si="5"/>
        <v/>
      </c>
    </row>
    <row r="36" spans="1:18" x14ac:dyDescent="0.25">
      <c r="A36" s="21">
        <v>28</v>
      </c>
      <c r="B36" s="22" t="str">
        <f t="shared" ca="1" si="3"/>
        <v/>
      </c>
      <c r="C36" s="50" t="str">
        <f t="shared" ca="1" si="4"/>
        <v/>
      </c>
      <c r="D36" s="50" t="str">
        <f t="shared" ca="1" si="4"/>
        <v/>
      </c>
      <c r="E36" s="50" t="str">
        <f t="shared" ca="1" si="4"/>
        <v/>
      </c>
      <c r="F36" s="50" t="str">
        <f t="shared" ca="1" si="4"/>
        <v/>
      </c>
      <c r="G36" s="50" t="str">
        <f t="shared" ca="1" si="4"/>
        <v/>
      </c>
      <c r="H36" s="50" t="str">
        <f t="shared" ca="1" si="4"/>
        <v/>
      </c>
      <c r="I36" s="50" t="str">
        <f t="shared" ca="1" si="4"/>
        <v/>
      </c>
      <c r="J36" s="50" t="str">
        <f t="shared" ca="1" si="4"/>
        <v/>
      </c>
      <c r="K36" s="50" t="str">
        <f t="shared" ca="1" si="4"/>
        <v/>
      </c>
      <c r="L36" s="50" t="str">
        <f t="shared" ca="1" si="4"/>
        <v/>
      </c>
      <c r="M36" s="50" t="str">
        <f t="shared" ca="1" si="4"/>
        <v/>
      </c>
      <c r="N36" s="50" t="str">
        <f t="shared" ca="1" si="4"/>
        <v/>
      </c>
      <c r="O36" s="50" t="str">
        <f t="shared" ca="1" si="4"/>
        <v/>
      </c>
      <c r="P36" s="50" t="str">
        <f t="shared" ca="1" si="4"/>
        <v/>
      </c>
      <c r="Q36" s="50" t="str">
        <f t="shared" ca="1" si="4"/>
        <v/>
      </c>
      <c r="R36" s="50" t="str">
        <f t="shared" ca="1" si="5"/>
        <v/>
      </c>
    </row>
    <row r="37" spans="1:18" x14ac:dyDescent="0.25">
      <c r="A37" s="21">
        <v>29</v>
      </c>
      <c r="B37" s="22" t="str">
        <f t="shared" ca="1" si="3"/>
        <v/>
      </c>
      <c r="C37" s="50" t="str">
        <f t="shared" ca="1" si="4"/>
        <v/>
      </c>
      <c r="D37" s="50" t="str">
        <f t="shared" ca="1" si="4"/>
        <v/>
      </c>
      <c r="E37" s="50" t="str">
        <f t="shared" ca="1" si="4"/>
        <v/>
      </c>
      <c r="F37" s="50" t="str">
        <f t="shared" ca="1" si="4"/>
        <v/>
      </c>
      <c r="G37" s="50" t="str">
        <f t="shared" ca="1" si="4"/>
        <v/>
      </c>
      <c r="H37" s="50" t="str">
        <f t="shared" ca="1" si="4"/>
        <v/>
      </c>
      <c r="I37" s="50" t="str">
        <f t="shared" ca="1" si="4"/>
        <v/>
      </c>
      <c r="J37" s="50" t="str">
        <f t="shared" ca="1" si="4"/>
        <v/>
      </c>
      <c r="K37" s="50" t="str">
        <f t="shared" ca="1" si="4"/>
        <v/>
      </c>
      <c r="L37" s="50" t="str">
        <f t="shared" ca="1" si="4"/>
        <v/>
      </c>
      <c r="M37" s="50" t="str">
        <f t="shared" ca="1" si="4"/>
        <v/>
      </c>
      <c r="N37" s="50" t="str">
        <f t="shared" ca="1" si="4"/>
        <v/>
      </c>
      <c r="O37" s="50" t="str">
        <f t="shared" ca="1" si="4"/>
        <v/>
      </c>
      <c r="P37" s="50" t="str">
        <f t="shared" ca="1" si="4"/>
        <v/>
      </c>
      <c r="Q37" s="50" t="str">
        <f t="shared" ca="1" si="4"/>
        <v/>
      </c>
      <c r="R37" s="50" t="str">
        <f t="shared" ca="1" si="5"/>
        <v/>
      </c>
    </row>
    <row r="38" spans="1:18" x14ac:dyDescent="0.25">
      <c r="A38" s="21">
        <v>30</v>
      </c>
      <c r="B38" s="22" t="str">
        <f t="shared" ca="1" si="3"/>
        <v/>
      </c>
      <c r="C38" s="50" t="str">
        <f t="shared" ca="1" si="4"/>
        <v/>
      </c>
      <c r="D38" s="50" t="str">
        <f t="shared" ca="1" si="4"/>
        <v/>
      </c>
      <c r="E38" s="50" t="str">
        <f t="shared" ca="1" si="4"/>
        <v/>
      </c>
      <c r="F38" s="50" t="str">
        <f t="shared" ca="1" si="4"/>
        <v/>
      </c>
      <c r="G38" s="50" t="str">
        <f t="shared" ca="1" si="4"/>
        <v/>
      </c>
      <c r="H38" s="50" t="str">
        <f t="shared" ca="1" si="4"/>
        <v/>
      </c>
      <c r="I38" s="50" t="str">
        <f t="shared" ca="1" si="4"/>
        <v/>
      </c>
      <c r="J38" s="50" t="str">
        <f t="shared" ca="1" si="4"/>
        <v/>
      </c>
      <c r="K38" s="50" t="str">
        <f t="shared" ca="1" si="4"/>
        <v/>
      </c>
      <c r="L38" s="50" t="str">
        <f t="shared" ca="1" si="4"/>
        <v/>
      </c>
      <c r="M38" s="50" t="str">
        <f t="shared" ca="1" si="4"/>
        <v/>
      </c>
      <c r="N38" s="50" t="str">
        <f t="shared" ca="1" si="4"/>
        <v/>
      </c>
      <c r="O38" s="50" t="str">
        <f t="shared" ca="1" si="4"/>
        <v/>
      </c>
      <c r="P38" s="50" t="str">
        <f t="shared" ca="1" si="4"/>
        <v/>
      </c>
      <c r="Q38" s="50" t="str">
        <f t="shared" ca="1" si="4"/>
        <v/>
      </c>
      <c r="R38" s="50" t="str">
        <f t="shared" ca="1" si="5"/>
        <v/>
      </c>
    </row>
    <row r="39" spans="1:18" x14ac:dyDescent="0.25">
      <c r="A39" s="21">
        <v>31</v>
      </c>
      <c r="B39" s="22" t="str">
        <f t="shared" ca="1" si="3"/>
        <v/>
      </c>
      <c r="C39" s="50" t="str">
        <f t="shared" ca="1" si="4"/>
        <v/>
      </c>
      <c r="D39" s="50" t="str">
        <f t="shared" ca="1" si="4"/>
        <v/>
      </c>
      <c r="E39" s="50" t="str">
        <f t="shared" ca="1" si="4"/>
        <v/>
      </c>
      <c r="F39" s="50" t="str">
        <f t="shared" ca="1" si="4"/>
        <v/>
      </c>
      <c r="G39" s="50" t="str">
        <f t="shared" ca="1" si="4"/>
        <v/>
      </c>
      <c r="H39" s="50" t="str">
        <f t="shared" ca="1" si="4"/>
        <v/>
      </c>
      <c r="I39" s="50" t="str">
        <f t="shared" ca="1" si="4"/>
        <v/>
      </c>
      <c r="J39" s="50" t="str">
        <f t="shared" ca="1" si="4"/>
        <v/>
      </c>
      <c r="K39" s="50" t="str">
        <f t="shared" ca="1" si="4"/>
        <v/>
      </c>
      <c r="L39" s="50" t="str">
        <f t="shared" ca="1" si="4"/>
        <v/>
      </c>
      <c r="M39" s="50" t="str">
        <f t="shared" ca="1" si="4"/>
        <v/>
      </c>
      <c r="N39" s="50" t="str">
        <f t="shared" ca="1" si="4"/>
        <v/>
      </c>
      <c r="O39" s="50" t="str">
        <f t="shared" ca="1" si="4"/>
        <v/>
      </c>
      <c r="P39" s="50" t="str">
        <f t="shared" ca="1" si="4"/>
        <v/>
      </c>
      <c r="Q39" s="50" t="str">
        <f t="shared" ca="1" si="4"/>
        <v/>
      </c>
      <c r="R39" s="50" t="str">
        <f t="shared" ca="1" si="5"/>
        <v/>
      </c>
    </row>
    <row r="40" spans="1:18" x14ac:dyDescent="0.25">
      <c r="A40" s="21">
        <v>32</v>
      </c>
      <c r="B40" s="22" t="str">
        <f t="shared" ca="1" si="3"/>
        <v/>
      </c>
      <c r="C40" s="50" t="str">
        <f t="shared" ca="1" si="4"/>
        <v/>
      </c>
      <c r="D40" s="50" t="str">
        <f t="shared" ca="1" si="4"/>
        <v/>
      </c>
      <c r="E40" s="50" t="str">
        <f t="shared" ca="1" si="4"/>
        <v/>
      </c>
      <c r="F40" s="50" t="str">
        <f t="shared" ca="1" si="4"/>
        <v/>
      </c>
      <c r="G40" s="50" t="str">
        <f t="shared" ca="1" si="4"/>
        <v/>
      </c>
      <c r="H40" s="50" t="str">
        <f t="shared" ca="1" si="4"/>
        <v/>
      </c>
      <c r="I40" s="50" t="str">
        <f t="shared" ca="1" si="4"/>
        <v/>
      </c>
      <c r="J40" s="50" t="str">
        <f t="shared" ca="1" si="4"/>
        <v/>
      </c>
      <c r="K40" s="50" t="str">
        <f t="shared" ca="1" si="4"/>
        <v/>
      </c>
      <c r="L40" s="50" t="str">
        <f t="shared" ca="1" si="4"/>
        <v/>
      </c>
      <c r="M40" s="50" t="str">
        <f t="shared" ca="1" si="4"/>
        <v/>
      </c>
      <c r="N40" s="50" t="str">
        <f t="shared" ca="1" si="4"/>
        <v/>
      </c>
      <c r="O40" s="50" t="str">
        <f t="shared" ca="1" si="4"/>
        <v/>
      </c>
      <c r="P40" s="50" t="str">
        <f t="shared" ca="1" si="4"/>
        <v/>
      </c>
      <c r="Q40" s="50" t="str">
        <f t="shared" ca="1" si="4"/>
        <v/>
      </c>
      <c r="R40" s="50" t="str">
        <f t="shared" ca="1" si="5"/>
        <v/>
      </c>
    </row>
    <row r="41" spans="1:18" x14ac:dyDescent="0.25">
      <c r="A41" s="21">
        <v>33</v>
      </c>
      <c r="B41" s="22" t="str">
        <f t="shared" ca="1" si="3"/>
        <v/>
      </c>
      <c r="C41" s="50" t="str">
        <f t="shared" ref="C41:Q57" ca="1" si="6">IF(AND($B41=$S$4,C$5&lt;&gt;""),IF(VLOOKUP($A$1&amp;"-"&amp;$A41,INDIRECT($E$2&amp;$E$3),C$4+$B$4,0)="","","'"&amp;C$5&amp;"' =&gt; '"&amp;VLOOKUP($A$1&amp;"-"&amp;$A41,INDIRECT($E$2&amp;$E$3),C$4+$B$4,0)&amp;"', "),"")</f>
        <v/>
      </c>
      <c r="D41" s="50" t="str">
        <f t="shared" ca="1" si="6"/>
        <v/>
      </c>
      <c r="E41" s="50" t="str">
        <f t="shared" ca="1" si="6"/>
        <v/>
      </c>
      <c r="F41" s="50" t="str">
        <f t="shared" ca="1" si="6"/>
        <v/>
      </c>
      <c r="G41" s="50" t="str">
        <f t="shared" ca="1" si="6"/>
        <v/>
      </c>
      <c r="H41" s="50" t="str">
        <f t="shared" ca="1" si="6"/>
        <v/>
      </c>
      <c r="I41" s="50" t="str">
        <f t="shared" ca="1" si="6"/>
        <v/>
      </c>
      <c r="J41" s="50" t="str">
        <f t="shared" ca="1" si="6"/>
        <v/>
      </c>
      <c r="K41" s="50" t="str">
        <f t="shared" ca="1" si="6"/>
        <v/>
      </c>
      <c r="L41" s="50" t="str">
        <f t="shared" ca="1" si="6"/>
        <v/>
      </c>
      <c r="M41" s="50" t="str">
        <f t="shared" ca="1" si="6"/>
        <v/>
      </c>
      <c r="N41" s="50" t="str">
        <f t="shared" ca="1" si="6"/>
        <v/>
      </c>
      <c r="O41" s="50" t="str">
        <f t="shared" ca="1" si="6"/>
        <v/>
      </c>
      <c r="P41" s="50" t="str">
        <f t="shared" ca="1" si="6"/>
        <v/>
      </c>
      <c r="Q41" s="50" t="str">
        <f t="shared" ca="1" si="6"/>
        <v/>
      </c>
      <c r="R41" s="50" t="str">
        <f t="shared" ca="1" si="5"/>
        <v/>
      </c>
    </row>
    <row r="42" spans="1:18" x14ac:dyDescent="0.25">
      <c r="A42" s="21">
        <v>34</v>
      </c>
      <c r="B42" s="22" t="str">
        <f t="shared" ca="1" si="3"/>
        <v/>
      </c>
      <c r="C42" s="50" t="str">
        <f t="shared" ca="1" si="6"/>
        <v/>
      </c>
      <c r="D42" s="50" t="str">
        <f t="shared" ca="1" si="6"/>
        <v/>
      </c>
      <c r="E42" s="50" t="str">
        <f t="shared" ca="1" si="6"/>
        <v/>
      </c>
      <c r="F42" s="50" t="str">
        <f t="shared" ca="1" si="6"/>
        <v/>
      </c>
      <c r="G42" s="50" t="str">
        <f t="shared" ca="1" si="6"/>
        <v/>
      </c>
      <c r="H42" s="50" t="str">
        <f t="shared" ca="1" si="6"/>
        <v/>
      </c>
      <c r="I42" s="50" t="str">
        <f t="shared" ca="1" si="6"/>
        <v/>
      </c>
      <c r="J42" s="50" t="str">
        <f t="shared" ca="1" si="6"/>
        <v/>
      </c>
      <c r="K42" s="50" t="str">
        <f t="shared" ca="1" si="6"/>
        <v/>
      </c>
      <c r="L42" s="50" t="str">
        <f t="shared" ca="1" si="6"/>
        <v/>
      </c>
      <c r="M42" s="50" t="str">
        <f t="shared" ca="1" si="6"/>
        <v/>
      </c>
      <c r="N42" s="50" t="str">
        <f t="shared" ca="1" si="6"/>
        <v/>
      </c>
      <c r="O42" s="50" t="str">
        <f t="shared" ca="1" si="6"/>
        <v/>
      </c>
      <c r="P42" s="50" t="str">
        <f t="shared" ca="1" si="6"/>
        <v/>
      </c>
      <c r="Q42" s="50" t="str">
        <f t="shared" ca="1" si="6"/>
        <v/>
      </c>
      <c r="R42" s="50" t="str">
        <f t="shared" ca="1" si="5"/>
        <v/>
      </c>
    </row>
    <row r="43" spans="1:18" x14ac:dyDescent="0.25">
      <c r="A43" s="21">
        <v>35</v>
      </c>
      <c r="B43" s="22" t="str">
        <f t="shared" ca="1" si="3"/>
        <v/>
      </c>
      <c r="C43" s="50" t="str">
        <f t="shared" ca="1" si="6"/>
        <v/>
      </c>
      <c r="D43" s="50" t="str">
        <f t="shared" ca="1" si="6"/>
        <v/>
      </c>
      <c r="E43" s="50" t="str">
        <f t="shared" ca="1" si="6"/>
        <v/>
      </c>
      <c r="F43" s="50" t="str">
        <f t="shared" ca="1" si="6"/>
        <v/>
      </c>
      <c r="G43" s="50" t="str">
        <f t="shared" ca="1" si="6"/>
        <v/>
      </c>
      <c r="H43" s="50" t="str">
        <f t="shared" ca="1" si="6"/>
        <v/>
      </c>
      <c r="I43" s="50" t="str">
        <f t="shared" ca="1" si="6"/>
        <v/>
      </c>
      <c r="J43" s="50" t="str">
        <f t="shared" ca="1" si="6"/>
        <v/>
      </c>
      <c r="K43" s="50" t="str">
        <f t="shared" ca="1" si="6"/>
        <v/>
      </c>
      <c r="L43" s="50" t="str">
        <f t="shared" ca="1" si="6"/>
        <v/>
      </c>
      <c r="M43" s="50" t="str">
        <f t="shared" ca="1" si="6"/>
        <v/>
      </c>
      <c r="N43" s="50" t="str">
        <f t="shared" ca="1" si="6"/>
        <v/>
      </c>
      <c r="O43" s="50" t="str">
        <f t="shared" ca="1" si="6"/>
        <v/>
      </c>
      <c r="P43" s="50" t="str">
        <f t="shared" ca="1" si="6"/>
        <v/>
      </c>
      <c r="Q43" s="50" t="str">
        <f t="shared" ca="1" si="6"/>
        <v/>
      </c>
      <c r="R43" s="50" t="str">
        <f t="shared" ca="1" si="5"/>
        <v/>
      </c>
    </row>
    <row r="44" spans="1:18" x14ac:dyDescent="0.25">
      <c r="A44" s="21">
        <v>36</v>
      </c>
      <c r="B44" s="22" t="str">
        <f t="shared" ca="1" si="3"/>
        <v/>
      </c>
      <c r="C44" s="50" t="str">
        <f t="shared" ca="1" si="6"/>
        <v/>
      </c>
      <c r="D44" s="50" t="str">
        <f t="shared" ca="1" si="6"/>
        <v/>
      </c>
      <c r="E44" s="50" t="str">
        <f t="shared" ca="1" si="6"/>
        <v/>
      </c>
      <c r="F44" s="50" t="str">
        <f t="shared" ca="1" si="6"/>
        <v/>
      </c>
      <c r="G44" s="50" t="str">
        <f t="shared" ca="1" si="6"/>
        <v/>
      </c>
      <c r="H44" s="50" t="str">
        <f t="shared" ca="1" si="6"/>
        <v/>
      </c>
      <c r="I44" s="50" t="str">
        <f t="shared" ca="1" si="6"/>
        <v/>
      </c>
      <c r="J44" s="50" t="str">
        <f t="shared" ca="1" si="6"/>
        <v/>
      </c>
      <c r="K44" s="50" t="str">
        <f t="shared" ca="1" si="6"/>
        <v/>
      </c>
      <c r="L44" s="50" t="str">
        <f t="shared" ca="1" si="6"/>
        <v/>
      </c>
      <c r="M44" s="50" t="str">
        <f t="shared" ca="1" si="6"/>
        <v/>
      </c>
      <c r="N44" s="50" t="str">
        <f t="shared" ca="1" si="6"/>
        <v/>
      </c>
      <c r="O44" s="50" t="str">
        <f t="shared" ca="1" si="6"/>
        <v/>
      </c>
      <c r="P44" s="50" t="str">
        <f t="shared" ca="1" si="6"/>
        <v/>
      </c>
      <c r="Q44" s="50" t="str">
        <f t="shared" ca="1" si="6"/>
        <v/>
      </c>
      <c r="R44" s="50" t="str">
        <f t="shared" ca="1" si="5"/>
        <v/>
      </c>
    </row>
    <row r="45" spans="1:18" x14ac:dyDescent="0.25">
      <c r="A45" s="21">
        <v>37</v>
      </c>
      <c r="B45" s="22" t="str">
        <f t="shared" ca="1" si="3"/>
        <v/>
      </c>
      <c r="C45" s="50" t="str">
        <f t="shared" ca="1" si="6"/>
        <v/>
      </c>
      <c r="D45" s="50" t="str">
        <f t="shared" ca="1" si="6"/>
        <v/>
      </c>
      <c r="E45" s="50" t="str">
        <f t="shared" ca="1" si="6"/>
        <v/>
      </c>
      <c r="F45" s="50" t="str">
        <f t="shared" ca="1" si="6"/>
        <v/>
      </c>
      <c r="G45" s="50" t="str">
        <f t="shared" ca="1" si="6"/>
        <v/>
      </c>
      <c r="H45" s="50" t="str">
        <f t="shared" ca="1" si="6"/>
        <v/>
      </c>
      <c r="I45" s="50" t="str">
        <f t="shared" ca="1" si="6"/>
        <v/>
      </c>
      <c r="J45" s="50" t="str">
        <f t="shared" ca="1" si="6"/>
        <v/>
      </c>
      <c r="K45" s="50" t="str">
        <f t="shared" ca="1" si="6"/>
        <v/>
      </c>
      <c r="L45" s="50" t="str">
        <f t="shared" ca="1" si="6"/>
        <v/>
      </c>
      <c r="M45" s="50" t="str">
        <f t="shared" ca="1" si="6"/>
        <v/>
      </c>
      <c r="N45" s="50" t="str">
        <f t="shared" ca="1" si="6"/>
        <v/>
      </c>
      <c r="O45" s="50" t="str">
        <f t="shared" ca="1" si="6"/>
        <v/>
      </c>
      <c r="P45" s="50" t="str">
        <f t="shared" ca="1" si="6"/>
        <v/>
      </c>
      <c r="Q45" s="50" t="str">
        <f t="shared" ca="1" si="6"/>
        <v/>
      </c>
      <c r="R45" s="50" t="str">
        <f t="shared" ca="1" si="5"/>
        <v/>
      </c>
    </row>
    <row r="46" spans="1:18" x14ac:dyDescent="0.25">
      <c r="A46" s="21">
        <v>38</v>
      </c>
      <c r="B46" s="22" t="str">
        <f t="shared" ca="1" si="3"/>
        <v/>
      </c>
      <c r="C46" s="50" t="str">
        <f t="shared" ca="1" si="6"/>
        <v/>
      </c>
      <c r="D46" s="50" t="str">
        <f t="shared" ca="1" si="6"/>
        <v/>
      </c>
      <c r="E46" s="50" t="str">
        <f t="shared" ca="1" si="6"/>
        <v/>
      </c>
      <c r="F46" s="50" t="str">
        <f t="shared" ca="1" si="6"/>
        <v/>
      </c>
      <c r="G46" s="50" t="str">
        <f t="shared" ca="1" si="6"/>
        <v/>
      </c>
      <c r="H46" s="50" t="str">
        <f t="shared" ca="1" si="6"/>
        <v/>
      </c>
      <c r="I46" s="50" t="str">
        <f t="shared" ca="1" si="6"/>
        <v/>
      </c>
      <c r="J46" s="50" t="str">
        <f t="shared" ca="1" si="6"/>
        <v/>
      </c>
      <c r="K46" s="50" t="str">
        <f t="shared" ca="1" si="6"/>
        <v/>
      </c>
      <c r="L46" s="50" t="str">
        <f t="shared" ca="1" si="6"/>
        <v/>
      </c>
      <c r="M46" s="50" t="str">
        <f t="shared" ca="1" si="6"/>
        <v/>
      </c>
      <c r="N46" s="50" t="str">
        <f t="shared" ca="1" si="6"/>
        <v/>
      </c>
      <c r="O46" s="50" t="str">
        <f t="shared" ca="1" si="6"/>
        <v/>
      </c>
      <c r="P46" s="50" t="str">
        <f t="shared" ca="1" si="6"/>
        <v/>
      </c>
      <c r="Q46" s="50" t="str">
        <f t="shared" ca="1" si="6"/>
        <v/>
      </c>
      <c r="R46" s="50" t="str">
        <f t="shared" ca="1" si="5"/>
        <v/>
      </c>
    </row>
    <row r="47" spans="1:18" x14ac:dyDescent="0.25">
      <c r="A47" s="21">
        <v>39</v>
      </c>
      <c r="B47" s="22" t="str">
        <f t="shared" ca="1" si="3"/>
        <v/>
      </c>
      <c r="C47" s="50" t="str">
        <f t="shared" ca="1" si="6"/>
        <v/>
      </c>
      <c r="D47" s="50" t="str">
        <f t="shared" ca="1" si="6"/>
        <v/>
      </c>
      <c r="E47" s="50" t="str">
        <f t="shared" ca="1" si="6"/>
        <v/>
      </c>
      <c r="F47" s="50" t="str">
        <f t="shared" ca="1" si="6"/>
        <v/>
      </c>
      <c r="G47" s="50" t="str">
        <f t="shared" ca="1" si="6"/>
        <v/>
      </c>
      <c r="H47" s="50" t="str">
        <f t="shared" ca="1" si="6"/>
        <v/>
      </c>
      <c r="I47" s="50" t="str">
        <f t="shared" ca="1" si="6"/>
        <v/>
      </c>
      <c r="J47" s="50" t="str">
        <f t="shared" ca="1" si="6"/>
        <v/>
      </c>
      <c r="K47" s="50" t="str">
        <f t="shared" ca="1" si="6"/>
        <v/>
      </c>
      <c r="L47" s="50" t="str">
        <f t="shared" ca="1" si="6"/>
        <v/>
      </c>
      <c r="M47" s="50" t="str">
        <f t="shared" ca="1" si="6"/>
        <v/>
      </c>
      <c r="N47" s="50" t="str">
        <f t="shared" ca="1" si="6"/>
        <v/>
      </c>
      <c r="O47" s="50" t="str">
        <f t="shared" ca="1" si="6"/>
        <v/>
      </c>
      <c r="P47" s="50" t="str">
        <f t="shared" ca="1" si="6"/>
        <v/>
      </c>
      <c r="Q47" s="50" t="str">
        <f t="shared" ca="1" si="6"/>
        <v/>
      </c>
      <c r="R47" s="50" t="str">
        <f t="shared" ca="1" si="5"/>
        <v/>
      </c>
    </row>
    <row r="48" spans="1:18" x14ac:dyDescent="0.25">
      <c r="A48" s="21">
        <v>40</v>
      </c>
      <c r="B48" s="22" t="str">
        <f t="shared" ca="1" si="3"/>
        <v/>
      </c>
      <c r="C48" s="50" t="str">
        <f t="shared" ca="1" si="6"/>
        <v/>
      </c>
      <c r="D48" s="50" t="str">
        <f t="shared" ca="1" si="6"/>
        <v/>
      </c>
      <c r="E48" s="50" t="str">
        <f t="shared" ca="1" si="6"/>
        <v/>
      </c>
      <c r="F48" s="50" t="str">
        <f t="shared" ca="1" si="6"/>
        <v/>
      </c>
      <c r="G48" s="50" t="str">
        <f t="shared" ca="1" si="6"/>
        <v/>
      </c>
      <c r="H48" s="50" t="str">
        <f t="shared" ca="1" si="6"/>
        <v/>
      </c>
      <c r="I48" s="50" t="str">
        <f t="shared" ca="1" si="6"/>
        <v/>
      </c>
      <c r="J48" s="50" t="str">
        <f t="shared" ca="1" si="6"/>
        <v/>
      </c>
      <c r="K48" s="50" t="str">
        <f t="shared" ca="1" si="6"/>
        <v/>
      </c>
      <c r="L48" s="50" t="str">
        <f t="shared" ca="1" si="6"/>
        <v/>
      </c>
      <c r="M48" s="50" t="str">
        <f t="shared" ca="1" si="6"/>
        <v/>
      </c>
      <c r="N48" s="50" t="str">
        <f t="shared" ca="1" si="6"/>
        <v/>
      </c>
      <c r="O48" s="50" t="str">
        <f t="shared" ca="1" si="6"/>
        <v/>
      </c>
      <c r="P48" s="50" t="str">
        <f t="shared" ca="1" si="6"/>
        <v/>
      </c>
      <c r="Q48" s="50" t="str">
        <f t="shared" ca="1" si="6"/>
        <v/>
      </c>
      <c r="R48" s="50" t="str">
        <f t="shared" ca="1" si="5"/>
        <v/>
      </c>
    </row>
    <row r="49" spans="1:18" x14ac:dyDescent="0.25">
      <c r="A49" s="21">
        <v>41</v>
      </c>
      <c r="B49" s="22" t="str">
        <f t="shared" ca="1" si="3"/>
        <v/>
      </c>
      <c r="C49" s="50" t="str">
        <f t="shared" ca="1" si="6"/>
        <v/>
      </c>
      <c r="D49" s="50" t="str">
        <f t="shared" ca="1" si="6"/>
        <v/>
      </c>
      <c r="E49" s="50" t="str">
        <f t="shared" ca="1" si="6"/>
        <v/>
      </c>
      <c r="F49" s="50" t="str">
        <f t="shared" ca="1" si="6"/>
        <v/>
      </c>
      <c r="G49" s="50" t="str">
        <f t="shared" ca="1" si="6"/>
        <v/>
      </c>
      <c r="H49" s="50" t="str">
        <f t="shared" ca="1" si="6"/>
        <v/>
      </c>
      <c r="I49" s="50" t="str">
        <f t="shared" ca="1" si="6"/>
        <v/>
      </c>
      <c r="J49" s="50" t="str">
        <f t="shared" ca="1" si="6"/>
        <v/>
      </c>
      <c r="K49" s="50" t="str">
        <f t="shared" ca="1" si="6"/>
        <v/>
      </c>
      <c r="L49" s="50" t="str">
        <f t="shared" ca="1" si="6"/>
        <v/>
      </c>
      <c r="M49" s="50" t="str">
        <f t="shared" ca="1" si="6"/>
        <v/>
      </c>
      <c r="N49" s="50" t="str">
        <f t="shared" ca="1" si="6"/>
        <v/>
      </c>
      <c r="O49" s="50" t="str">
        <f t="shared" ca="1" si="6"/>
        <v/>
      </c>
      <c r="P49" s="50" t="str">
        <f t="shared" ca="1" si="6"/>
        <v/>
      </c>
      <c r="Q49" s="50" t="str">
        <f t="shared" ca="1" si="6"/>
        <v/>
      </c>
      <c r="R49" s="50" t="str">
        <f t="shared" ca="1" si="5"/>
        <v/>
      </c>
    </row>
    <row r="50" spans="1:18" x14ac:dyDescent="0.25">
      <c r="A50" s="21">
        <v>42</v>
      </c>
      <c r="B50" s="22" t="str">
        <f t="shared" ca="1" si="3"/>
        <v/>
      </c>
      <c r="C50" s="50" t="str">
        <f t="shared" ca="1" si="6"/>
        <v/>
      </c>
      <c r="D50" s="50" t="str">
        <f t="shared" ca="1" si="6"/>
        <v/>
      </c>
      <c r="E50" s="50" t="str">
        <f t="shared" ca="1" si="6"/>
        <v/>
      </c>
      <c r="F50" s="50" t="str">
        <f t="shared" ca="1" si="6"/>
        <v/>
      </c>
      <c r="G50" s="50" t="str">
        <f t="shared" ca="1" si="6"/>
        <v/>
      </c>
      <c r="H50" s="50" t="str">
        <f t="shared" ca="1" si="6"/>
        <v/>
      </c>
      <c r="I50" s="50" t="str">
        <f t="shared" ca="1" si="6"/>
        <v/>
      </c>
      <c r="J50" s="50" t="str">
        <f t="shared" ca="1" si="6"/>
        <v/>
      </c>
      <c r="K50" s="50" t="str">
        <f t="shared" ca="1" si="6"/>
        <v/>
      </c>
      <c r="L50" s="50" t="str">
        <f t="shared" ca="1" si="6"/>
        <v/>
      </c>
      <c r="M50" s="50" t="str">
        <f t="shared" ca="1" si="6"/>
        <v/>
      </c>
      <c r="N50" s="50" t="str">
        <f t="shared" ca="1" si="6"/>
        <v/>
      </c>
      <c r="O50" s="50" t="str">
        <f t="shared" ca="1" si="6"/>
        <v/>
      </c>
      <c r="P50" s="50" t="str">
        <f t="shared" ca="1" si="6"/>
        <v/>
      </c>
      <c r="Q50" s="50" t="str">
        <f t="shared" ca="1" si="6"/>
        <v/>
      </c>
      <c r="R50" s="50" t="str">
        <f t="shared" ca="1" si="5"/>
        <v/>
      </c>
    </row>
    <row r="51" spans="1:18" x14ac:dyDescent="0.25">
      <c r="A51" s="21">
        <v>43</v>
      </c>
      <c r="B51" s="22" t="str">
        <f t="shared" ca="1" si="3"/>
        <v/>
      </c>
      <c r="C51" s="50" t="str">
        <f t="shared" ca="1" si="6"/>
        <v/>
      </c>
      <c r="D51" s="50" t="str">
        <f t="shared" ca="1" si="6"/>
        <v/>
      </c>
      <c r="E51" s="50" t="str">
        <f t="shared" ca="1" si="6"/>
        <v/>
      </c>
      <c r="F51" s="50" t="str">
        <f t="shared" ca="1" si="6"/>
        <v/>
      </c>
      <c r="G51" s="50" t="str">
        <f t="shared" ca="1" si="6"/>
        <v/>
      </c>
      <c r="H51" s="50" t="str">
        <f t="shared" ca="1" si="6"/>
        <v/>
      </c>
      <c r="I51" s="50" t="str">
        <f t="shared" ca="1" si="6"/>
        <v/>
      </c>
      <c r="J51" s="50" t="str">
        <f t="shared" ca="1" si="6"/>
        <v/>
      </c>
      <c r="K51" s="50" t="str">
        <f t="shared" ca="1" si="6"/>
        <v/>
      </c>
      <c r="L51" s="50" t="str">
        <f t="shared" ca="1" si="6"/>
        <v/>
      </c>
      <c r="M51" s="50" t="str">
        <f t="shared" ca="1" si="6"/>
        <v/>
      </c>
      <c r="N51" s="50" t="str">
        <f t="shared" ca="1" si="6"/>
        <v/>
      </c>
      <c r="O51" s="50" t="str">
        <f t="shared" ca="1" si="6"/>
        <v/>
      </c>
      <c r="P51" s="50" t="str">
        <f t="shared" ca="1" si="6"/>
        <v/>
      </c>
      <c r="Q51" s="50" t="str">
        <f t="shared" ca="1" si="6"/>
        <v/>
      </c>
      <c r="R51" s="50" t="str">
        <f t="shared" ca="1" si="5"/>
        <v/>
      </c>
    </row>
    <row r="52" spans="1:18" x14ac:dyDescent="0.25">
      <c r="A52" s="21">
        <v>44</v>
      </c>
      <c r="B52" s="22" t="str">
        <f t="shared" ca="1" si="3"/>
        <v/>
      </c>
      <c r="C52" s="50" t="str">
        <f t="shared" ca="1" si="6"/>
        <v/>
      </c>
      <c r="D52" s="50" t="str">
        <f t="shared" ca="1" si="6"/>
        <v/>
      </c>
      <c r="E52" s="50" t="str">
        <f t="shared" ca="1" si="6"/>
        <v/>
      </c>
      <c r="F52" s="50" t="str">
        <f t="shared" ca="1" si="6"/>
        <v/>
      </c>
      <c r="G52" s="50" t="str">
        <f t="shared" ca="1" si="6"/>
        <v/>
      </c>
      <c r="H52" s="50" t="str">
        <f t="shared" ca="1" si="6"/>
        <v/>
      </c>
      <c r="I52" s="50" t="str">
        <f t="shared" ca="1" si="6"/>
        <v/>
      </c>
      <c r="J52" s="50" t="str">
        <f t="shared" ca="1" si="6"/>
        <v/>
      </c>
      <c r="K52" s="50" t="str">
        <f t="shared" ca="1" si="6"/>
        <v/>
      </c>
      <c r="L52" s="50" t="str">
        <f t="shared" ca="1" si="6"/>
        <v/>
      </c>
      <c r="M52" s="50" t="str">
        <f t="shared" ca="1" si="6"/>
        <v/>
      </c>
      <c r="N52" s="50" t="str">
        <f t="shared" ca="1" si="6"/>
        <v/>
      </c>
      <c r="O52" s="50" t="str">
        <f t="shared" ca="1" si="6"/>
        <v/>
      </c>
      <c r="P52" s="50" t="str">
        <f t="shared" ca="1" si="6"/>
        <v/>
      </c>
      <c r="Q52" s="50" t="str">
        <f t="shared" ca="1" si="6"/>
        <v/>
      </c>
      <c r="R52" s="50" t="str">
        <f t="shared" ca="1" si="5"/>
        <v/>
      </c>
    </row>
    <row r="53" spans="1:18" x14ac:dyDescent="0.25">
      <c r="A53" s="21">
        <v>45</v>
      </c>
      <c r="B53" s="22" t="str">
        <f t="shared" ca="1" si="3"/>
        <v/>
      </c>
      <c r="C53" s="50" t="str">
        <f t="shared" ca="1" si="6"/>
        <v/>
      </c>
      <c r="D53" s="50" t="str">
        <f t="shared" ca="1" si="6"/>
        <v/>
      </c>
      <c r="E53" s="50" t="str">
        <f t="shared" ca="1" si="6"/>
        <v/>
      </c>
      <c r="F53" s="50" t="str">
        <f t="shared" ca="1" si="6"/>
        <v/>
      </c>
      <c r="G53" s="50" t="str">
        <f t="shared" ca="1" si="6"/>
        <v/>
      </c>
      <c r="H53" s="50" t="str">
        <f t="shared" ca="1" si="6"/>
        <v/>
      </c>
      <c r="I53" s="50" t="str">
        <f t="shared" ca="1" si="6"/>
        <v/>
      </c>
      <c r="J53" s="50" t="str">
        <f t="shared" ca="1" si="6"/>
        <v/>
      </c>
      <c r="K53" s="50" t="str">
        <f t="shared" ca="1" si="6"/>
        <v/>
      </c>
      <c r="L53" s="50" t="str">
        <f t="shared" ca="1" si="6"/>
        <v/>
      </c>
      <c r="M53" s="50" t="str">
        <f t="shared" ca="1" si="6"/>
        <v/>
      </c>
      <c r="N53" s="50" t="str">
        <f t="shared" ca="1" si="6"/>
        <v/>
      </c>
      <c r="O53" s="50" t="str">
        <f t="shared" ca="1" si="6"/>
        <v/>
      </c>
      <c r="P53" s="50" t="str">
        <f t="shared" ca="1" si="6"/>
        <v/>
      </c>
      <c r="Q53" s="50" t="str">
        <f t="shared" ca="1" si="6"/>
        <v/>
      </c>
      <c r="R53" s="50" t="str">
        <f t="shared" ca="1" si="5"/>
        <v/>
      </c>
    </row>
    <row r="54" spans="1:18" x14ac:dyDescent="0.25">
      <c r="A54" s="21">
        <v>46</v>
      </c>
      <c r="B54" s="22" t="str">
        <f t="shared" ca="1" si="3"/>
        <v/>
      </c>
      <c r="C54" s="50" t="str">
        <f t="shared" ca="1" si="6"/>
        <v/>
      </c>
      <c r="D54" s="50" t="str">
        <f t="shared" ca="1" si="6"/>
        <v/>
      </c>
      <c r="E54" s="50" t="str">
        <f t="shared" ca="1" si="6"/>
        <v/>
      </c>
      <c r="F54" s="50" t="str">
        <f t="shared" ca="1" si="6"/>
        <v/>
      </c>
      <c r="G54" s="50" t="str">
        <f t="shared" ca="1" si="6"/>
        <v/>
      </c>
      <c r="H54" s="50" t="str">
        <f t="shared" ca="1" si="6"/>
        <v/>
      </c>
      <c r="I54" s="50" t="str">
        <f t="shared" ca="1" si="6"/>
        <v/>
      </c>
      <c r="J54" s="50" t="str">
        <f t="shared" ca="1" si="6"/>
        <v/>
      </c>
      <c r="K54" s="50" t="str">
        <f t="shared" ca="1" si="6"/>
        <v/>
      </c>
      <c r="L54" s="50" t="str">
        <f t="shared" ca="1" si="6"/>
        <v/>
      </c>
      <c r="M54" s="50" t="str">
        <f t="shared" ca="1" si="6"/>
        <v/>
      </c>
      <c r="N54" s="50" t="str">
        <f t="shared" ca="1" si="6"/>
        <v/>
      </c>
      <c r="O54" s="50" t="str">
        <f t="shared" ca="1" si="6"/>
        <v/>
      </c>
      <c r="P54" s="50" t="str">
        <f t="shared" ca="1" si="6"/>
        <v/>
      </c>
      <c r="Q54" s="50" t="str">
        <f t="shared" ca="1" si="6"/>
        <v/>
      </c>
      <c r="R54" s="50" t="str">
        <f t="shared" ca="1" si="5"/>
        <v/>
      </c>
    </row>
    <row r="55" spans="1:18" x14ac:dyDescent="0.25">
      <c r="A55" s="21">
        <v>47</v>
      </c>
      <c r="B55" s="22" t="str">
        <f t="shared" ca="1" si="3"/>
        <v/>
      </c>
      <c r="C55" s="50" t="str">
        <f t="shared" ca="1" si="6"/>
        <v/>
      </c>
      <c r="D55" s="50" t="str">
        <f t="shared" ca="1" si="6"/>
        <v/>
      </c>
      <c r="E55" s="50" t="str">
        <f t="shared" ca="1" si="6"/>
        <v/>
      </c>
      <c r="F55" s="50" t="str">
        <f t="shared" ca="1" si="6"/>
        <v/>
      </c>
      <c r="G55" s="50" t="str">
        <f t="shared" ca="1" si="6"/>
        <v/>
      </c>
      <c r="H55" s="50" t="str">
        <f t="shared" ca="1" si="6"/>
        <v/>
      </c>
      <c r="I55" s="50" t="str">
        <f t="shared" ca="1" si="6"/>
        <v/>
      </c>
      <c r="J55" s="50" t="str">
        <f t="shared" ca="1" si="6"/>
        <v/>
      </c>
      <c r="K55" s="50" t="str">
        <f t="shared" ca="1" si="6"/>
        <v/>
      </c>
      <c r="L55" s="50" t="str">
        <f t="shared" ca="1" si="6"/>
        <v/>
      </c>
      <c r="M55" s="50" t="str">
        <f t="shared" ca="1" si="6"/>
        <v/>
      </c>
      <c r="N55" s="50" t="str">
        <f t="shared" ca="1" si="6"/>
        <v/>
      </c>
      <c r="O55" s="50" t="str">
        <f t="shared" ca="1" si="6"/>
        <v/>
      </c>
      <c r="P55" s="50" t="str">
        <f t="shared" ca="1" si="6"/>
        <v/>
      </c>
      <c r="Q55" s="50" t="str">
        <f t="shared" ca="1" si="6"/>
        <v/>
      </c>
      <c r="R55" s="50" t="str">
        <f t="shared" ca="1" si="5"/>
        <v/>
      </c>
    </row>
    <row r="56" spans="1:18" x14ac:dyDescent="0.25">
      <c r="A56" s="21">
        <v>48</v>
      </c>
      <c r="B56" s="22" t="str">
        <f t="shared" ca="1" si="3"/>
        <v/>
      </c>
      <c r="C56" s="50" t="str">
        <f t="shared" ca="1" si="6"/>
        <v/>
      </c>
      <c r="D56" s="50" t="str">
        <f t="shared" ca="1" si="6"/>
        <v/>
      </c>
      <c r="E56" s="50" t="str">
        <f t="shared" ca="1" si="6"/>
        <v/>
      </c>
      <c r="F56" s="50" t="str">
        <f t="shared" ca="1" si="6"/>
        <v/>
      </c>
      <c r="G56" s="50" t="str">
        <f t="shared" ca="1" si="6"/>
        <v/>
      </c>
      <c r="H56" s="50" t="str">
        <f t="shared" ca="1" si="6"/>
        <v/>
      </c>
      <c r="I56" s="50" t="str">
        <f t="shared" ca="1" si="6"/>
        <v/>
      </c>
      <c r="J56" s="50" t="str">
        <f t="shared" ca="1" si="6"/>
        <v/>
      </c>
      <c r="K56" s="50" t="str">
        <f t="shared" ca="1" si="6"/>
        <v/>
      </c>
      <c r="L56" s="50" t="str">
        <f t="shared" ca="1" si="6"/>
        <v/>
      </c>
      <c r="M56" s="50" t="str">
        <f t="shared" ca="1" si="6"/>
        <v/>
      </c>
      <c r="N56" s="50" t="str">
        <f t="shared" ca="1" si="6"/>
        <v/>
      </c>
      <c r="O56" s="50" t="str">
        <f t="shared" ca="1" si="6"/>
        <v/>
      </c>
      <c r="P56" s="50" t="str">
        <f t="shared" ca="1" si="6"/>
        <v/>
      </c>
      <c r="Q56" s="50" t="str">
        <f t="shared" ca="1" si="6"/>
        <v/>
      </c>
      <c r="R56" s="50" t="str">
        <f t="shared" ca="1" si="5"/>
        <v/>
      </c>
    </row>
    <row r="57" spans="1:18" x14ac:dyDescent="0.25">
      <c r="A57" s="21">
        <v>49</v>
      </c>
      <c r="B57" s="22" t="str">
        <f t="shared" ca="1" si="3"/>
        <v/>
      </c>
      <c r="C57" s="50" t="str">
        <f t="shared" ca="1" si="6"/>
        <v/>
      </c>
      <c r="D57" s="50" t="str">
        <f t="shared" ca="1" si="6"/>
        <v/>
      </c>
      <c r="E57" s="50" t="str">
        <f t="shared" ca="1" si="6"/>
        <v/>
      </c>
      <c r="F57" s="50" t="str">
        <f t="shared" ca="1" si="6"/>
        <v/>
      </c>
      <c r="G57" s="50" t="str">
        <f t="shared" ca="1" si="6"/>
        <v/>
      </c>
      <c r="H57" s="50" t="str">
        <f t="shared" ca="1" si="6"/>
        <v/>
      </c>
      <c r="I57" s="50" t="str">
        <f t="shared" ca="1" si="6"/>
        <v/>
      </c>
      <c r="J57" s="50" t="str">
        <f t="shared" ca="1" si="6"/>
        <v/>
      </c>
      <c r="K57" s="50" t="str">
        <f t="shared" ca="1" si="6"/>
        <v/>
      </c>
      <c r="L57" s="50" t="str">
        <f t="shared" ca="1" si="6"/>
        <v/>
      </c>
      <c r="M57" s="50" t="str">
        <f t="shared" ca="1" si="6"/>
        <v/>
      </c>
      <c r="N57" s="50" t="str">
        <f t="shared" ca="1" si="6"/>
        <v/>
      </c>
      <c r="O57" s="50" t="str">
        <f t="shared" ca="1" si="6"/>
        <v/>
      </c>
      <c r="P57" s="50" t="str">
        <f t="shared" ca="1" si="6"/>
        <v/>
      </c>
      <c r="Q57" s="50" t="str">
        <f t="shared" ca="1" si="6"/>
        <v/>
      </c>
      <c r="R57" s="50" t="str">
        <f t="shared" ca="1" si="5"/>
        <v/>
      </c>
    </row>
    <row r="58" spans="1:18" x14ac:dyDescent="0.25">
      <c r="A58" s="21">
        <v>50</v>
      </c>
      <c r="B58" s="22" t="str">
        <f t="shared" ca="1" si="3"/>
        <v/>
      </c>
      <c r="C58" s="50" t="str">
        <f t="shared" ref="C58:Q74" ca="1" si="7">IF(AND($B58=$S$4,C$5&lt;&gt;""),IF(VLOOKUP($A$1&amp;"-"&amp;$A58,INDIRECT($E$2&amp;$E$3),C$4+$B$4,0)="","","'"&amp;C$5&amp;"' =&gt; '"&amp;VLOOKUP($A$1&amp;"-"&amp;$A58,INDIRECT($E$2&amp;$E$3),C$4+$B$4,0)&amp;"', "),"")</f>
        <v/>
      </c>
      <c r="D58" s="50" t="str">
        <f t="shared" ca="1" si="7"/>
        <v/>
      </c>
      <c r="E58" s="50" t="str">
        <f t="shared" ca="1" si="7"/>
        <v/>
      </c>
      <c r="F58" s="50" t="str">
        <f t="shared" ca="1" si="7"/>
        <v/>
      </c>
      <c r="G58" s="50" t="str">
        <f t="shared" ca="1" si="7"/>
        <v/>
      </c>
      <c r="H58" s="50" t="str">
        <f t="shared" ca="1" si="7"/>
        <v/>
      </c>
      <c r="I58" s="50" t="str">
        <f t="shared" ca="1" si="7"/>
        <v/>
      </c>
      <c r="J58" s="50" t="str">
        <f t="shared" ca="1" si="7"/>
        <v/>
      </c>
      <c r="K58" s="50" t="str">
        <f t="shared" ca="1" si="7"/>
        <v/>
      </c>
      <c r="L58" s="50" t="str">
        <f t="shared" ca="1" si="7"/>
        <v/>
      </c>
      <c r="M58" s="50" t="str">
        <f t="shared" ca="1" si="7"/>
        <v/>
      </c>
      <c r="N58" s="50" t="str">
        <f t="shared" ca="1" si="7"/>
        <v/>
      </c>
      <c r="O58" s="50" t="str">
        <f t="shared" ca="1" si="7"/>
        <v/>
      </c>
      <c r="P58" s="50" t="str">
        <f t="shared" ca="1" si="7"/>
        <v/>
      </c>
      <c r="Q58" s="50" t="str">
        <f t="shared" ca="1" si="7"/>
        <v/>
      </c>
      <c r="R58" s="50" t="str">
        <f t="shared" ca="1" si="5"/>
        <v/>
      </c>
    </row>
    <row r="59" spans="1:18" x14ac:dyDescent="0.25">
      <c r="A59" s="21">
        <v>51</v>
      </c>
      <c r="B59" s="22" t="str">
        <f t="shared" ca="1" si="3"/>
        <v/>
      </c>
      <c r="C59" s="50" t="str">
        <f t="shared" ca="1" si="7"/>
        <v/>
      </c>
      <c r="D59" s="50" t="str">
        <f t="shared" ca="1" si="7"/>
        <v/>
      </c>
      <c r="E59" s="50" t="str">
        <f t="shared" ca="1" si="7"/>
        <v/>
      </c>
      <c r="F59" s="50" t="str">
        <f t="shared" ca="1" si="7"/>
        <v/>
      </c>
      <c r="G59" s="50" t="str">
        <f t="shared" ca="1" si="7"/>
        <v/>
      </c>
      <c r="H59" s="50" t="str">
        <f t="shared" ca="1" si="7"/>
        <v/>
      </c>
      <c r="I59" s="50" t="str">
        <f t="shared" ca="1" si="7"/>
        <v/>
      </c>
      <c r="J59" s="50" t="str">
        <f t="shared" ca="1" si="7"/>
        <v/>
      </c>
      <c r="K59" s="50" t="str">
        <f t="shared" ca="1" si="7"/>
        <v/>
      </c>
      <c r="L59" s="50" t="str">
        <f t="shared" ca="1" si="7"/>
        <v/>
      </c>
      <c r="M59" s="50" t="str">
        <f t="shared" ca="1" si="7"/>
        <v/>
      </c>
      <c r="N59" s="50" t="str">
        <f t="shared" ca="1" si="7"/>
        <v/>
      </c>
      <c r="O59" s="50" t="str">
        <f t="shared" ca="1" si="7"/>
        <v/>
      </c>
      <c r="P59" s="50" t="str">
        <f t="shared" ca="1" si="7"/>
        <v/>
      </c>
      <c r="Q59" s="50" t="str">
        <f t="shared" ca="1" si="7"/>
        <v/>
      </c>
      <c r="R59" s="50" t="str">
        <f t="shared" ca="1" si="5"/>
        <v/>
      </c>
    </row>
    <row r="60" spans="1:18" x14ac:dyDescent="0.25">
      <c r="A60" s="21">
        <v>52</v>
      </c>
      <c r="B60" s="22" t="str">
        <f t="shared" ca="1" si="3"/>
        <v/>
      </c>
      <c r="C60" s="50" t="str">
        <f t="shared" ca="1" si="7"/>
        <v/>
      </c>
      <c r="D60" s="50" t="str">
        <f t="shared" ca="1" si="7"/>
        <v/>
      </c>
      <c r="E60" s="50" t="str">
        <f t="shared" ca="1" si="7"/>
        <v/>
      </c>
      <c r="F60" s="50" t="str">
        <f t="shared" ca="1" si="7"/>
        <v/>
      </c>
      <c r="G60" s="50" t="str">
        <f t="shared" ca="1" si="7"/>
        <v/>
      </c>
      <c r="H60" s="50" t="str">
        <f t="shared" ca="1" si="7"/>
        <v/>
      </c>
      <c r="I60" s="50" t="str">
        <f t="shared" ca="1" si="7"/>
        <v/>
      </c>
      <c r="J60" s="50" t="str">
        <f t="shared" ca="1" si="7"/>
        <v/>
      </c>
      <c r="K60" s="50" t="str">
        <f t="shared" ca="1" si="7"/>
        <v/>
      </c>
      <c r="L60" s="50" t="str">
        <f t="shared" ca="1" si="7"/>
        <v/>
      </c>
      <c r="M60" s="50" t="str">
        <f t="shared" ca="1" si="7"/>
        <v/>
      </c>
      <c r="N60" s="50" t="str">
        <f t="shared" ca="1" si="7"/>
        <v/>
      </c>
      <c r="O60" s="50" t="str">
        <f t="shared" ca="1" si="7"/>
        <v/>
      </c>
      <c r="P60" s="50" t="str">
        <f t="shared" ca="1" si="7"/>
        <v/>
      </c>
      <c r="Q60" s="50" t="str">
        <f t="shared" ca="1" si="7"/>
        <v/>
      </c>
      <c r="R60" s="50" t="str">
        <f t="shared" ca="1" si="5"/>
        <v/>
      </c>
    </row>
    <row r="61" spans="1:18" x14ac:dyDescent="0.25">
      <c r="A61" s="21">
        <v>53</v>
      </c>
      <c r="B61" s="22" t="str">
        <f t="shared" ca="1" si="3"/>
        <v/>
      </c>
      <c r="C61" s="50" t="str">
        <f t="shared" ca="1" si="7"/>
        <v/>
      </c>
      <c r="D61" s="50" t="str">
        <f t="shared" ca="1" si="7"/>
        <v/>
      </c>
      <c r="E61" s="50" t="str">
        <f t="shared" ca="1" si="7"/>
        <v/>
      </c>
      <c r="F61" s="50" t="str">
        <f t="shared" ca="1" si="7"/>
        <v/>
      </c>
      <c r="G61" s="50" t="str">
        <f t="shared" ca="1" si="7"/>
        <v/>
      </c>
      <c r="H61" s="50" t="str">
        <f t="shared" ca="1" si="7"/>
        <v/>
      </c>
      <c r="I61" s="50" t="str">
        <f t="shared" ca="1" si="7"/>
        <v/>
      </c>
      <c r="J61" s="50" t="str">
        <f t="shared" ca="1" si="7"/>
        <v/>
      </c>
      <c r="K61" s="50" t="str">
        <f t="shared" ca="1" si="7"/>
        <v/>
      </c>
      <c r="L61" s="50" t="str">
        <f t="shared" ca="1" si="7"/>
        <v/>
      </c>
      <c r="M61" s="50" t="str">
        <f t="shared" ca="1" si="7"/>
        <v/>
      </c>
      <c r="N61" s="50" t="str">
        <f t="shared" ca="1" si="7"/>
        <v/>
      </c>
      <c r="O61" s="50" t="str">
        <f t="shared" ca="1" si="7"/>
        <v/>
      </c>
      <c r="P61" s="50" t="str">
        <f t="shared" ca="1" si="7"/>
        <v/>
      </c>
      <c r="Q61" s="50" t="str">
        <f t="shared" ca="1" si="7"/>
        <v/>
      </c>
      <c r="R61" s="50" t="str">
        <f t="shared" ca="1" si="5"/>
        <v/>
      </c>
    </row>
    <row r="62" spans="1:18" x14ac:dyDescent="0.25">
      <c r="A62" s="21">
        <v>54</v>
      </c>
      <c r="B62" s="22" t="str">
        <f t="shared" ca="1" si="3"/>
        <v/>
      </c>
      <c r="C62" s="50" t="str">
        <f t="shared" ca="1" si="7"/>
        <v/>
      </c>
      <c r="D62" s="50" t="str">
        <f t="shared" ca="1" si="7"/>
        <v/>
      </c>
      <c r="E62" s="50" t="str">
        <f t="shared" ca="1" si="7"/>
        <v/>
      </c>
      <c r="F62" s="50" t="str">
        <f t="shared" ca="1" si="7"/>
        <v/>
      </c>
      <c r="G62" s="50" t="str">
        <f t="shared" ca="1" si="7"/>
        <v/>
      </c>
      <c r="H62" s="50" t="str">
        <f t="shared" ca="1" si="7"/>
        <v/>
      </c>
      <c r="I62" s="50" t="str">
        <f t="shared" ca="1" si="7"/>
        <v/>
      </c>
      <c r="J62" s="50" t="str">
        <f t="shared" ca="1" si="7"/>
        <v/>
      </c>
      <c r="K62" s="50" t="str">
        <f t="shared" ca="1" si="7"/>
        <v/>
      </c>
      <c r="L62" s="50" t="str">
        <f t="shared" ca="1" si="7"/>
        <v/>
      </c>
      <c r="M62" s="50" t="str">
        <f t="shared" ca="1" si="7"/>
        <v/>
      </c>
      <c r="N62" s="50" t="str">
        <f t="shared" ca="1" si="7"/>
        <v/>
      </c>
      <c r="O62" s="50" t="str">
        <f t="shared" ca="1" si="7"/>
        <v/>
      </c>
      <c r="P62" s="50" t="str">
        <f t="shared" ca="1" si="7"/>
        <v/>
      </c>
      <c r="Q62" s="50" t="str">
        <f t="shared" ca="1" si="7"/>
        <v/>
      </c>
      <c r="R62" s="50" t="str">
        <f t="shared" ca="1" si="5"/>
        <v/>
      </c>
    </row>
    <row r="63" spans="1:18" x14ac:dyDescent="0.25">
      <c r="A63" s="21">
        <v>55</v>
      </c>
      <c r="B63" s="22" t="str">
        <f t="shared" ca="1" si="3"/>
        <v/>
      </c>
      <c r="C63" s="50" t="str">
        <f t="shared" ca="1" si="7"/>
        <v/>
      </c>
      <c r="D63" s="50" t="str">
        <f t="shared" ca="1" si="7"/>
        <v/>
      </c>
      <c r="E63" s="50" t="str">
        <f t="shared" ca="1" si="7"/>
        <v/>
      </c>
      <c r="F63" s="50" t="str">
        <f t="shared" ca="1" si="7"/>
        <v/>
      </c>
      <c r="G63" s="50" t="str">
        <f t="shared" ca="1" si="7"/>
        <v/>
      </c>
      <c r="H63" s="50" t="str">
        <f t="shared" ca="1" si="7"/>
        <v/>
      </c>
      <c r="I63" s="50" t="str">
        <f t="shared" ca="1" si="7"/>
        <v/>
      </c>
      <c r="J63" s="50" t="str">
        <f t="shared" ca="1" si="7"/>
        <v/>
      </c>
      <c r="K63" s="50" t="str">
        <f t="shared" ca="1" si="7"/>
        <v/>
      </c>
      <c r="L63" s="50" t="str">
        <f t="shared" ca="1" si="7"/>
        <v/>
      </c>
      <c r="M63" s="50" t="str">
        <f t="shared" ca="1" si="7"/>
        <v/>
      </c>
      <c r="N63" s="50" t="str">
        <f t="shared" ca="1" si="7"/>
        <v/>
      </c>
      <c r="O63" s="50" t="str">
        <f t="shared" ca="1" si="7"/>
        <v/>
      </c>
      <c r="P63" s="50" t="str">
        <f t="shared" ca="1" si="7"/>
        <v/>
      </c>
      <c r="Q63" s="50" t="str">
        <f t="shared" ca="1" si="7"/>
        <v/>
      </c>
      <c r="R63" s="50" t="str">
        <f t="shared" ca="1" si="5"/>
        <v/>
      </c>
    </row>
    <row r="64" spans="1:18" x14ac:dyDescent="0.25">
      <c r="A64" s="21">
        <v>56</v>
      </c>
      <c r="B64" s="22" t="str">
        <f t="shared" ca="1" si="3"/>
        <v/>
      </c>
      <c r="C64" s="50" t="str">
        <f t="shared" ca="1" si="7"/>
        <v/>
      </c>
      <c r="D64" s="50" t="str">
        <f t="shared" ca="1" si="7"/>
        <v/>
      </c>
      <c r="E64" s="50" t="str">
        <f t="shared" ca="1" si="7"/>
        <v/>
      </c>
      <c r="F64" s="50" t="str">
        <f t="shared" ca="1" si="7"/>
        <v/>
      </c>
      <c r="G64" s="50" t="str">
        <f t="shared" ca="1" si="7"/>
        <v/>
      </c>
      <c r="H64" s="50" t="str">
        <f t="shared" ca="1" si="7"/>
        <v/>
      </c>
      <c r="I64" s="50" t="str">
        <f t="shared" ca="1" si="7"/>
        <v/>
      </c>
      <c r="J64" s="50" t="str">
        <f t="shared" ca="1" si="7"/>
        <v/>
      </c>
      <c r="K64" s="50" t="str">
        <f t="shared" ca="1" si="7"/>
        <v/>
      </c>
      <c r="L64" s="50" t="str">
        <f t="shared" ca="1" si="7"/>
        <v/>
      </c>
      <c r="M64" s="50" t="str">
        <f t="shared" ca="1" si="7"/>
        <v/>
      </c>
      <c r="N64" s="50" t="str">
        <f t="shared" ca="1" si="7"/>
        <v/>
      </c>
      <c r="O64" s="50" t="str">
        <f t="shared" ca="1" si="7"/>
        <v/>
      </c>
      <c r="P64" s="50" t="str">
        <f t="shared" ca="1" si="7"/>
        <v/>
      </c>
      <c r="Q64" s="50" t="str">
        <f t="shared" ca="1" si="7"/>
        <v/>
      </c>
      <c r="R64" s="50" t="str">
        <f t="shared" ca="1" si="5"/>
        <v/>
      </c>
    </row>
    <row r="65" spans="1:18" x14ac:dyDescent="0.25">
      <c r="A65" s="21">
        <v>57</v>
      </c>
      <c r="B65" s="22" t="str">
        <f t="shared" ca="1" si="3"/>
        <v/>
      </c>
      <c r="C65" s="50" t="str">
        <f t="shared" ca="1" si="7"/>
        <v/>
      </c>
      <c r="D65" s="50" t="str">
        <f t="shared" ca="1" si="7"/>
        <v/>
      </c>
      <c r="E65" s="50" t="str">
        <f t="shared" ca="1" si="7"/>
        <v/>
      </c>
      <c r="F65" s="50" t="str">
        <f t="shared" ca="1" si="7"/>
        <v/>
      </c>
      <c r="G65" s="50" t="str">
        <f t="shared" ca="1" si="7"/>
        <v/>
      </c>
      <c r="H65" s="50" t="str">
        <f t="shared" ca="1" si="7"/>
        <v/>
      </c>
      <c r="I65" s="50" t="str">
        <f t="shared" ca="1" si="7"/>
        <v/>
      </c>
      <c r="J65" s="50" t="str">
        <f t="shared" ca="1" si="7"/>
        <v/>
      </c>
      <c r="K65" s="50" t="str">
        <f t="shared" ca="1" si="7"/>
        <v/>
      </c>
      <c r="L65" s="50" t="str">
        <f t="shared" ca="1" si="7"/>
        <v/>
      </c>
      <c r="M65" s="50" t="str">
        <f t="shared" ca="1" si="7"/>
        <v/>
      </c>
      <c r="N65" s="50" t="str">
        <f t="shared" ca="1" si="7"/>
        <v/>
      </c>
      <c r="O65" s="50" t="str">
        <f t="shared" ca="1" si="7"/>
        <v/>
      </c>
      <c r="P65" s="50" t="str">
        <f t="shared" ca="1" si="7"/>
        <v/>
      </c>
      <c r="Q65" s="50" t="str">
        <f t="shared" ca="1" si="7"/>
        <v/>
      </c>
      <c r="R65" s="50" t="str">
        <f t="shared" ca="1" si="5"/>
        <v/>
      </c>
    </row>
    <row r="66" spans="1:18" x14ac:dyDescent="0.25">
      <c r="A66" s="21">
        <v>58</v>
      </c>
      <c r="B66" s="22" t="str">
        <f t="shared" ca="1" si="3"/>
        <v/>
      </c>
      <c r="C66" s="50" t="str">
        <f t="shared" ca="1" si="7"/>
        <v/>
      </c>
      <c r="D66" s="50" t="str">
        <f t="shared" ca="1" si="7"/>
        <v/>
      </c>
      <c r="E66" s="50" t="str">
        <f t="shared" ca="1" si="7"/>
        <v/>
      </c>
      <c r="F66" s="50" t="str">
        <f t="shared" ca="1" si="7"/>
        <v/>
      </c>
      <c r="G66" s="50" t="str">
        <f t="shared" ca="1" si="7"/>
        <v/>
      </c>
      <c r="H66" s="50" t="str">
        <f t="shared" ca="1" si="7"/>
        <v/>
      </c>
      <c r="I66" s="50" t="str">
        <f t="shared" ca="1" si="7"/>
        <v/>
      </c>
      <c r="J66" s="50" t="str">
        <f t="shared" ca="1" si="7"/>
        <v/>
      </c>
      <c r="K66" s="50" t="str">
        <f t="shared" ca="1" si="7"/>
        <v/>
      </c>
      <c r="L66" s="50" t="str">
        <f t="shared" ca="1" si="7"/>
        <v/>
      </c>
      <c r="M66" s="50" t="str">
        <f t="shared" ca="1" si="7"/>
        <v/>
      </c>
      <c r="N66" s="50" t="str">
        <f t="shared" ca="1" si="7"/>
        <v/>
      </c>
      <c r="O66" s="50" t="str">
        <f t="shared" ca="1" si="7"/>
        <v/>
      </c>
      <c r="P66" s="50" t="str">
        <f t="shared" ca="1" si="7"/>
        <v/>
      </c>
      <c r="Q66" s="50" t="str">
        <f t="shared" ca="1" si="7"/>
        <v/>
      </c>
      <c r="R66" s="50" t="str">
        <f t="shared" ca="1" si="5"/>
        <v/>
      </c>
    </row>
    <row r="67" spans="1:18" x14ac:dyDescent="0.25">
      <c r="A67" s="21">
        <v>59</v>
      </c>
      <c r="B67" s="22" t="str">
        <f t="shared" ca="1" si="3"/>
        <v/>
      </c>
      <c r="C67" s="50" t="str">
        <f t="shared" ca="1" si="7"/>
        <v/>
      </c>
      <c r="D67" s="50" t="str">
        <f t="shared" ca="1" si="7"/>
        <v/>
      </c>
      <c r="E67" s="50" t="str">
        <f t="shared" ca="1" si="7"/>
        <v/>
      </c>
      <c r="F67" s="50" t="str">
        <f t="shared" ca="1" si="7"/>
        <v/>
      </c>
      <c r="G67" s="50" t="str">
        <f t="shared" ca="1" si="7"/>
        <v/>
      </c>
      <c r="H67" s="50" t="str">
        <f t="shared" ca="1" si="7"/>
        <v/>
      </c>
      <c r="I67" s="50" t="str">
        <f t="shared" ca="1" si="7"/>
        <v/>
      </c>
      <c r="J67" s="50" t="str">
        <f t="shared" ca="1" si="7"/>
        <v/>
      </c>
      <c r="K67" s="50" t="str">
        <f t="shared" ca="1" si="7"/>
        <v/>
      </c>
      <c r="L67" s="50" t="str">
        <f t="shared" ca="1" si="7"/>
        <v/>
      </c>
      <c r="M67" s="50" t="str">
        <f t="shared" ca="1" si="7"/>
        <v/>
      </c>
      <c r="N67" s="50" t="str">
        <f t="shared" ca="1" si="7"/>
        <v/>
      </c>
      <c r="O67" s="50" t="str">
        <f t="shared" ca="1" si="7"/>
        <v/>
      </c>
      <c r="P67" s="50" t="str">
        <f t="shared" ca="1" si="7"/>
        <v/>
      </c>
      <c r="Q67" s="50" t="str">
        <f t="shared" ca="1" si="7"/>
        <v/>
      </c>
      <c r="R67" s="50" t="str">
        <f t="shared" ca="1" si="5"/>
        <v/>
      </c>
    </row>
    <row r="68" spans="1:18" x14ac:dyDescent="0.25">
      <c r="A68" s="21">
        <v>60</v>
      </c>
      <c r="B68" s="22" t="str">
        <f t="shared" ca="1" si="3"/>
        <v/>
      </c>
      <c r="C68" s="50" t="str">
        <f t="shared" ca="1" si="7"/>
        <v/>
      </c>
      <c r="D68" s="50" t="str">
        <f t="shared" ca="1" si="7"/>
        <v/>
      </c>
      <c r="E68" s="50" t="str">
        <f t="shared" ca="1" si="7"/>
        <v/>
      </c>
      <c r="F68" s="50" t="str">
        <f t="shared" ca="1" si="7"/>
        <v/>
      </c>
      <c r="G68" s="50" t="str">
        <f t="shared" ca="1" si="7"/>
        <v/>
      </c>
      <c r="H68" s="50" t="str">
        <f t="shared" ca="1" si="7"/>
        <v/>
      </c>
      <c r="I68" s="50" t="str">
        <f t="shared" ca="1" si="7"/>
        <v/>
      </c>
      <c r="J68" s="50" t="str">
        <f t="shared" ca="1" si="7"/>
        <v/>
      </c>
      <c r="K68" s="50" t="str">
        <f t="shared" ca="1" si="7"/>
        <v/>
      </c>
      <c r="L68" s="50" t="str">
        <f t="shared" ca="1" si="7"/>
        <v/>
      </c>
      <c r="M68" s="50" t="str">
        <f t="shared" ca="1" si="7"/>
        <v/>
      </c>
      <c r="N68" s="50" t="str">
        <f t="shared" ca="1" si="7"/>
        <v/>
      </c>
      <c r="O68" s="50" t="str">
        <f t="shared" ca="1" si="7"/>
        <v/>
      </c>
      <c r="P68" s="50" t="str">
        <f t="shared" ca="1" si="7"/>
        <v/>
      </c>
      <c r="Q68" s="50" t="str">
        <f t="shared" ca="1" si="7"/>
        <v/>
      </c>
      <c r="R68" s="50" t="str">
        <f t="shared" ca="1" si="5"/>
        <v/>
      </c>
    </row>
    <row r="69" spans="1:18" x14ac:dyDescent="0.25">
      <c r="A69" s="21">
        <v>61</v>
      </c>
      <c r="B69" s="22" t="str">
        <f t="shared" ca="1" si="3"/>
        <v/>
      </c>
      <c r="C69" s="50" t="str">
        <f t="shared" ca="1" si="7"/>
        <v/>
      </c>
      <c r="D69" s="50" t="str">
        <f t="shared" ca="1" si="7"/>
        <v/>
      </c>
      <c r="E69" s="50" t="str">
        <f t="shared" ca="1" si="7"/>
        <v/>
      </c>
      <c r="F69" s="50" t="str">
        <f t="shared" ca="1" si="7"/>
        <v/>
      </c>
      <c r="G69" s="50" t="str">
        <f t="shared" ca="1" si="7"/>
        <v/>
      </c>
      <c r="H69" s="50" t="str">
        <f t="shared" ca="1" si="7"/>
        <v/>
      </c>
      <c r="I69" s="50" t="str">
        <f t="shared" ca="1" si="7"/>
        <v/>
      </c>
      <c r="J69" s="50" t="str">
        <f t="shared" ca="1" si="7"/>
        <v/>
      </c>
      <c r="K69" s="50" t="str">
        <f t="shared" ca="1" si="7"/>
        <v/>
      </c>
      <c r="L69" s="50" t="str">
        <f t="shared" ca="1" si="7"/>
        <v/>
      </c>
      <c r="M69" s="50" t="str">
        <f t="shared" ca="1" si="7"/>
        <v/>
      </c>
      <c r="N69" s="50" t="str">
        <f t="shared" ca="1" si="7"/>
        <v/>
      </c>
      <c r="O69" s="50" t="str">
        <f t="shared" ca="1" si="7"/>
        <v/>
      </c>
      <c r="P69" s="50" t="str">
        <f t="shared" ca="1" si="7"/>
        <v/>
      </c>
      <c r="Q69" s="50" t="str">
        <f t="shared" ca="1" si="7"/>
        <v/>
      </c>
      <c r="R69" s="50" t="str">
        <f t="shared" ca="1" si="5"/>
        <v/>
      </c>
    </row>
    <row r="70" spans="1:18" x14ac:dyDescent="0.25">
      <c r="A70" s="21">
        <v>62</v>
      </c>
      <c r="B70" s="22" t="str">
        <f t="shared" ca="1" si="3"/>
        <v/>
      </c>
      <c r="C70" s="50" t="str">
        <f t="shared" ca="1" si="7"/>
        <v/>
      </c>
      <c r="D70" s="50" t="str">
        <f t="shared" ca="1" si="7"/>
        <v/>
      </c>
      <c r="E70" s="50" t="str">
        <f t="shared" ca="1" si="7"/>
        <v/>
      </c>
      <c r="F70" s="50" t="str">
        <f t="shared" ca="1" si="7"/>
        <v/>
      </c>
      <c r="G70" s="50" t="str">
        <f t="shared" ca="1" si="7"/>
        <v/>
      </c>
      <c r="H70" s="50" t="str">
        <f t="shared" ca="1" si="7"/>
        <v/>
      </c>
      <c r="I70" s="50" t="str">
        <f t="shared" ca="1" si="7"/>
        <v/>
      </c>
      <c r="J70" s="50" t="str">
        <f t="shared" ca="1" si="7"/>
        <v/>
      </c>
      <c r="K70" s="50" t="str">
        <f t="shared" ca="1" si="7"/>
        <v/>
      </c>
      <c r="L70" s="50" t="str">
        <f t="shared" ca="1" si="7"/>
        <v/>
      </c>
      <c r="M70" s="50" t="str">
        <f t="shared" ca="1" si="7"/>
        <v/>
      </c>
      <c r="N70" s="50" t="str">
        <f t="shared" ca="1" si="7"/>
        <v/>
      </c>
      <c r="O70" s="50" t="str">
        <f t="shared" ca="1" si="7"/>
        <v/>
      </c>
      <c r="P70" s="50" t="str">
        <f t="shared" ca="1" si="7"/>
        <v/>
      </c>
      <c r="Q70" s="50" t="str">
        <f t="shared" ca="1" si="7"/>
        <v/>
      </c>
      <c r="R70" s="50" t="str">
        <f t="shared" ca="1" si="5"/>
        <v/>
      </c>
    </row>
    <row r="71" spans="1:18" x14ac:dyDescent="0.25">
      <c r="A71" s="21">
        <v>63</v>
      </c>
      <c r="B71" s="22" t="str">
        <f t="shared" ca="1" si="3"/>
        <v/>
      </c>
      <c r="C71" s="50" t="str">
        <f t="shared" ca="1" si="7"/>
        <v/>
      </c>
      <c r="D71" s="50" t="str">
        <f t="shared" ca="1" si="7"/>
        <v/>
      </c>
      <c r="E71" s="50" t="str">
        <f t="shared" ca="1" si="7"/>
        <v/>
      </c>
      <c r="F71" s="50" t="str">
        <f t="shared" ca="1" si="7"/>
        <v/>
      </c>
      <c r="G71" s="50" t="str">
        <f t="shared" ca="1" si="7"/>
        <v/>
      </c>
      <c r="H71" s="50" t="str">
        <f t="shared" ca="1" si="7"/>
        <v/>
      </c>
      <c r="I71" s="50" t="str">
        <f t="shared" ca="1" si="7"/>
        <v/>
      </c>
      <c r="J71" s="50" t="str">
        <f t="shared" ca="1" si="7"/>
        <v/>
      </c>
      <c r="K71" s="50" t="str">
        <f t="shared" ca="1" si="7"/>
        <v/>
      </c>
      <c r="L71" s="50" t="str">
        <f t="shared" ca="1" si="7"/>
        <v/>
      </c>
      <c r="M71" s="50" t="str">
        <f t="shared" ca="1" si="7"/>
        <v/>
      </c>
      <c r="N71" s="50" t="str">
        <f t="shared" ca="1" si="7"/>
        <v/>
      </c>
      <c r="O71" s="50" t="str">
        <f t="shared" ca="1" si="7"/>
        <v/>
      </c>
      <c r="P71" s="50" t="str">
        <f t="shared" ca="1" si="7"/>
        <v/>
      </c>
      <c r="Q71" s="50" t="str">
        <f t="shared" ca="1" si="7"/>
        <v/>
      </c>
      <c r="R71" s="50" t="str">
        <f t="shared" ca="1" si="5"/>
        <v/>
      </c>
    </row>
    <row r="72" spans="1:18" x14ac:dyDescent="0.25">
      <c r="A72" s="21">
        <v>64</v>
      </c>
      <c r="B72" s="22" t="str">
        <f t="shared" ca="1" si="3"/>
        <v/>
      </c>
      <c r="C72" s="50" t="str">
        <f t="shared" ca="1" si="7"/>
        <v/>
      </c>
      <c r="D72" s="50" t="str">
        <f t="shared" ca="1" si="7"/>
        <v/>
      </c>
      <c r="E72" s="50" t="str">
        <f t="shared" ca="1" si="7"/>
        <v/>
      </c>
      <c r="F72" s="50" t="str">
        <f t="shared" ca="1" si="7"/>
        <v/>
      </c>
      <c r="G72" s="50" t="str">
        <f t="shared" ca="1" si="7"/>
        <v/>
      </c>
      <c r="H72" s="50" t="str">
        <f t="shared" ca="1" si="7"/>
        <v/>
      </c>
      <c r="I72" s="50" t="str">
        <f t="shared" ca="1" si="7"/>
        <v/>
      </c>
      <c r="J72" s="50" t="str">
        <f t="shared" ca="1" si="7"/>
        <v/>
      </c>
      <c r="K72" s="50" t="str">
        <f t="shared" ca="1" si="7"/>
        <v/>
      </c>
      <c r="L72" s="50" t="str">
        <f t="shared" ca="1" si="7"/>
        <v/>
      </c>
      <c r="M72" s="50" t="str">
        <f t="shared" ca="1" si="7"/>
        <v/>
      </c>
      <c r="N72" s="50" t="str">
        <f t="shared" ca="1" si="7"/>
        <v/>
      </c>
      <c r="O72" s="50" t="str">
        <f t="shared" ca="1" si="7"/>
        <v/>
      </c>
      <c r="P72" s="50" t="str">
        <f t="shared" ca="1" si="7"/>
        <v/>
      </c>
      <c r="Q72" s="50" t="str">
        <f t="shared" ca="1" si="7"/>
        <v/>
      </c>
      <c r="R72" s="50" t="str">
        <f t="shared" ca="1" si="5"/>
        <v/>
      </c>
    </row>
    <row r="73" spans="1:18" x14ac:dyDescent="0.25">
      <c r="A73" s="21">
        <v>65</v>
      </c>
      <c r="B73" s="22" t="str">
        <f t="shared" ca="1" si="3"/>
        <v/>
      </c>
      <c r="C73" s="50" t="str">
        <f t="shared" ca="1" si="7"/>
        <v/>
      </c>
      <c r="D73" s="50" t="str">
        <f t="shared" ca="1" si="7"/>
        <v/>
      </c>
      <c r="E73" s="50" t="str">
        <f t="shared" ca="1" si="7"/>
        <v/>
      </c>
      <c r="F73" s="50" t="str">
        <f t="shared" ca="1" si="7"/>
        <v/>
      </c>
      <c r="G73" s="50" t="str">
        <f t="shared" ca="1" si="7"/>
        <v/>
      </c>
      <c r="H73" s="50" t="str">
        <f t="shared" ca="1" si="7"/>
        <v/>
      </c>
      <c r="I73" s="50" t="str">
        <f t="shared" ca="1" si="7"/>
        <v/>
      </c>
      <c r="J73" s="50" t="str">
        <f t="shared" ca="1" si="7"/>
        <v/>
      </c>
      <c r="K73" s="50" t="str">
        <f t="shared" ca="1" si="7"/>
        <v/>
      </c>
      <c r="L73" s="50" t="str">
        <f t="shared" ca="1" si="7"/>
        <v/>
      </c>
      <c r="M73" s="50" t="str">
        <f t="shared" ca="1" si="7"/>
        <v/>
      </c>
      <c r="N73" s="50" t="str">
        <f t="shared" ca="1" si="7"/>
        <v/>
      </c>
      <c r="O73" s="50" t="str">
        <f t="shared" ca="1" si="7"/>
        <v/>
      </c>
      <c r="P73" s="50" t="str">
        <f t="shared" ca="1" si="7"/>
        <v/>
      </c>
      <c r="Q73" s="50" t="str">
        <f t="shared" ca="1" si="7"/>
        <v/>
      </c>
      <c r="R73" s="50" t="str">
        <f t="shared" ca="1" si="5"/>
        <v/>
      </c>
    </row>
    <row r="74" spans="1:18" x14ac:dyDescent="0.25">
      <c r="A74" s="21">
        <v>66</v>
      </c>
      <c r="B74" s="22" t="str">
        <f t="shared" ref="B74:B137" ca="1" si="8">IF($B73="","",IF($B73=";",$I$3,IF($B73=$I$3,"",IF(ISNA(VLOOKUP($A$1&amp;"-"&amp;$A74,INDIRECT($E$2&amp;$E$3),1,0)),";",$S$4))))</f>
        <v/>
      </c>
      <c r="C74" s="50" t="str">
        <f t="shared" ca="1" si="7"/>
        <v/>
      </c>
      <c r="D74" s="50" t="str">
        <f t="shared" ca="1" si="7"/>
        <v/>
      </c>
      <c r="E74" s="50" t="str">
        <f t="shared" ca="1" si="7"/>
        <v/>
      </c>
      <c r="F74" s="50" t="str">
        <f t="shared" ca="1" si="7"/>
        <v/>
      </c>
      <c r="G74" s="50" t="str">
        <f t="shared" ca="1" si="7"/>
        <v/>
      </c>
      <c r="H74" s="50" t="str">
        <f t="shared" ca="1" si="7"/>
        <v/>
      </c>
      <c r="I74" s="50" t="str">
        <f t="shared" ca="1" si="7"/>
        <v/>
      </c>
      <c r="J74" s="50" t="str">
        <f t="shared" ca="1" si="7"/>
        <v/>
      </c>
      <c r="K74" s="50" t="str">
        <f t="shared" ca="1" si="7"/>
        <v/>
      </c>
      <c r="L74" s="50" t="str">
        <f t="shared" ca="1" si="7"/>
        <v/>
      </c>
      <c r="M74" s="50" t="str">
        <f t="shared" ca="1" si="7"/>
        <v/>
      </c>
      <c r="N74" s="50" t="str">
        <f t="shared" ca="1" si="7"/>
        <v/>
      </c>
      <c r="O74" s="50" t="str">
        <f t="shared" ca="1" si="7"/>
        <v/>
      </c>
      <c r="P74" s="50" t="str">
        <f t="shared" ca="1" si="7"/>
        <v/>
      </c>
      <c r="Q74" s="50" t="str">
        <f t="shared" ca="1" si="7"/>
        <v/>
      </c>
      <c r="R74" s="50" t="str">
        <f t="shared" ref="R74:R108" ca="1" si="9">IF(B74=$S$4,$T$4,"")</f>
        <v/>
      </c>
    </row>
    <row r="75" spans="1:18" x14ac:dyDescent="0.25">
      <c r="A75" s="21">
        <v>67</v>
      </c>
      <c r="B75" s="22" t="str">
        <f t="shared" ca="1" si="8"/>
        <v/>
      </c>
      <c r="C75" s="50" t="str">
        <f t="shared" ref="C75:Q91" ca="1" si="10">IF(AND($B75=$S$4,C$5&lt;&gt;""),IF(VLOOKUP($A$1&amp;"-"&amp;$A75,INDIRECT($E$2&amp;$E$3),C$4+$B$4,0)="","","'"&amp;C$5&amp;"' =&gt; '"&amp;VLOOKUP($A$1&amp;"-"&amp;$A75,INDIRECT($E$2&amp;$E$3),C$4+$B$4,0)&amp;"', "),"")</f>
        <v/>
      </c>
      <c r="D75" s="50" t="str">
        <f t="shared" ca="1" si="10"/>
        <v/>
      </c>
      <c r="E75" s="50" t="str">
        <f t="shared" ca="1" si="10"/>
        <v/>
      </c>
      <c r="F75" s="50" t="str">
        <f t="shared" ca="1" si="10"/>
        <v/>
      </c>
      <c r="G75" s="50" t="str">
        <f t="shared" ca="1" si="10"/>
        <v/>
      </c>
      <c r="H75" s="50" t="str">
        <f t="shared" ca="1" si="10"/>
        <v/>
      </c>
      <c r="I75" s="50" t="str">
        <f t="shared" ca="1" si="10"/>
        <v/>
      </c>
      <c r="J75" s="50" t="str">
        <f t="shared" ca="1" si="10"/>
        <v/>
      </c>
      <c r="K75" s="50" t="str">
        <f t="shared" ca="1" si="10"/>
        <v/>
      </c>
      <c r="L75" s="50" t="str">
        <f t="shared" ca="1" si="10"/>
        <v/>
      </c>
      <c r="M75" s="50" t="str">
        <f t="shared" ca="1" si="10"/>
        <v/>
      </c>
      <c r="N75" s="50" t="str">
        <f t="shared" ca="1" si="10"/>
        <v/>
      </c>
      <c r="O75" s="50" t="str">
        <f t="shared" ca="1" si="10"/>
        <v/>
      </c>
      <c r="P75" s="50" t="str">
        <f t="shared" ca="1" si="10"/>
        <v/>
      </c>
      <c r="Q75" s="50" t="str">
        <f t="shared" ca="1" si="10"/>
        <v/>
      </c>
      <c r="R75" s="50" t="str">
        <f t="shared" ca="1" si="9"/>
        <v/>
      </c>
    </row>
    <row r="76" spans="1:18" x14ac:dyDescent="0.25">
      <c r="A76" s="21">
        <v>68</v>
      </c>
      <c r="B76" s="22" t="str">
        <f t="shared" ca="1" si="8"/>
        <v/>
      </c>
      <c r="C76" s="50" t="str">
        <f t="shared" ca="1" si="10"/>
        <v/>
      </c>
      <c r="D76" s="50" t="str">
        <f t="shared" ca="1" si="10"/>
        <v/>
      </c>
      <c r="E76" s="50" t="str">
        <f t="shared" ca="1" si="10"/>
        <v/>
      </c>
      <c r="F76" s="50" t="str">
        <f t="shared" ca="1" si="10"/>
        <v/>
      </c>
      <c r="G76" s="50" t="str">
        <f t="shared" ca="1" si="10"/>
        <v/>
      </c>
      <c r="H76" s="50" t="str">
        <f t="shared" ca="1" si="10"/>
        <v/>
      </c>
      <c r="I76" s="50" t="str">
        <f t="shared" ca="1" si="10"/>
        <v/>
      </c>
      <c r="J76" s="50" t="str">
        <f t="shared" ca="1" si="10"/>
        <v/>
      </c>
      <c r="K76" s="50" t="str">
        <f t="shared" ca="1" si="10"/>
        <v/>
      </c>
      <c r="L76" s="50" t="str">
        <f t="shared" ca="1" si="10"/>
        <v/>
      </c>
      <c r="M76" s="50" t="str">
        <f t="shared" ca="1" si="10"/>
        <v/>
      </c>
      <c r="N76" s="50" t="str">
        <f t="shared" ca="1" si="10"/>
        <v/>
      </c>
      <c r="O76" s="50" t="str">
        <f t="shared" ca="1" si="10"/>
        <v/>
      </c>
      <c r="P76" s="50" t="str">
        <f t="shared" ca="1" si="10"/>
        <v/>
      </c>
      <c r="Q76" s="50" t="str">
        <f t="shared" ca="1" si="10"/>
        <v/>
      </c>
      <c r="R76" s="50" t="str">
        <f t="shared" ca="1" si="9"/>
        <v/>
      </c>
    </row>
    <row r="77" spans="1:18" x14ac:dyDescent="0.25">
      <c r="A77" s="21">
        <v>69</v>
      </c>
      <c r="B77" s="22" t="str">
        <f t="shared" ca="1" si="8"/>
        <v/>
      </c>
      <c r="C77" s="50" t="str">
        <f t="shared" ca="1" si="10"/>
        <v/>
      </c>
      <c r="D77" s="50" t="str">
        <f t="shared" ca="1" si="10"/>
        <v/>
      </c>
      <c r="E77" s="50" t="str">
        <f t="shared" ca="1" si="10"/>
        <v/>
      </c>
      <c r="F77" s="50" t="str">
        <f t="shared" ca="1" si="10"/>
        <v/>
      </c>
      <c r="G77" s="50" t="str">
        <f t="shared" ca="1" si="10"/>
        <v/>
      </c>
      <c r="H77" s="50" t="str">
        <f t="shared" ca="1" si="10"/>
        <v/>
      </c>
      <c r="I77" s="50" t="str">
        <f t="shared" ca="1" si="10"/>
        <v/>
      </c>
      <c r="J77" s="50" t="str">
        <f t="shared" ca="1" si="10"/>
        <v/>
      </c>
      <c r="K77" s="50" t="str">
        <f t="shared" ca="1" si="10"/>
        <v/>
      </c>
      <c r="L77" s="50" t="str">
        <f t="shared" ca="1" si="10"/>
        <v/>
      </c>
      <c r="M77" s="50" t="str">
        <f t="shared" ca="1" si="10"/>
        <v/>
      </c>
      <c r="N77" s="50" t="str">
        <f t="shared" ca="1" si="10"/>
        <v/>
      </c>
      <c r="O77" s="50" t="str">
        <f t="shared" ca="1" si="10"/>
        <v/>
      </c>
      <c r="P77" s="50" t="str">
        <f t="shared" ca="1" si="10"/>
        <v/>
      </c>
      <c r="Q77" s="50" t="str">
        <f t="shared" ca="1" si="10"/>
        <v/>
      </c>
      <c r="R77" s="50" t="str">
        <f t="shared" ca="1" si="9"/>
        <v/>
      </c>
    </row>
    <row r="78" spans="1:18" x14ac:dyDescent="0.25">
      <c r="A78" s="21">
        <v>70</v>
      </c>
      <c r="B78" s="22" t="str">
        <f t="shared" ca="1" si="8"/>
        <v/>
      </c>
      <c r="C78" s="50" t="str">
        <f t="shared" ca="1" si="10"/>
        <v/>
      </c>
      <c r="D78" s="50" t="str">
        <f t="shared" ca="1" si="10"/>
        <v/>
      </c>
      <c r="E78" s="50" t="str">
        <f t="shared" ca="1" si="10"/>
        <v/>
      </c>
      <c r="F78" s="50" t="str">
        <f t="shared" ca="1" si="10"/>
        <v/>
      </c>
      <c r="G78" s="50" t="str">
        <f t="shared" ca="1" si="10"/>
        <v/>
      </c>
      <c r="H78" s="50" t="str">
        <f t="shared" ca="1" si="10"/>
        <v/>
      </c>
      <c r="I78" s="50" t="str">
        <f t="shared" ca="1" si="10"/>
        <v/>
      </c>
      <c r="J78" s="50" t="str">
        <f t="shared" ca="1" si="10"/>
        <v/>
      </c>
      <c r="K78" s="50" t="str">
        <f t="shared" ca="1" si="10"/>
        <v/>
      </c>
      <c r="L78" s="50" t="str">
        <f t="shared" ca="1" si="10"/>
        <v/>
      </c>
      <c r="M78" s="50" t="str">
        <f t="shared" ca="1" si="10"/>
        <v/>
      </c>
      <c r="N78" s="50" t="str">
        <f t="shared" ca="1" si="10"/>
        <v/>
      </c>
      <c r="O78" s="50" t="str">
        <f t="shared" ca="1" si="10"/>
        <v/>
      </c>
      <c r="P78" s="50" t="str">
        <f t="shared" ca="1" si="10"/>
        <v/>
      </c>
      <c r="Q78" s="50" t="str">
        <f t="shared" ca="1" si="10"/>
        <v/>
      </c>
      <c r="R78" s="50" t="str">
        <f t="shared" ca="1" si="9"/>
        <v/>
      </c>
    </row>
    <row r="79" spans="1:18" x14ac:dyDescent="0.25">
      <c r="A79" s="21">
        <v>71</v>
      </c>
      <c r="B79" s="22" t="str">
        <f t="shared" ca="1" si="8"/>
        <v/>
      </c>
      <c r="C79" s="50" t="str">
        <f t="shared" ca="1" si="10"/>
        <v/>
      </c>
      <c r="D79" s="50" t="str">
        <f t="shared" ca="1" si="10"/>
        <v/>
      </c>
      <c r="E79" s="50" t="str">
        <f t="shared" ca="1" si="10"/>
        <v/>
      </c>
      <c r="F79" s="50" t="str">
        <f t="shared" ca="1" si="10"/>
        <v/>
      </c>
      <c r="G79" s="50" t="str">
        <f t="shared" ca="1" si="10"/>
        <v/>
      </c>
      <c r="H79" s="50" t="str">
        <f t="shared" ca="1" si="10"/>
        <v/>
      </c>
      <c r="I79" s="50" t="str">
        <f t="shared" ca="1" si="10"/>
        <v/>
      </c>
      <c r="J79" s="50" t="str">
        <f t="shared" ca="1" si="10"/>
        <v/>
      </c>
      <c r="K79" s="50" t="str">
        <f t="shared" ca="1" si="10"/>
        <v/>
      </c>
      <c r="L79" s="50" t="str">
        <f t="shared" ca="1" si="10"/>
        <v/>
      </c>
      <c r="M79" s="50" t="str">
        <f t="shared" ca="1" si="10"/>
        <v/>
      </c>
      <c r="N79" s="50" t="str">
        <f t="shared" ca="1" si="10"/>
        <v/>
      </c>
      <c r="O79" s="50" t="str">
        <f t="shared" ca="1" si="10"/>
        <v/>
      </c>
      <c r="P79" s="50" t="str">
        <f t="shared" ca="1" si="10"/>
        <v/>
      </c>
      <c r="Q79" s="50" t="str">
        <f t="shared" ca="1" si="10"/>
        <v/>
      </c>
      <c r="R79" s="50" t="str">
        <f t="shared" ca="1" si="9"/>
        <v/>
      </c>
    </row>
    <row r="80" spans="1:18" x14ac:dyDescent="0.25">
      <c r="A80" s="21">
        <v>72</v>
      </c>
      <c r="B80" s="22" t="str">
        <f t="shared" ca="1" si="8"/>
        <v/>
      </c>
      <c r="C80" s="50" t="str">
        <f t="shared" ca="1" si="10"/>
        <v/>
      </c>
      <c r="D80" s="50" t="str">
        <f t="shared" ca="1" si="10"/>
        <v/>
      </c>
      <c r="E80" s="50" t="str">
        <f t="shared" ca="1" si="10"/>
        <v/>
      </c>
      <c r="F80" s="50" t="str">
        <f t="shared" ca="1" si="10"/>
        <v/>
      </c>
      <c r="G80" s="50" t="str">
        <f t="shared" ca="1" si="10"/>
        <v/>
      </c>
      <c r="H80" s="50" t="str">
        <f t="shared" ca="1" si="10"/>
        <v/>
      </c>
      <c r="I80" s="50" t="str">
        <f t="shared" ca="1" si="10"/>
        <v/>
      </c>
      <c r="J80" s="50" t="str">
        <f t="shared" ca="1" si="10"/>
        <v/>
      </c>
      <c r="K80" s="50" t="str">
        <f t="shared" ca="1" si="10"/>
        <v/>
      </c>
      <c r="L80" s="50" t="str">
        <f t="shared" ca="1" si="10"/>
        <v/>
      </c>
      <c r="M80" s="50" t="str">
        <f t="shared" ca="1" si="10"/>
        <v/>
      </c>
      <c r="N80" s="50" t="str">
        <f t="shared" ca="1" si="10"/>
        <v/>
      </c>
      <c r="O80" s="50" t="str">
        <f t="shared" ca="1" si="10"/>
        <v/>
      </c>
      <c r="P80" s="50" t="str">
        <f t="shared" ca="1" si="10"/>
        <v/>
      </c>
      <c r="Q80" s="50" t="str">
        <f t="shared" ca="1" si="10"/>
        <v/>
      </c>
      <c r="R80" s="50" t="str">
        <f t="shared" ca="1" si="9"/>
        <v/>
      </c>
    </row>
    <row r="81" spans="1:18" x14ac:dyDescent="0.25">
      <c r="A81" s="21">
        <v>73</v>
      </c>
      <c r="B81" s="22" t="str">
        <f t="shared" ca="1" si="8"/>
        <v/>
      </c>
      <c r="C81" s="50" t="str">
        <f t="shared" ca="1" si="10"/>
        <v/>
      </c>
      <c r="D81" s="50" t="str">
        <f t="shared" ca="1" si="10"/>
        <v/>
      </c>
      <c r="E81" s="50" t="str">
        <f t="shared" ca="1" si="10"/>
        <v/>
      </c>
      <c r="F81" s="50" t="str">
        <f t="shared" ca="1" si="10"/>
        <v/>
      </c>
      <c r="G81" s="50" t="str">
        <f t="shared" ca="1" si="10"/>
        <v/>
      </c>
      <c r="H81" s="50" t="str">
        <f t="shared" ca="1" si="10"/>
        <v/>
      </c>
      <c r="I81" s="50" t="str">
        <f t="shared" ca="1" si="10"/>
        <v/>
      </c>
      <c r="J81" s="50" t="str">
        <f t="shared" ca="1" si="10"/>
        <v/>
      </c>
      <c r="K81" s="50" t="str">
        <f t="shared" ca="1" si="10"/>
        <v/>
      </c>
      <c r="L81" s="50" t="str">
        <f t="shared" ca="1" si="10"/>
        <v/>
      </c>
      <c r="M81" s="50" t="str">
        <f t="shared" ca="1" si="10"/>
        <v/>
      </c>
      <c r="N81" s="50" t="str">
        <f t="shared" ca="1" si="10"/>
        <v/>
      </c>
      <c r="O81" s="50" t="str">
        <f t="shared" ca="1" si="10"/>
        <v/>
      </c>
      <c r="P81" s="50" t="str">
        <f t="shared" ca="1" si="10"/>
        <v/>
      </c>
      <c r="Q81" s="50" t="str">
        <f t="shared" ca="1" si="10"/>
        <v/>
      </c>
      <c r="R81" s="50" t="str">
        <f t="shared" ca="1" si="9"/>
        <v/>
      </c>
    </row>
    <row r="82" spans="1:18" x14ac:dyDescent="0.25">
      <c r="A82" s="21">
        <v>74</v>
      </c>
      <c r="B82" s="22" t="str">
        <f t="shared" ca="1" si="8"/>
        <v/>
      </c>
      <c r="C82" s="50" t="str">
        <f t="shared" ca="1" si="10"/>
        <v/>
      </c>
      <c r="D82" s="50" t="str">
        <f t="shared" ca="1" si="10"/>
        <v/>
      </c>
      <c r="E82" s="50" t="str">
        <f t="shared" ca="1" si="10"/>
        <v/>
      </c>
      <c r="F82" s="50" t="str">
        <f t="shared" ca="1" si="10"/>
        <v/>
      </c>
      <c r="G82" s="50" t="str">
        <f t="shared" ca="1" si="10"/>
        <v/>
      </c>
      <c r="H82" s="50" t="str">
        <f t="shared" ca="1" si="10"/>
        <v/>
      </c>
      <c r="I82" s="50" t="str">
        <f t="shared" ca="1" si="10"/>
        <v/>
      </c>
      <c r="J82" s="50" t="str">
        <f t="shared" ca="1" si="10"/>
        <v/>
      </c>
      <c r="K82" s="50" t="str">
        <f t="shared" ca="1" si="10"/>
        <v/>
      </c>
      <c r="L82" s="50" t="str">
        <f t="shared" ca="1" si="10"/>
        <v/>
      </c>
      <c r="M82" s="50" t="str">
        <f t="shared" ca="1" si="10"/>
        <v/>
      </c>
      <c r="N82" s="50" t="str">
        <f t="shared" ca="1" si="10"/>
        <v/>
      </c>
      <c r="O82" s="50" t="str">
        <f t="shared" ca="1" si="10"/>
        <v/>
      </c>
      <c r="P82" s="50" t="str">
        <f t="shared" ca="1" si="10"/>
        <v/>
      </c>
      <c r="Q82" s="50" t="str">
        <f t="shared" ca="1" si="10"/>
        <v/>
      </c>
      <c r="R82" s="50" t="str">
        <f t="shared" ca="1" si="9"/>
        <v/>
      </c>
    </row>
    <row r="83" spans="1:18" x14ac:dyDescent="0.25">
      <c r="A83" s="21">
        <v>75</v>
      </c>
      <c r="B83" s="22" t="str">
        <f t="shared" ca="1" si="8"/>
        <v/>
      </c>
      <c r="C83" s="50" t="str">
        <f t="shared" ca="1" si="10"/>
        <v/>
      </c>
      <c r="D83" s="50" t="str">
        <f t="shared" ca="1" si="10"/>
        <v/>
      </c>
      <c r="E83" s="50" t="str">
        <f t="shared" ca="1" si="10"/>
        <v/>
      </c>
      <c r="F83" s="50" t="str">
        <f t="shared" ca="1" si="10"/>
        <v/>
      </c>
      <c r="G83" s="50" t="str">
        <f t="shared" ca="1" si="10"/>
        <v/>
      </c>
      <c r="H83" s="50" t="str">
        <f t="shared" ca="1" si="10"/>
        <v/>
      </c>
      <c r="I83" s="50" t="str">
        <f t="shared" ca="1" si="10"/>
        <v/>
      </c>
      <c r="J83" s="50" t="str">
        <f t="shared" ca="1" si="10"/>
        <v/>
      </c>
      <c r="K83" s="50" t="str">
        <f t="shared" ca="1" si="10"/>
        <v/>
      </c>
      <c r="L83" s="50" t="str">
        <f t="shared" ca="1" si="10"/>
        <v/>
      </c>
      <c r="M83" s="50" t="str">
        <f t="shared" ca="1" si="10"/>
        <v/>
      </c>
      <c r="N83" s="50" t="str">
        <f t="shared" ca="1" si="10"/>
        <v/>
      </c>
      <c r="O83" s="50" t="str">
        <f t="shared" ca="1" si="10"/>
        <v/>
      </c>
      <c r="P83" s="50" t="str">
        <f t="shared" ca="1" si="10"/>
        <v/>
      </c>
      <c r="Q83" s="50" t="str">
        <f t="shared" ca="1" si="10"/>
        <v/>
      </c>
      <c r="R83" s="50" t="str">
        <f t="shared" ca="1" si="9"/>
        <v/>
      </c>
    </row>
    <row r="84" spans="1:18" x14ac:dyDescent="0.25">
      <c r="A84" s="21">
        <v>76</v>
      </c>
      <c r="B84" s="22" t="str">
        <f t="shared" ca="1" si="8"/>
        <v/>
      </c>
      <c r="C84" s="50" t="str">
        <f t="shared" ca="1" si="10"/>
        <v/>
      </c>
      <c r="D84" s="50" t="str">
        <f t="shared" ca="1" si="10"/>
        <v/>
      </c>
      <c r="E84" s="50" t="str">
        <f t="shared" ca="1" si="10"/>
        <v/>
      </c>
      <c r="F84" s="50" t="str">
        <f t="shared" ca="1" si="10"/>
        <v/>
      </c>
      <c r="G84" s="50" t="str">
        <f t="shared" ca="1" si="10"/>
        <v/>
      </c>
      <c r="H84" s="50" t="str">
        <f t="shared" ca="1" si="10"/>
        <v/>
      </c>
      <c r="I84" s="50" t="str">
        <f t="shared" ca="1" si="10"/>
        <v/>
      </c>
      <c r="J84" s="50" t="str">
        <f t="shared" ca="1" si="10"/>
        <v/>
      </c>
      <c r="K84" s="50" t="str">
        <f t="shared" ca="1" si="10"/>
        <v/>
      </c>
      <c r="L84" s="50" t="str">
        <f t="shared" ca="1" si="10"/>
        <v/>
      </c>
      <c r="M84" s="50" t="str">
        <f t="shared" ca="1" si="10"/>
        <v/>
      </c>
      <c r="N84" s="50" t="str">
        <f t="shared" ca="1" si="10"/>
        <v/>
      </c>
      <c r="O84" s="50" t="str">
        <f t="shared" ca="1" si="10"/>
        <v/>
      </c>
      <c r="P84" s="50" t="str">
        <f t="shared" ca="1" si="10"/>
        <v/>
      </c>
      <c r="Q84" s="50" t="str">
        <f t="shared" ca="1" si="10"/>
        <v/>
      </c>
      <c r="R84" s="50" t="str">
        <f t="shared" ca="1" si="9"/>
        <v/>
      </c>
    </row>
    <row r="85" spans="1:18" x14ac:dyDescent="0.25">
      <c r="A85" s="21">
        <v>77</v>
      </c>
      <c r="B85" s="22" t="str">
        <f t="shared" ca="1" si="8"/>
        <v/>
      </c>
      <c r="C85" s="50" t="str">
        <f t="shared" ca="1" si="10"/>
        <v/>
      </c>
      <c r="D85" s="50" t="str">
        <f t="shared" ca="1" si="10"/>
        <v/>
      </c>
      <c r="E85" s="50" t="str">
        <f t="shared" ca="1" si="10"/>
        <v/>
      </c>
      <c r="F85" s="50" t="str">
        <f t="shared" ca="1" si="10"/>
        <v/>
      </c>
      <c r="G85" s="50" t="str">
        <f t="shared" ca="1" si="10"/>
        <v/>
      </c>
      <c r="H85" s="50" t="str">
        <f t="shared" ca="1" si="10"/>
        <v/>
      </c>
      <c r="I85" s="50" t="str">
        <f t="shared" ca="1" si="10"/>
        <v/>
      </c>
      <c r="J85" s="50" t="str">
        <f t="shared" ca="1" si="10"/>
        <v/>
      </c>
      <c r="K85" s="50" t="str">
        <f t="shared" ca="1" si="10"/>
        <v/>
      </c>
      <c r="L85" s="50" t="str">
        <f t="shared" ca="1" si="10"/>
        <v/>
      </c>
      <c r="M85" s="50" t="str">
        <f t="shared" ca="1" si="10"/>
        <v/>
      </c>
      <c r="N85" s="50" t="str">
        <f t="shared" ca="1" si="10"/>
        <v/>
      </c>
      <c r="O85" s="50" t="str">
        <f t="shared" ca="1" si="10"/>
        <v/>
      </c>
      <c r="P85" s="50" t="str">
        <f t="shared" ca="1" si="10"/>
        <v/>
      </c>
      <c r="Q85" s="50" t="str">
        <f t="shared" ca="1" si="10"/>
        <v/>
      </c>
      <c r="R85" s="50" t="str">
        <f t="shared" ca="1" si="9"/>
        <v/>
      </c>
    </row>
    <row r="86" spans="1:18" x14ac:dyDescent="0.25">
      <c r="A86" s="21">
        <v>78</v>
      </c>
      <c r="B86" s="22" t="str">
        <f t="shared" ca="1" si="8"/>
        <v/>
      </c>
      <c r="C86" s="50" t="str">
        <f t="shared" ca="1" si="10"/>
        <v/>
      </c>
      <c r="D86" s="50" t="str">
        <f t="shared" ca="1" si="10"/>
        <v/>
      </c>
      <c r="E86" s="50" t="str">
        <f t="shared" ca="1" si="10"/>
        <v/>
      </c>
      <c r="F86" s="50" t="str">
        <f t="shared" ca="1" si="10"/>
        <v/>
      </c>
      <c r="G86" s="50" t="str">
        <f t="shared" ca="1" si="10"/>
        <v/>
      </c>
      <c r="H86" s="50" t="str">
        <f t="shared" ca="1" si="10"/>
        <v/>
      </c>
      <c r="I86" s="50" t="str">
        <f t="shared" ca="1" si="10"/>
        <v/>
      </c>
      <c r="J86" s="50" t="str">
        <f t="shared" ca="1" si="10"/>
        <v/>
      </c>
      <c r="K86" s="50" t="str">
        <f t="shared" ca="1" si="10"/>
        <v/>
      </c>
      <c r="L86" s="50" t="str">
        <f t="shared" ca="1" si="10"/>
        <v/>
      </c>
      <c r="M86" s="50" t="str">
        <f t="shared" ca="1" si="10"/>
        <v/>
      </c>
      <c r="N86" s="50" t="str">
        <f t="shared" ca="1" si="10"/>
        <v/>
      </c>
      <c r="O86" s="50" t="str">
        <f t="shared" ca="1" si="10"/>
        <v/>
      </c>
      <c r="P86" s="50" t="str">
        <f t="shared" ca="1" si="10"/>
        <v/>
      </c>
      <c r="Q86" s="50" t="str">
        <f t="shared" ca="1" si="10"/>
        <v/>
      </c>
      <c r="R86" s="50" t="str">
        <f t="shared" ca="1" si="9"/>
        <v/>
      </c>
    </row>
    <row r="87" spans="1:18" x14ac:dyDescent="0.25">
      <c r="A87" s="21">
        <v>79</v>
      </c>
      <c r="B87" s="22" t="str">
        <f t="shared" ca="1" si="8"/>
        <v/>
      </c>
      <c r="C87" s="50" t="str">
        <f t="shared" ca="1" si="10"/>
        <v/>
      </c>
      <c r="D87" s="50" t="str">
        <f t="shared" ca="1" si="10"/>
        <v/>
      </c>
      <c r="E87" s="50" t="str">
        <f t="shared" ca="1" si="10"/>
        <v/>
      </c>
      <c r="F87" s="50" t="str">
        <f t="shared" ca="1" si="10"/>
        <v/>
      </c>
      <c r="G87" s="50" t="str">
        <f t="shared" ca="1" si="10"/>
        <v/>
      </c>
      <c r="H87" s="50" t="str">
        <f t="shared" ca="1" si="10"/>
        <v/>
      </c>
      <c r="I87" s="50" t="str">
        <f t="shared" ca="1" si="10"/>
        <v/>
      </c>
      <c r="J87" s="50" t="str">
        <f t="shared" ca="1" si="10"/>
        <v/>
      </c>
      <c r="K87" s="50" t="str">
        <f t="shared" ca="1" si="10"/>
        <v/>
      </c>
      <c r="L87" s="50" t="str">
        <f t="shared" ca="1" si="10"/>
        <v/>
      </c>
      <c r="M87" s="50" t="str">
        <f t="shared" ca="1" si="10"/>
        <v/>
      </c>
      <c r="N87" s="50" t="str">
        <f t="shared" ca="1" si="10"/>
        <v/>
      </c>
      <c r="O87" s="50" t="str">
        <f t="shared" ca="1" si="10"/>
        <v/>
      </c>
      <c r="P87" s="50" t="str">
        <f t="shared" ca="1" si="10"/>
        <v/>
      </c>
      <c r="Q87" s="50" t="str">
        <f t="shared" ca="1" si="10"/>
        <v/>
      </c>
      <c r="R87" s="50" t="str">
        <f t="shared" ca="1" si="9"/>
        <v/>
      </c>
    </row>
    <row r="88" spans="1:18" x14ac:dyDescent="0.25">
      <c r="A88" s="21">
        <v>80</v>
      </c>
      <c r="B88" s="22" t="str">
        <f t="shared" ca="1" si="8"/>
        <v/>
      </c>
      <c r="C88" s="50" t="str">
        <f t="shared" ca="1" si="10"/>
        <v/>
      </c>
      <c r="D88" s="50" t="str">
        <f t="shared" ca="1" si="10"/>
        <v/>
      </c>
      <c r="E88" s="50" t="str">
        <f t="shared" ca="1" si="10"/>
        <v/>
      </c>
      <c r="F88" s="50" t="str">
        <f t="shared" ca="1" si="10"/>
        <v/>
      </c>
      <c r="G88" s="50" t="str">
        <f t="shared" ca="1" si="10"/>
        <v/>
      </c>
      <c r="H88" s="50" t="str">
        <f t="shared" ca="1" si="10"/>
        <v/>
      </c>
      <c r="I88" s="50" t="str">
        <f t="shared" ca="1" si="10"/>
        <v/>
      </c>
      <c r="J88" s="50" t="str">
        <f t="shared" ca="1" si="10"/>
        <v/>
      </c>
      <c r="K88" s="50" t="str">
        <f t="shared" ca="1" si="10"/>
        <v/>
      </c>
      <c r="L88" s="50" t="str">
        <f t="shared" ca="1" si="10"/>
        <v/>
      </c>
      <c r="M88" s="50" t="str">
        <f t="shared" ca="1" si="10"/>
        <v/>
      </c>
      <c r="N88" s="50" t="str">
        <f t="shared" ca="1" si="10"/>
        <v/>
      </c>
      <c r="O88" s="50" t="str">
        <f t="shared" ca="1" si="10"/>
        <v/>
      </c>
      <c r="P88" s="50" t="str">
        <f t="shared" ca="1" si="10"/>
        <v/>
      </c>
      <c r="Q88" s="50" t="str">
        <f t="shared" ca="1" si="10"/>
        <v/>
      </c>
      <c r="R88" s="50" t="str">
        <f t="shared" ca="1" si="9"/>
        <v/>
      </c>
    </row>
    <row r="89" spans="1:18" x14ac:dyDescent="0.25">
      <c r="A89" s="21">
        <v>81</v>
      </c>
      <c r="B89" s="22" t="str">
        <f t="shared" ca="1" si="8"/>
        <v/>
      </c>
      <c r="C89" s="50" t="str">
        <f t="shared" ca="1" si="10"/>
        <v/>
      </c>
      <c r="D89" s="50" t="str">
        <f t="shared" ca="1" si="10"/>
        <v/>
      </c>
      <c r="E89" s="50" t="str">
        <f t="shared" ca="1" si="10"/>
        <v/>
      </c>
      <c r="F89" s="50" t="str">
        <f t="shared" ca="1" si="10"/>
        <v/>
      </c>
      <c r="G89" s="50" t="str">
        <f t="shared" ca="1" si="10"/>
        <v/>
      </c>
      <c r="H89" s="50" t="str">
        <f t="shared" ca="1" si="10"/>
        <v/>
      </c>
      <c r="I89" s="50" t="str">
        <f t="shared" ca="1" si="10"/>
        <v/>
      </c>
      <c r="J89" s="50" t="str">
        <f t="shared" ca="1" si="10"/>
        <v/>
      </c>
      <c r="K89" s="50" t="str">
        <f t="shared" ca="1" si="10"/>
        <v/>
      </c>
      <c r="L89" s="50" t="str">
        <f t="shared" ca="1" si="10"/>
        <v/>
      </c>
      <c r="M89" s="50" t="str">
        <f t="shared" ca="1" si="10"/>
        <v/>
      </c>
      <c r="N89" s="50" t="str">
        <f t="shared" ca="1" si="10"/>
        <v/>
      </c>
      <c r="O89" s="50" t="str">
        <f t="shared" ca="1" si="10"/>
        <v/>
      </c>
      <c r="P89" s="50" t="str">
        <f t="shared" ca="1" si="10"/>
        <v/>
      </c>
      <c r="Q89" s="50" t="str">
        <f t="shared" ca="1" si="10"/>
        <v/>
      </c>
      <c r="R89" s="50" t="str">
        <f t="shared" ca="1" si="9"/>
        <v/>
      </c>
    </row>
    <row r="90" spans="1:18" x14ac:dyDescent="0.25">
      <c r="A90" s="21">
        <v>82</v>
      </c>
      <c r="B90" s="22" t="str">
        <f t="shared" ca="1" si="8"/>
        <v/>
      </c>
      <c r="C90" s="50" t="str">
        <f t="shared" ca="1" si="10"/>
        <v/>
      </c>
      <c r="D90" s="50" t="str">
        <f t="shared" ca="1" si="10"/>
        <v/>
      </c>
      <c r="E90" s="50" t="str">
        <f t="shared" ca="1" si="10"/>
        <v/>
      </c>
      <c r="F90" s="50" t="str">
        <f t="shared" ca="1" si="10"/>
        <v/>
      </c>
      <c r="G90" s="50" t="str">
        <f t="shared" ca="1" si="10"/>
        <v/>
      </c>
      <c r="H90" s="50" t="str">
        <f t="shared" ca="1" si="10"/>
        <v/>
      </c>
      <c r="I90" s="50" t="str">
        <f t="shared" ca="1" si="10"/>
        <v/>
      </c>
      <c r="J90" s="50" t="str">
        <f t="shared" ca="1" si="10"/>
        <v/>
      </c>
      <c r="K90" s="50" t="str">
        <f t="shared" ca="1" si="10"/>
        <v/>
      </c>
      <c r="L90" s="50" t="str">
        <f t="shared" ca="1" si="10"/>
        <v/>
      </c>
      <c r="M90" s="50" t="str">
        <f t="shared" ca="1" si="10"/>
        <v/>
      </c>
      <c r="N90" s="50" t="str">
        <f t="shared" ca="1" si="10"/>
        <v/>
      </c>
      <c r="O90" s="50" t="str">
        <f t="shared" ca="1" si="10"/>
        <v/>
      </c>
      <c r="P90" s="50" t="str">
        <f t="shared" ca="1" si="10"/>
        <v/>
      </c>
      <c r="Q90" s="50" t="str">
        <f t="shared" ca="1" si="10"/>
        <v/>
      </c>
      <c r="R90" s="50" t="str">
        <f t="shared" ca="1" si="9"/>
        <v/>
      </c>
    </row>
    <row r="91" spans="1:18" x14ac:dyDescent="0.25">
      <c r="A91" s="21">
        <v>83</v>
      </c>
      <c r="B91" s="22" t="str">
        <f t="shared" ca="1" si="8"/>
        <v/>
      </c>
      <c r="C91" s="50" t="str">
        <f t="shared" ca="1" si="10"/>
        <v/>
      </c>
      <c r="D91" s="50" t="str">
        <f t="shared" ca="1" si="10"/>
        <v/>
      </c>
      <c r="E91" s="50" t="str">
        <f t="shared" ca="1" si="10"/>
        <v/>
      </c>
      <c r="F91" s="50" t="str">
        <f t="shared" ca="1" si="10"/>
        <v/>
      </c>
      <c r="G91" s="50" t="str">
        <f t="shared" ca="1" si="10"/>
        <v/>
      </c>
      <c r="H91" s="50" t="str">
        <f t="shared" ca="1" si="10"/>
        <v/>
      </c>
      <c r="I91" s="50" t="str">
        <f t="shared" ca="1" si="10"/>
        <v/>
      </c>
      <c r="J91" s="50" t="str">
        <f t="shared" ca="1" si="10"/>
        <v/>
      </c>
      <c r="K91" s="50" t="str">
        <f t="shared" ca="1" si="10"/>
        <v/>
      </c>
      <c r="L91" s="50" t="str">
        <f t="shared" ca="1" si="10"/>
        <v/>
      </c>
      <c r="M91" s="50" t="str">
        <f t="shared" ca="1" si="10"/>
        <v/>
      </c>
      <c r="N91" s="50" t="str">
        <f t="shared" ca="1" si="10"/>
        <v/>
      </c>
      <c r="O91" s="50" t="str">
        <f t="shared" ca="1" si="10"/>
        <v/>
      </c>
      <c r="P91" s="50" t="str">
        <f t="shared" ca="1" si="10"/>
        <v/>
      </c>
      <c r="Q91" s="50" t="str">
        <f t="shared" ca="1" si="10"/>
        <v/>
      </c>
      <c r="R91" s="50" t="str">
        <f t="shared" ca="1" si="9"/>
        <v/>
      </c>
    </row>
    <row r="92" spans="1:18" x14ac:dyDescent="0.25">
      <c r="A92" s="21">
        <v>84</v>
      </c>
      <c r="B92" s="22" t="str">
        <f t="shared" ca="1" si="8"/>
        <v/>
      </c>
      <c r="C92" s="50" t="str">
        <f t="shared" ref="C92:Q108" ca="1" si="11">IF(AND($B92=$S$4,C$5&lt;&gt;""),IF(VLOOKUP($A$1&amp;"-"&amp;$A92,INDIRECT($E$2&amp;$E$3),C$4+$B$4,0)="","","'"&amp;C$5&amp;"' =&gt; '"&amp;VLOOKUP($A$1&amp;"-"&amp;$A92,INDIRECT($E$2&amp;$E$3),C$4+$B$4,0)&amp;"', "),"")</f>
        <v/>
      </c>
      <c r="D92" s="50" t="str">
        <f t="shared" ca="1" si="11"/>
        <v/>
      </c>
      <c r="E92" s="50" t="str">
        <f t="shared" ca="1" si="11"/>
        <v/>
      </c>
      <c r="F92" s="50" t="str">
        <f t="shared" ca="1" si="11"/>
        <v/>
      </c>
      <c r="G92" s="50" t="str">
        <f t="shared" ca="1" si="11"/>
        <v/>
      </c>
      <c r="H92" s="50" t="str">
        <f t="shared" ca="1" si="11"/>
        <v/>
      </c>
      <c r="I92" s="50" t="str">
        <f t="shared" ca="1" si="11"/>
        <v/>
      </c>
      <c r="J92" s="50" t="str">
        <f t="shared" ca="1" si="11"/>
        <v/>
      </c>
      <c r="K92" s="50" t="str">
        <f t="shared" ca="1" si="11"/>
        <v/>
      </c>
      <c r="L92" s="50" t="str">
        <f t="shared" ca="1" si="11"/>
        <v/>
      </c>
      <c r="M92" s="50" t="str">
        <f t="shared" ca="1" si="11"/>
        <v/>
      </c>
      <c r="N92" s="50" t="str">
        <f t="shared" ca="1" si="11"/>
        <v/>
      </c>
      <c r="O92" s="50" t="str">
        <f t="shared" ca="1" si="11"/>
        <v/>
      </c>
      <c r="P92" s="50" t="str">
        <f t="shared" ca="1" si="11"/>
        <v/>
      </c>
      <c r="Q92" s="50" t="str">
        <f t="shared" ca="1" si="11"/>
        <v/>
      </c>
      <c r="R92" s="50" t="str">
        <f t="shared" ca="1" si="9"/>
        <v/>
      </c>
    </row>
    <row r="93" spans="1:18" x14ac:dyDescent="0.25">
      <c r="A93" s="21">
        <v>85</v>
      </c>
      <c r="B93" s="22" t="str">
        <f t="shared" ca="1" si="8"/>
        <v/>
      </c>
      <c r="C93" s="50" t="str">
        <f t="shared" ca="1" si="11"/>
        <v/>
      </c>
      <c r="D93" s="50" t="str">
        <f t="shared" ca="1" si="11"/>
        <v/>
      </c>
      <c r="E93" s="50" t="str">
        <f t="shared" ca="1" si="11"/>
        <v/>
      </c>
      <c r="F93" s="50" t="str">
        <f t="shared" ca="1" si="11"/>
        <v/>
      </c>
      <c r="G93" s="50" t="str">
        <f t="shared" ca="1" si="11"/>
        <v/>
      </c>
      <c r="H93" s="50" t="str">
        <f t="shared" ca="1" si="11"/>
        <v/>
      </c>
      <c r="I93" s="50" t="str">
        <f t="shared" ca="1" si="11"/>
        <v/>
      </c>
      <c r="J93" s="50" t="str">
        <f t="shared" ca="1" si="11"/>
        <v/>
      </c>
      <c r="K93" s="50" t="str">
        <f t="shared" ca="1" si="11"/>
        <v/>
      </c>
      <c r="L93" s="50" t="str">
        <f t="shared" ca="1" si="11"/>
        <v/>
      </c>
      <c r="M93" s="50" t="str">
        <f t="shared" ca="1" si="11"/>
        <v/>
      </c>
      <c r="N93" s="50" t="str">
        <f t="shared" ca="1" si="11"/>
        <v/>
      </c>
      <c r="O93" s="50" t="str">
        <f t="shared" ca="1" si="11"/>
        <v/>
      </c>
      <c r="P93" s="50" t="str">
        <f t="shared" ca="1" si="11"/>
        <v/>
      </c>
      <c r="Q93" s="50" t="str">
        <f t="shared" ca="1" si="11"/>
        <v/>
      </c>
      <c r="R93" s="50" t="str">
        <f t="shared" ca="1" si="9"/>
        <v/>
      </c>
    </row>
    <row r="94" spans="1:18" x14ac:dyDescent="0.25">
      <c r="A94" s="21">
        <v>86</v>
      </c>
      <c r="B94" s="22" t="str">
        <f t="shared" ca="1" si="8"/>
        <v/>
      </c>
      <c r="C94" s="50" t="str">
        <f t="shared" ca="1" si="11"/>
        <v/>
      </c>
      <c r="D94" s="50" t="str">
        <f t="shared" ca="1" si="11"/>
        <v/>
      </c>
      <c r="E94" s="50" t="str">
        <f t="shared" ca="1" si="11"/>
        <v/>
      </c>
      <c r="F94" s="50" t="str">
        <f t="shared" ca="1" si="11"/>
        <v/>
      </c>
      <c r="G94" s="50" t="str">
        <f t="shared" ca="1" si="11"/>
        <v/>
      </c>
      <c r="H94" s="50" t="str">
        <f t="shared" ca="1" si="11"/>
        <v/>
      </c>
      <c r="I94" s="50" t="str">
        <f t="shared" ca="1" si="11"/>
        <v/>
      </c>
      <c r="J94" s="50" t="str">
        <f t="shared" ca="1" si="11"/>
        <v/>
      </c>
      <c r="K94" s="50" t="str">
        <f t="shared" ca="1" si="11"/>
        <v/>
      </c>
      <c r="L94" s="50" t="str">
        <f t="shared" ca="1" si="11"/>
        <v/>
      </c>
      <c r="M94" s="50" t="str">
        <f t="shared" ca="1" si="11"/>
        <v/>
      </c>
      <c r="N94" s="50" t="str">
        <f t="shared" ca="1" si="11"/>
        <v/>
      </c>
      <c r="O94" s="50" t="str">
        <f t="shared" ca="1" si="11"/>
        <v/>
      </c>
      <c r="P94" s="50" t="str">
        <f t="shared" ca="1" si="11"/>
        <v/>
      </c>
      <c r="Q94" s="50" t="str">
        <f t="shared" ca="1" si="11"/>
        <v/>
      </c>
      <c r="R94" s="50" t="str">
        <f t="shared" ca="1" si="9"/>
        <v/>
      </c>
    </row>
    <row r="95" spans="1:18" x14ac:dyDescent="0.25">
      <c r="A95" s="21">
        <v>87</v>
      </c>
      <c r="B95" s="22" t="str">
        <f t="shared" ca="1" si="8"/>
        <v/>
      </c>
      <c r="C95" s="50" t="str">
        <f t="shared" ca="1" si="11"/>
        <v/>
      </c>
      <c r="D95" s="50" t="str">
        <f t="shared" ca="1" si="11"/>
        <v/>
      </c>
      <c r="E95" s="50" t="str">
        <f t="shared" ca="1" si="11"/>
        <v/>
      </c>
      <c r="F95" s="50" t="str">
        <f t="shared" ca="1" si="11"/>
        <v/>
      </c>
      <c r="G95" s="50" t="str">
        <f t="shared" ca="1" si="11"/>
        <v/>
      </c>
      <c r="H95" s="50" t="str">
        <f t="shared" ca="1" si="11"/>
        <v/>
      </c>
      <c r="I95" s="50" t="str">
        <f t="shared" ca="1" si="11"/>
        <v/>
      </c>
      <c r="J95" s="50" t="str">
        <f t="shared" ca="1" si="11"/>
        <v/>
      </c>
      <c r="K95" s="50" t="str">
        <f t="shared" ca="1" si="11"/>
        <v/>
      </c>
      <c r="L95" s="50" t="str">
        <f t="shared" ca="1" si="11"/>
        <v/>
      </c>
      <c r="M95" s="50" t="str">
        <f t="shared" ca="1" si="11"/>
        <v/>
      </c>
      <c r="N95" s="50" t="str">
        <f t="shared" ca="1" si="11"/>
        <v/>
      </c>
      <c r="O95" s="50" t="str">
        <f t="shared" ca="1" si="11"/>
        <v/>
      </c>
      <c r="P95" s="50" t="str">
        <f t="shared" ca="1" si="11"/>
        <v/>
      </c>
      <c r="Q95" s="50" t="str">
        <f t="shared" ca="1" si="11"/>
        <v/>
      </c>
      <c r="R95" s="50" t="str">
        <f t="shared" ca="1" si="9"/>
        <v/>
      </c>
    </row>
    <row r="96" spans="1:18" x14ac:dyDescent="0.25">
      <c r="A96" s="21">
        <v>88</v>
      </c>
      <c r="B96" s="22" t="str">
        <f t="shared" ca="1" si="8"/>
        <v/>
      </c>
      <c r="C96" s="50" t="str">
        <f t="shared" ca="1" si="11"/>
        <v/>
      </c>
      <c r="D96" s="50" t="str">
        <f t="shared" ca="1" si="11"/>
        <v/>
      </c>
      <c r="E96" s="50" t="str">
        <f t="shared" ca="1" si="11"/>
        <v/>
      </c>
      <c r="F96" s="50" t="str">
        <f t="shared" ca="1" si="11"/>
        <v/>
      </c>
      <c r="G96" s="50" t="str">
        <f t="shared" ca="1" si="11"/>
        <v/>
      </c>
      <c r="H96" s="50" t="str">
        <f t="shared" ca="1" si="11"/>
        <v/>
      </c>
      <c r="I96" s="50" t="str">
        <f t="shared" ca="1" si="11"/>
        <v/>
      </c>
      <c r="J96" s="50" t="str">
        <f t="shared" ca="1" si="11"/>
        <v/>
      </c>
      <c r="K96" s="50" t="str">
        <f t="shared" ca="1" si="11"/>
        <v/>
      </c>
      <c r="L96" s="50" t="str">
        <f t="shared" ca="1" si="11"/>
        <v/>
      </c>
      <c r="M96" s="50" t="str">
        <f t="shared" ca="1" si="11"/>
        <v/>
      </c>
      <c r="N96" s="50" t="str">
        <f t="shared" ca="1" si="11"/>
        <v/>
      </c>
      <c r="O96" s="50" t="str">
        <f t="shared" ca="1" si="11"/>
        <v/>
      </c>
      <c r="P96" s="50" t="str">
        <f t="shared" ca="1" si="11"/>
        <v/>
      </c>
      <c r="Q96" s="50" t="str">
        <f t="shared" ca="1" si="11"/>
        <v/>
      </c>
      <c r="R96" s="50" t="str">
        <f t="shared" ca="1" si="9"/>
        <v/>
      </c>
    </row>
    <row r="97" spans="1:18" x14ac:dyDescent="0.25">
      <c r="A97" s="21">
        <v>89</v>
      </c>
      <c r="B97" s="22" t="str">
        <f t="shared" ca="1" si="8"/>
        <v/>
      </c>
      <c r="C97" s="50" t="str">
        <f t="shared" ca="1" si="11"/>
        <v/>
      </c>
      <c r="D97" s="50" t="str">
        <f t="shared" ca="1" si="11"/>
        <v/>
      </c>
      <c r="E97" s="50" t="str">
        <f t="shared" ca="1" si="11"/>
        <v/>
      </c>
      <c r="F97" s="50" t="str">
        <f t="shared" ca="1" si="11"/>
        <v/>
      </c>
      <c r="G97" s="50" t="str">
        <f t="shared" ca="1" si="11"/>
        <v/>
      </c>
      <c r="H97" s="50" t="str">
        <f t="shared" ca="1" si="11"/>
        <v/>
      </c>
      <c r="I97" s="50" t="str">
        <f t="shared" ca="1" si="11"/>
        <v/>
      </c>
      <c r="J97" s="50" t="str">
        <f t="shared" ca="1" si="11"/>
        <v/>
      </c>
      <c r="K97" s="50" t="str">
        <f t="shared" ca="1" si="11"/>
        <v/>
      </c>
      <c r="L97" s="50" t="str">
        <f t="shared" ca="1" si="11"/>
        <v/>
      </c>
      <c r="M97" s="50" t="str">
        <f t="shared" ca="1" si="11"/>
        <v/>
      </c>
      <c r="N97" s="50" t="str">
        <f t="shared" ca="1" si="11"/>
        <v/>
      </c>
      <c r="O97" s="50" t="str">
        <f t="shared" ca="1" si="11"/>
        <v/>
      </c>
      <c r="P97" s="50" t="str">
        <f t="shared" ca="1" si="11"/>
        <v/>
      </c>
      <c r="Q97" s="50" t="str">
        <f t="shared" ca="1" si="11"/>
        <v/>
      </c>
      <c r="R97" s="50" t="str">
        <f t="shared" ca="1" si="9"/>
        <v/>
      </c>
    </row>
    <row r="98" spans="1:18" x14ac:dyDescent="0.25">
      <c r="A98" s="21">
        <v>90</v>
      </c>
      <c r="B98" s="22" t="str">
        <f t="shared" ca="1" si="8"/>
        <v/>
      </c>
      <c r="C98" s="50" t="str">
        <f t="shared" ca="1" si="11"/>
        <v/>
      </c>
      <c r="D98" s="50" t="str">
        <f t="shared" ca="1" si="11"/>
        <v/>
      </c>
      <c r="E98" s="50" t="str">
        <f t="shared" ca="1" si="11"/>
        <v/>
      </c>
      <c r="F98" s="50" t="str">
        <f t="shared" ca="1" si="11"/>
        <v/>
      </c>
      <c r="G98" s="50" t="str">
        <f t="shared" ca="1" si="11"/>
        <v/>
      </c>
      <c r="H98" s="50" t="str">
        <f t="shared" ca="1" si="11"/>
        <v/>
      </c>
      <c r="I98" s="50" t="str">
        <f t="shared" ca="1" si="11"/>
        <v/>
      </c>
      <c r="J98" s="50" t="str">
        <f t="shared" ca="1" si="11"/>
        <v/>
      </c>
      <c r="K98" s="50" t="str">
        <f t="shared" ca="1" si="11"/>
        <v/>
      </c>
      <c r="L98" s="50" t="str">
        <f t="shared" ca="1" si="11"/>
        <v/>
      </c>
      <c r="M98" s="50" t="str">
        <f t="shared" ca="1" si="11"/>
        <v/>
      </c>
      <c r="N98" s="50" t="str">
        <f t="shared" ca="1" si="11"/>
        <v/>
      </c>
      <c r="O98" s="50" t="str">
        <f t="shared" ca="1" si="11"/>
        <v/>
      </c>
      <c r="P98" s="50" t="str">
        <f t="shared" ca="1" si="11"/>
        <v/>
      </c>
      <c r="Q98" s="50" t="str">
        <f t="shared" ca="1" si="11"/>
        <v/>
      </c>
      <c r="R98" s="50" t="str">
        <f t="shared" ca="1" si="9"/>
        <v/>
      </c>
    </row>
    <row r="99" spans="1:18" x14ac:dyDescent="0.25">
      <c r="A99" s="21">
        <v>91</v>
      </c>
      <c r="B99" s="22" t="str">
        <f t="shared" ca="1" si="8"/>
        <v/>
      </c>
      <c r="C99" s="50" t="str">
        <f t="shared" ca="1" si="11"/>
        <v/>
      </c>
      <c r="D99" s="50" t="str">
        <f t="shared" ca="1" si="11"/>
        <v/>
      </c>
      <c r="E99" s="50" t="str">
        <f t="shared" ca="1" si="11"/>
        <v/>
      </c>
      <c r="F99" s="50" t="str">
        <f t="shared" ca="1" si="11"/>
        <v/>
      </c>
      <c r="G99" s="50" t="str">
        <f t="shared" ca="1" si="11"/>
        <v/>
      </c>
      <c r="H99" s="50" t="str">
        <f t="shared" ca="1" si="11"/>
        <v/>
      </c>
      <c r="I99" s="50" t="str">
        <f t="shared" ca="1" si="11"/>
        <v/>
      </c>
      <c r="J99" s="50" t="str">
        <f t="shared" ca="1" si="11"/>
        <v/>
      </c>
      <c r="K99" s="50" t="str">
        <f t="shared" ca="1" si="11"/>
        <v/>
      </c>
      <c r="L99" s="50" t="str">
        <f t="shared" ca="1" si="11"/>
        <v/>
      </c>
      <c r="M99" s="50" t="str">
        <f t="shared" ca="1" si="11"/>
        <v/>
      </c>
      <c r="N99" s="50" t="str">
        <f t="shared" ca="1" si="11"/>
        <v/>
      </c>
      <c r="O99" s="50" t="str">
        <f t="shared" ca="1" si="11"/>
        <v/>
      </c>
      <c r="P99" s="50" t="str">
        <f t="shared" ca="1" si="11"/>
        <v/>
      </c>
      <c r="Q99" s="50" t="str">
        <f t="shared" ca="1" si="11"/>
        <v/>
      </c>
      <c r="R99" s="50" t="str">
        <f t="shared" ca="1" si="9"/>
        <v/>
      </c>
    </row>
    <row r="100" spans="1:18" x14ac:dyDescent="0.25">
      <c r="A100" s="21">
        <v>92</v>
      </c>
      <c r="B100" s="22" t="str">
        <f t="shared" ca="1" si="8"/>
        <v/>
      </c>
      <c r="C100" s="50" t="str">
        <f t="shared" ca="1" si="11"/>
        <v/>
      </c>
      <c r="D100" s="50" t="str">
        <f t="shared" ca="1" si="11"/>
        <v/>
      </c>
      <c r="E100" s="50" t="str">
        <f t="shared" ca="1" si="11"/>
        <v/>
      </c>
      <c r="F100" s="50" t="str">
        <f t="shared" ca="1" si="11"/>
        <v/>
      </c>
      <c r="G100" s="50" t="str">
        <f t="shared" ca="1" si="11"/>
        <v/>
      </c>
      <c r="H100" s="50" t="str">
        <f t="shared" ca="1" si="11"/>
        <v/>
      </c>
      <c r="I100" s="50" t="str">
        <f t="shared" ca="1" si="11"/>
        <v/>
      </c>
      <c r="J100" s="50" t="str">
        <f t="shared" ca="1" si="11"/>
        <v/>
      </c>
      <c r="K100" s="50" t="str">
        <f t="shared" ca="1" si="11"/>
        <v/>
      </c>
      <c r="L100" s="50" t="str">
        <f t="shared" ca="1" si="11"/>
        <v/>
      </c>
      <c r="M100" s="50" t="str">
        <f t="shared" ca="1" si="11"/>
        <v/>
      </c>
      <c r="N100" s="50" t="str">
        <f t="shared" ca="1" si="11"/>
        <v/>
      </c>
      <c r="O100" s="50" t="str">
        <f t="shared" ca="1" si="11"/>
        <v/>
      </c>
      <c r="P100" s="50" t="str">
        <f t="shared" ca="1" si="11"/>
        <v/>
      </c>
      <c r="Q100" s="50" t="str">
        <f t="shared" ca="1" si="11"/>
        <v/>
      </c>
      <c r="R100" s="50" t="str">
        <f t="shared" ca="1" si="9"/>
        <v/>
      </c>
    </row>
    <row r="101" spans="1:18" x14ac:dyDescent="0.25">
      <c r="A101" s="21">
        <v>93</v>
      </c>
      <c r="B101" s="22" t="str">
        <f t="shared" ca="1" si="8"/>
        <v/>
      </c>
      <c r="C101" s="50" t="str">
        <f t="shared" ca="1" si="11"/>
        <v/>
      </c>
      <c r="D101" s="50" t="str">
        <f t="shared" ca="1" si="11"/>
        <v/>
      </c>
      <c r="E101" s="50" t="str">
        <f t="shared" ca="1" si="11"/>
        <v/>
      </c>
      <c r="F101" s="50" t="str">
        <f t="shared" ca="1" si="11"/>
        <v/>
      </c>
      <c r="G101" s="50" t="str">
        <f t="shared" ca="1" si="11"/>
        <v/>
      </c>
      <c r="H101" s="50" t="str">
        <f t="shared" ca="1" si="11"/>
        <v/>
      </c>
      <c r="I101" s="50" t="str">
        <f t="shared" ca="1" si="11"/>
        <v/>
      </c>
      <c r="J101" s="50" t="str">
        <f t="shared" ca="1" si="11"/>
        <v/>
      </c>
      <c r="K101" s="50" t="str">
        <f t="shared" ca="1" si="11"/>
        <v/>
      </c>
      <c r="L101" s="50" t="str">
        <f t="shared" ca="1" si="11"/>
        <v/>
      </c>
      <c r="M101" s="50" t="str">
        <f t="shared" ca="1" si="11"/>
        <v/>
      </c>
      <c r="N101" s="50" t="str">
        <f t="shared" ca="1" si="11"/>
        <v/>
      </c>
      <c r="O101" s="50" t="str">
        <f t="shared" ca="1" si="11"/>
        <v/>
      </c>
      <c r="P101" s="50" t="str">
        <f t="shared" ca="1" si="11"/>
        <v/>
      </c>
      <c r="Q101" s="50" t="str">
        <f t="shared" ca="1" si="11"/>
        <v/>
      </c>
      <c r="R101" s="50" t="str">
        <f t="shared" ca="1" si="9"/>
        <v/>
      </c>
    </row>
    <row r="102" spans="1:18" x14ac:dyDescent="0.25">
      <c r="A102" s="21">
        <v>94</v>
      </c>
      <c r="B102" s="22" t="str">
        <f t="shared" ca="1" si="8"/>
        <v/>
      </c>
      <c r="C102" s="50" t="str">
        <f t="shared" ca="1" si="11"/>
        <v/>
      </c>
      <c r="D102" s="50" t="str">
        <f t="shared" ca="1" si="11"/>
        <v/>
      </c>
      <c r="E102" s="50" t="str">
        <f t="shared" ca="1" si="11"/>
        <v/>
      </c>
      <c r="F102" s="50" t="str">
        <f t="shared" ca="1" si="11"/>
        <v/>
      </c>
      <c r="G102" s="50" t="str">
        <f t="shared" ca="1" si="11"/>
        <v/>
      </c>
      <c r="H102" s="50" t="str">
        <f t="shared" ca="1" si="11"/>
        <v/>
      </c>
      <c r="I102" s="50" t="str">
        <f t="shared" ca="1" si="11"/>
        <v/>
      </c>
      <c r="J102" s="50" t="str">
        <f t="shared" ca="1" si="11"/>
        <v/>
      </c>
      <c r="K102" s="50" t="str">
        <f t="shared" ca="1" si="11"/>
        <v/>
      </c>
      <c r="L102" s="50" t="str">
        <f t="shared" ca="1" si="11"/>
        <v/>
      </c>
      <c r="M102" s="50" t="str">
        <f t="shared" ca="1" si="11"/>
        <v/>
      </c>
      <c r="N102" s="50" t="str">
        <f t="shared" ca="1" si="11"/>
        <v/>
      </c>
      <c r="O102" s="50" t="str">
        <f t="shared" ca="1" si="11"/>
        <v/>
      </c>
      <c r="P102" s="50" t="str">
        <f t="shared" ca="1" si="11"/>
        <v/>
      </c>
      <c r="Q102" s="50" t="str">
        <f t="shared" ca="1" si="11"/>
        <v/>
      </c>
      <c r="R102" s="50" t="str">
        <f t="shared" ca="1" si="9"/>
        <v/>
      </c>
    </row>
    <row r="103" spans="1:18" x14ac:dyDescent="0.25">
      <c r="A103" s="21">
        <v>95</v>
      </c>
      <c r="B103" s="22" t="str">
        <f t="shared" ca="1" si="8"/>
        <v/>
      </c>
      <c r="C103" s="50" t="str">
        <f t="shared" ca="1" si="11"/>
        <v/>
      </c>
      <c r="D103" s="50" t="str">
        <f t="shared" ca="1" si="11"/>
        <v/>
      </c>
      <c r="E103" s="50" t="str">
        <f t="shared" ca="1" si="11"/>
        <v/>
      </c>
      <c r="F103" s="50" t="str">
        <f t="shared" ca="1" si="11"/>
        <v/>
      </c>
      <c r="G103" s="50" t="str">
        <f t="shared" ca="1" si="11"/>
        <v/>
      </c>
      <c r="H103" s="50" t="str">
        <f t="shared" ca="1" si="11"/>
        <v/>
      </c>
      <c r="I103" s="50" t="str">
        <f t="shared" ca="1" si="11"/>
        <v/>
      </c>
      <c r="J103" s="50" t="str">
        <f t="shared" ca="1" si="11"/>
        <v/>
      </c>
      <c r="K103" s="50" t="str">
        <f t="shared" ca="1" si="11"/>
        <v/>
      </c>
      <c r="L103" s="50" t="str">
        <f t="shared" ca="1" si="11"/>
        <v/>
      </c>
      <c r="M103" s="50" t="str">
        <f t="shared" ca="1" si="11"/>
        <v/>
      </c>
      <c r="N103" s="50" t="str">
        <f t="shared" ca="1" si="11"/>
        <v/>
      </c>
      <c r="O103" s="50" t="str">
        <f t="shared" ca="1" si="11"/>
        <v/>
      </c>
      <c r="P103" s="50" t="str">
        <f t="shared" ca="1" si="11"/>
        <v/>
      </c>
      <c r="Q103" s="50" t="str">
        <f t="shared" ca="1" si="11"/>
        <v/>
      </c>
      <c r="R103" s="50" t="str">
        <f t="shared" ca="1" si="9"/>
        <v/>
      </c>
    </row>
    <row r="104" spans="1:18" x14ac:dyDescent="0.25">
      <c r="A104" s="21">
        <v>96</v>
      </c>
      <c r="B104" s="22" t="str">
        <f t="shared" ca="1" si="8"/>
        <v/>
      </c>
      <c r="C104" s="50" t="str">
        <f t="shared" ca="1" si="11"/>
        <v/>
      </c>
      <c r="D104" s="50" t="str">
        <f t="shared" ca="1" si="11"/>
        <v/>
      </c>
      <c r="E104" s="50" t="str">
        <f t="shared" ca="1" si="11"/>
        <v/>
      </c>
      <c r="F104" s="50" t="str">
        <f t="shared" ca="1" si="11"/>
        <v/>
      </c>
      <c r="G104" s="50" t="str">
        <f t="shared" ca="1" si="11"/>
        <v/>
      </c>
      <c r="H104" s="50" t="str">
        <f t="shared" ca="1" si="11"/>
        <v/>
      </c>
      <c r="I104" s="50" t="str">
        <f t="shared" ca="1" si="11"/>
        <v/>
      </c>
      <c r="J104" s="50" t="str">
        <f t="shared" ca="1" si="11"/>
        <v/>
      </c>
      <c r="K104" s="50" t="str">
        <f t="shared" ca="1" si="11"/>
        <v/>
      </c>
      <c r="L104" s="50" t="str">
        <f t="shared" ca="1" si="11"/>
        <v/>
      </c>
      <c r="M104" s="50" t="str">
        <f t="shared" ca="1" si="11"/>
        <v/>
      </c>
      <c r="N104" s="50" t="str">
        <f t="shared" ca="1" si="11"/>
        <v/>
      </c>
      <c r="O104" s="50" t="str">
        <f t="shared" ca="1" si="11"/>
        <v/>
      </c>
      <c r="P104" s="50" t="str">
        <f t="shared" ca="1" si="11"/>
        <v/>
      </c>
      <c r="Q104" s="50" t="str">
        <f t="shared" ca="1" si="11"/>
        <v/>
      </c>
      <c r="R104" s="50" t="str">
        <f t="shared" ca="1" si="9"/>
        <v/>
      </c>
    </row>
    <row r="105" spans="1:18" x14ac:dyDescent="0.25">
      <c r="A105" s="21">
        <v>97</v>
      </c>
      <c r="B105" s="22" t="str">
        <f t="shared" ca="1" si="8"/>
        <v/>
      </c>
      <c r="C105" s="50" t="str">
        <f t="shared" ca="1" si="11"/>
        <v/>
      </c>
      <c r="D105" s="50" t="str">
        <f t="shared" ca="1" si="11"/>
        <v/>
      </c>
      <c r="E105" s="50" t="str">
        <f t="shared" ca="1" si="11"/>
        <v/>
      </c>
      <c r="F105" s="50" t="str">
        <f t="shared" ca="1" si="11"/>
        <v/>
      </c>
      <c r="G105" s="50" t="str">
        <f t="shared" ca="1" si="11"/>
        <v/>
      </c>
      <c r="H105" s="50" t="str">
        <f t="shared" ca="1" si="11"/>
        <v/>
      </c>
      <c r="I105" s="50" t="str">
        <f t="shared" ca="1" si="11"/>
        <v/>
      </c>
      <c r="J105" s="50" t="str">
        <f t="shared" ca="1" si="11"/>
        <v/>
      </c>
      <c r="K105" s="50" t="str">
        <f t="shared" ca="1" si="11"/>
        <v/>
      </c>
      <c r="L105" s="50" t="str">
        <f t="shared" ca="1" si="11"/>
        <v/>
      </c>
      <c r="M105" s="50" t="str">
        <f t="shared" ca="1" si="11"/>
        <v/>
      </c>
      <c r="N105" s="50" t="str">
        <f t="shared" ca="1" si="11"/>
        <v/>
      </c>
      <c r="O105" s="50" t="str">
        <f t="shared" ca="1" si="11"/>
        <v/>
      </c>
      <c r="P105" s="50" t="str">
        <f t="shared" ca="1" si="11"/>
        <v/>
      </c>
      <c r="Q105" s="50" t="str">
        <f t="shared" ca="1" si="11"/>
        <v/>
      </c>
      <c r="R105" s="50" t="str">
        <f t="shared" ca="1" si="9"/>
        <v/>
      </c>
    </row>
    <row r="106" spans="1:18" x14ac:dyDescent="0.25">
      <c r="A106" s="21">
        <v>98</v>
      </c>
      <c r="B106" s="22" t="str">
        <f t="shared" ca="1" si="8"/>
        <v/>
      </c>
      <c r="C106" s="50" t="str">
        <f t="shared" ca="1" si="11"/>
        <v/>
      </c>
      <c r="D106" s="50" t="str">
        <f t="shared" ca="1" si="11"/>
        <v/>
      </c>
      <c r="E106" s="50" t="str">
        <f t="shared" ca="1" si="11"/>
        <v/>
      </c>
      <c r="F106" s="50" t="str">
        <f t="shared" ca="1" si="11"/>
        <v/>
      </c>
      <c r="G106" s="50" t="str">
        <f t="shared" ca="1" si="11"/>
        <v/>
      </c>
      <c r="H106" s="50" t="str">
        <f t="shared" ca="1" si="11"/>
        <v/>
      </c>
      <c r="I106" s="50" t="str">
        <f t="shared" ca="1" si="11"/>
        <v/>
      </c>
      <c r="J106" s="50" t="str">
        <f t="shared" ca="1" si="11"/>
        <v/>
      </c>
      <c r="K106" s="50" t="str">
        <f t="shared" ca="1" si="11"/>
        <v/>
      </c>
      <c r="L106" s="50" t="str">
        <f t="shared" ca="1" si="11"/>
        <v/>
      </c>
      <c r="M106" s="50" t="str">
        <f t="shared" ca="1" si="11"/>
        <v/>
      </c>
      <c r="N106" s="50" t="str">
        <f t="shared" ca="1" si="11"/>
        <v/>
      </c>
      <c r="O106" s="50" t="str">
        <f t="shared" ca="1" si="11"/>
        <v/>
      </c>
      <c r="P106" s="50" t="str">
        <f t="shared" ca="1" si="11"/>
        <v/>
      </c>
      <c r="Q106" s="50" t="str">
        <f t="shared" ca="1" si="11"/>
        <v/>
      </c>
      <c r="R106" s="50" t="str">
        <f t="shared" ca="1" si="9"/>
        <v/>
      </c>
    </row>
    <row r="107" spans="1:18" x14ac:dyDescent="0.25">
      <c r="A107" s="21">
        <v>99</v>
      </c>
      <c r="B107" s="22" t="str">
        <f t="shared" ca="1" si="8"/>
        <v/>
      </c>
      <c r="C107" s="50" t="str">
        <f t="shared" ca="1" si="11"/>
        <v/>
      </c>
      <c r="D107" s="50" t="str">
        <f t="shared" ca="1" si="11"/>
        <v/>
      </c>
      <c r="E107" s="50" t="str">
        <f t="shared" ca="1" si="11"/>
        <v/>
      </c>
      <c r="F107" s="50" t="str">
        <f t="shared" ca="1" si="11"/>
        <v/>
      </c>
      <c r="G107" s="50" t="str">
        <f t="shared" ca="1" si="11"/>
        <v/>
      </c>
      <c r="H107" s="50" t="str">
        <f t="shared" ca="1" si="11"/>
        <v/>
      </c>
      <c r="I107" s="50" t="str">
        <f t="shared" ca="1" si="11"/>
        <v/>
      </c>
      <c r="J107" s="50" t="str">
        <f t="shared" ca="1" si="11"/>
        <v/>
      </c>
      <c r="K107" s="50" t="str">
        <f t="shared" ca="1" si="11"/>
        <v/>
      </c>
      <c r="L107" s="50" t="str">
        <f t="shared" ca="1" si="11"/>
        <v/>
      </c>
      <c r="M107" s="50" t="str">
        <f t="shared" ca="1" si="11"/>
        <v/>
      </c>
      <c r="N107" s="50" t="str">
        <f t="shared" ca="1" si="11"/>
        <v/>
      </c>
      <c r="O107" s="50" t="str">
        <f t="shared" ca="1" si="11"/>
        <v/>
      </c>
      <c r="P107" s="50" t="str">
        <f t="shared" ca="1" si="11"/>
        <v/>
      </c>
      <c r="Q107" s="50" t="str">
        <f t="shared" ca="1" si="11"/>
        <v/>
      </c>
      <c r="R107" s="50" t="str">
        <f t="shared" ca="1" si="9"/>
        <v/>
      </c>
    </row>
    <row r="108" spans="1:18" x14ac:dyDescent="0.25">
      <c r="A108" s="21">
        <v>100</v>
      </c>
      <c r="B108" s="22" t="str">
        <f t="shared" ca="1" si="8"/>
        <v/>
      </c>
      <c r="C108" s="50" t="str">
        <f t="shared" ca="1" si="11"/>
        <v/>
      </c>
      <c r="D108" s="50" t="str">
        <f t="shared" ca="1" si="11"/>
        <v/>
      </c>
      <c r="E108" s="50" t="str">
        <f t="shared" ca="1" si="11"/>
        <v/>
      </c>
      <c r="F108" s="50" t="str">
        <f t="shared" ca="1" si="11"/>
        <v/>
      </c>
      <c r="G108" s="50" t="str">
        <f t="shared" ca="1" si="11"/>
        <v/>
      </c>
      <c r="H108" s="50" t="str">
        <f t="shared" ca="1" si="11"/>
        <v/>
      </c>
      <c r="I108" s="50" t="str">
        <f t="shared" ca="1" si="11"/>
        <v/>
      </c>
      <c r="J108" s="50" t="str">
        <f t="shared" ca="1" si="11"/>
        <v/>
      </c>
      <c r="K108" s="50" t="str">
        <f t="shared" ca="1" si="11"/>
        <v/>
      </c>
      <c r="L108" s="50" t="str">
        <f t="shared" ca="1" si="11"/>
        <v/>
      </c>
      <c r="M108" s="50" t="str">
        <f t="shared" ca="1" si="11"/>
        <v/>
      </c>
      <c r="N108" s="50" t="str">
        <f t="shared" ca="1" si="11"/>
        <v/>
      </c>
      <c r="O108" s="50" t="str">
        <f t="shared" ca="1" si="11"/>
        <v/>
      </c>
      <c r="P108" s="50" t="str">
        <f t="shared" ca="1" si="11"/>
        <v/>
      </c>
      <c r="Q108" s="50" t="str">
        <f t="shared" ca="1" si="11"/>
        <v/>
      </c>
      <c r="R108" s="50" t="str">
        <f t="shared" ca="1" si="9"/>
        <v/>
      </c>
    </row>
    <row r="109" spans="1:18" x14ac:dyDescent="0.25">
      <c r="A109" s="21">
        <v>101</v>
      </c>
      <c r="B109" s="22" t="str">
        <f t="shared" ca="1" si="8"/>
        <v/>
      </c>
      <c r="C109" s="50" t="str">
        <f t="shared" ref="C109:Q125" ca="1" si="12">IF(AND($B109=$S$4,C$5&lt;&gt;""),IF(VLOOKUP($A$1&amp;"-"&amp;$A109,INDIRECT($E$2&amp;$E$3),C$4+$B$4,0)="","","'"&amp;C$5&amp;"' =&gt; '"&amp;VLOOKUP($A$1&amp;"-"&amp;$A109,INDIRECT($E$2&amp;$E$3),C$4+$B$4,0)&amp;"', "),"")</f>
        <v/>
      </c>
      <c r="D109" s="50" t="str">
        <f t="shared" ca="1" si="12"/>
        <v/>
      </c>
      <c r="E109" s="50" t="str">
        <f t="shared" ca="1" si="12"/>
        <v/>
      </c>
      <c r="F109" s="50" t="str">
        <f t="shared" ca="1" si="12"/>
        <v/>
      </c>
      <c r="G109" s="50" t="str">
        <f t="shared" ca="1" si="12"/>
        <v/>
      </c>
      <c r="H109" s="50" t="str">
        <f t="shared" ca="1" si="12"/>
        <v/>
      </c>
      <c r="I109" s="50" t="str">
        <f t="shared" ca="1" si="12"/>
        <v/>
      </c>
      <c r="J109" s="50" t="str">
        <f t="shared" ca="1" si="12"/>
        <v/>
      </c>
      <c r="K109" s="50" t="str">
        <f t="shared" ca="1" si="12"/>
        <v/>
      </c>
      <c r="L109" s="50" t="str">
        <f t="shared" ca="1" si="12"/>
        <v/>
      </c>
      <c r="M109" s="50" t="str">
        <f t="shared" ca="1" si="12"/>
        <v/>
      </c>
      <c r="N109" s="50" t="str">
        <f t="shared" ca="1" si="12"/>
        <v/>
      </c>
      <c r="O109" s="50" t="str">
        <f t="shared" ca="1" si="12"/>
        <v/>
      </c>
      <c r="P109" s="50" t="str">
        <f t="shared" ca="1" si="12"/>
        <v/>
      </c>
      <c r="Q109" s="50" t="str">
        <f t="shared" ca="1" si="12"/>
        <v/>
      </c>
      <c r="R109" s="50" t="str">
        <f t="shared" ref="R109:R112" ca="1" si="13">IF(B109=$S$4,$T$4,"")</f>
        <v/>
      </c>
    </row>
    <row r="110" spans="1:18" x14ac:dyDescent="0.25">
      <c r="A110" s="21">
        <v>102</v>
      </c>
      <c r="B110" s="22" t="str">
        <f t="shared" ca="1" si="8"/>
        <v/>
      </c>
      <c r="C110" s="50" t="str">
        <f t="shared" ca="1" si="12"/>
        <v/>
      </c>
      <c r="D110" s="50" t="str">
        <f t="shared" ca="1" si="12"/>
        <v/>
      </c>
      <c r="E110" s="50" t="str">
        <f t="shared" ca="1" si="12"/>
        <v/>
      </c>
      <c r="F110" s="50" t="str">
        <f t="shared" ca="1" si="12"/>
        <v/>
      </c>
      <c r="G110" s="50" t="str">
        <f t="shared" ca="1" si="12"/>
        <v/>
      </c>
      <c r="H110" s="50" t="str">
        <f t="shared" ca="1" si="12"/>
        <v/>
      </c>
      <c r="I110" s="50" t="str">
        <f t="shared" ca="1" si="12"/>
        <v/>
      </c>
      <c r="J110" s="50" t="str">
        <f t="shared" ca="1" si="12"/>
        <v/>
      </c>
      <c r="K110" s="50" t="str">
        <f t="shared" ca="1" si="12"/>
        <v/>
      </c>
      <c r="L110" s="50" t="str">
        <f t="shared" ca="1" si="12"/>
        <v/>
      </c>
      <c r="M110" s="50" t="str">
        <f t="shared" ca="1" si="12"/>
        <v/>
      </c>
      <c r="N110" s="50" t="str">
        <f t="shared" ca="1" si="12"/>
        <v/>
      </c>
      <c r="O110" s="50" t="str">
        <f t="shared" ca="1" si="12"/>
        <v/>
      </c>
      <c r="P110" s="50" t="str">
        <f t="shared" ca="1" si="12"/>
        <v/>
      </c>
      <c r="Q110" s="50" t="str">
        <f t="shared" ca="1" si="12"/>
        <v/>
      </c>
      <c r="R110" s="50" t="str">
        <f t="shared" ca="1" si="13"/>
        <v/>
      </c>
    </row>
    <row r="111" spans="1:18" x14ac:dyDescent="0.25">
      <c r="A111" s="21">
        <v>103</v>
      </c>
      <c r="B111" s="22" t="str">
        <f t="shared" ca="1" si="8"/>
        <v/>
      </c>
      <c r="C111" s="50" t="str">
        <f t="shared" ca="1" si="12"/>
        <v/>
      </c>
      <c r="D111" s="50" t="str">
        <f t="shared" ca="1" si="12"/>
        <v/>
      </c>
      <c r="E111" s="50" t="str">
        <f t="shared" ca="1" si="12"/>
        <v/>
      </c>
      <c r="F111" s="50" t="str">
        <f t="shared" ca="1" si="12"/>
        <v/>
      </c>
      <c r="G111" s="50" t="str">
        <f t="shared" ca="1" si="12"/>
        <v/>
      </c>
      <c r="H111" s="50" t="str">
        <f t="shared" ca="1" si="12"/>
        <v/>
      </c>
      <c r="I111" s="50" t="str">
        <f t="shared" ca="1" si="12"/>
        <v/>
      </c>
      <c r="J111" s="50" t="str">
        <f t="shared" ca="1" si="12"/>
        <v/>
      </c>
      <c r="K111" s="50" t="str">
        <f t="shared" ca="1" si="12"/>
        <v/>
      </c>
      <c r="L111" s="50" t="str">
        <f t="shared" ca="1" si="12"/>
        <v/>
      </c>
      <c r="M111" s="50" t="str">
        <f t="shared" ca="1" si="12"/>
        <v/>
      </c>
      <c r="N111" s="50" t="str">
        <f t="shared" ca="1" si="12"/>
        <v/>
      </c>
      <c r="O111" s="50" t="str">
        <f t="shared" ca="1" si="12"/>
        <v/>
      </c>
      <c r="P111" s="50" t="str">
        <f t="shared" ca="1" si="12"/>
        <v/>
      </c>
      <c r="Q111" s="50" t="str">
        <f t="shared" ca="1" si="12"/>
        <v/>
      </c>
      <c r="R111" s="50" t="str">
        <f t="shared" ca="1" si="13"/>
        <v/>
      </c>
    </row>
    <row r="112" spans="1:18" x14ac:dyDescent="0.25">
      <c r="A112" s="21">
        <v>104</v>
      </c>
      <c r="B112" s="22" t="str">
        <f t="shared" ca="1" si="8"/>
        <v/>
      </c>
      <c r="C112" s="50" t="str">
        <f t="shared" ca="1" si="12"/>
        <v/>
      </c>
      <c r="D112" s="50" t="str">
        <f t="shared" ca="1" si="12"/>
        <v/>
      </c>
      <c r="E112" s="50" t="str">
        <f t="shared" ca="1" si="12"/>
        <v/>
      </c>
      <c r="F112" s="50" t="str">
        <f t="shared" ca="1" si="12"/>
        <v/>
      </c>
      <c r="G112" s="50" t="str">
        <f t="shared" ca="1" si="12"/>
        <v/>
      </c>
      <c r="H112" s="50" t="str">
        <f t="shared" ca="1" si="12"/>
        <v/>
      </c>
      <c r="I112" s="50" t="str">
        <f t="shared" ca="1" si="12"/>
        <v/>
      </c>
      <c r="J112" s="50" t="str">
        <f t="shared" ca="1" si="12"/>
        <v/>
      </c>
      <c r="K112" s="50" t="str">
        <f t="shared" ca="1" si="12"/>
        <v/>
      </c>
      <c r="L112" s="50" t="str">
        <f t="shared" ca="1" si="12"/>
        <v/>
      </c>
      <c r="M112" s="50" t="str">
        <f t="shared" ca="1" si="12"/>
        <v/>
      </c>
      <c r="N112" s="50" t="str">
        <f t="shared" ca="1" si="12"/>
        <v/>
      </c>
      <c r="O112" s="50" t="str">
        <f t="shared" ca="1" si="12"/>
        <v/>
      </c>
      <c r="P112" s="50" t="str">
        <f t="shared" ca="1" si="12"/>
        <v/>
      </c>
      <c r="Q112" s="50" t="str">
        <f t="shared" ca="1" si="12"/>
        <v/>
      </c>
      <c r="R112" s="50" t="str">
        <f t="shared" ca="1" si="13"/>
        <v/>
      </c>
    </row>
    <row r="113" spans="1:18" x14ac:dyDescent="0.25">
      <c r="A113" s="21">
        <v>105</v>
      </c>
      <c r="B113" s="22" t="str">
        <f t="shared" ca="1" si="8"/>
        <v/>
      </c>
      <c r="C113" s="50" t="str">
        <f t="shared" ca="1" si="12"/>
        <v/>
      </c>
      <c r="D113" s="50" t="str">
        <f t="shared" ca="1" si="12"/>
        <v/>
      </c>
      <c r="E113" s="50" t="str">
        <f t="shared" ca="1" si="12"/>
        <v/>
      </c>
      <c r="F113" s="50" t="str">
        <f t="shared" ca="1" si="12"/>
        <v/>
      </c>
      <c r="G113" s="50" t="str">
        <f t="shared" ca="1" si="12"/>
        <v/>
      </c>
      <c r="H113" s="50" t="str">
        <f t="shared" ca="1" si="12"/>
        <v/>
      </c>
      <c r="I113" s="50" t="str">
        <f t="shared" ca="1" si="12"/>
        <v/>
      </c>
      <c r="J113" s="50" t="str">
        <f t="shared" ca="1" si="12"/>
        <v/>
      </c>
      <c r="K113" s="50" t="str">
        <f t="shared" ca="1" si="12"/>
        <v/>
      </c>
      <c r="L113" s="50" t="str">
        <f t="shared" ca="1" si="12"/>
        <v/>
      </c>
      <c r="M113" s="50" t="str">
        <f t="shared" ca="1" si="12"/>
        <v/>
      </c>
      <c r="N113" s="50" t="str">
        <f t="shared" ca="1" si="12"/>
        <v/>
      </c>
      <c r="O113" s="50" t="str">
        <f t="shared" ca="1" si="12"/>
        <v/>
      </c>
      <c r="P113" s="50" t="str">
        <f t="shared" ca="1" si="12"/>
        <v/>
      </c>
      <c r="Q113" s="50" t="str">
        <f t="shared" ca="1" si="12"/>
        <v/>
      </c>
      <c r="R113" s="50" t="str">
        <f t="shared" ref="R113:R134" ca="1" si="14">IF(B113=$S$4,$T$4,"")</f>
        <v/>
      </c>
    </row>
    <row r="114" spans="1:18" x14ac:dyDescent="0.25">
      <c r="A114" s="21">
        <v>106</v>
      </c>
      <c r="B114" s="22" t="str">
        <f t="shared" ca="1" si="8"/>
        <v/>
      </c>
      <c r="C114" s="50" t="str">
        <f t="shared" ca="1" si="12"/>
        <v/>
      </c>
      <c r="D114" s="50" t="str">
        <f t="shared" ca="1" si="12"/>
        <v/>
      </c>
      <c r="E114" s="50" t="str">
        <f t="shared" ca="1" si="12"/>
        <v/>
      </c>
      <c r="F114" s="50" t="str">
        <f t="shared" ca="1" si="12"/>
        <v/>
      </c>
      <c r="G114" s="50" t="str">
        <f t="shared" ca="1" si="12"/>
        <v/>
      </c>
      <c r="H114" s="50" t="str">
        <f t="shared" ca="1" si="12"/>
        <v/>
      </c>
      <c r="I114" s="50" t="str">
        <f t="shared" ca="1" si="12"/>
        <v/>
      </c>
      <c r="J114" s="50" t="str">
        <f t="shared" ca="1" si="12"/>
        <v/>
      </c>
      <c r="K114" s="50" t="str">
        <f t="shared" ca="1" si="12"/>
        <v/>
      </c>
      <c r="L114" s="50" t="str">
        <f t="shared" ca="1" si="12"/>
        <v/>
      </c>
      <c r="M114" s="50" t="str">
        <f t="shared" ca="1" si="12"/>
        <v/>
      </c>
      <c r="N114" s="50" t="str">
        <f t="shared" ca="1" si="12"/>
        <v/>
      </c>
      <c r="O114" s="50" t="str">
        <f t="shared" ca="1" si="12"/>
        <v/>
      </c>
      <c r="P114" s="50" t="str">
        <f t="shared" ca="1" si="12"/>
        <v/>
      </c>
      <c r="Q114" s="50" t="str">
        <f t="shared" ca="1" si="12"/>
        <v/>
      </c>
      <c r="R114" s="50" t="str">
        <f t="shared" ca="1" si="14"/>
        <v/>
      </c>
    </row>
    <row r="115" spans="1:18" x14ac:dyDescent="0.25">
      <c r="A115" s="21">
        <v>107</v>
      </c>
      <c r="B115" s="22" t="str">
        <f t="shared" ca="1" si="8"/>
        <v/>
      </c>
      <c r="C115" s="50" t="str">
        <f t="shared" ca="1" si="12"/>
        <v/>
      </c>
      <c r="D115" s="50" t="str">
        <f t="shared" ca="1" si="12"/>
        <v/>
      </c>
      <c r="E115" s="50" t="str">
        <f t="shared" ca="1" si="12"/>
        <v/>
      </c>
      <c r="F115" s="50" t="str">
        <f t="shared" ca="1" si="12"/>
        <v/>
      </c>
      <c r="G115" s="50" t="str">
        <f t="shared" ca="1" si="12"/>
        <v/>
      </c>
      <c r="H115" s="50" t="str">
        <f t="shared" ca="1" si="12"/>
        <v/>
      </c>
      <c r="I115" s="50" t="str">
        <f t="shared" ca="1" si="12"/>
        <v/>
      </c>
      <c r="J115" s="50" t="str">
        <f t="shared" ca="1" si="12"/>
        <v/>
      </c>
      <c r="K115" s="50" t="str">
        <f t="shared" ca="1" si="12"/>
        <v/>
      </c>
      <c r="L115" s="50" t="str">
        <f t="shared" ca="1" si="12"/>
        <v/>
      </c>
      <c r="M115" s="50" t="str">
        <f t="shared" ca="1" si="12"/>
        <v/>
      </c>
      <c r="N115" s="50" t="str">
        <f t="shared" ca="1" si="12"/>
        <v/>
      </c>
      <c r="O115" s="50" t="str">
        <f t="shared" ca="1" si="12"/>
        <v/>
      </c>
      <c r="P115" s="50" t="str">
        <f t="shared" ca="1" si="12"/>
        <v/>
      </c>
      <c r="Q115" s="50" t="str">
        <f t="shared" ca="1" si="12"/>
        <v/>
      </c>
      <c r="R115" s="50" t="str">
        <f t="shared" ca="1" si="14"/>
        <v/>
      </c>
    </row>
    <row r="116" spans="1:18" x14ac:dyDescent="0.25">
      <c r="A116" s="21">
        <v>108</v>
      </c>
      <c r="B116" s="22" t="str">
        <f t="shared" ca="1" si="8"/>
        <v/>
      </c>
      <c r="C116" s="50" t="str">
        <f t="shared" ca="1" si="12"/>
        <v/>
      </c>
      <c r="D116" s="50" t="str">
        <f t="shared" ca="1" si="12"/>
        <v/>
      </c>
      <c r="E116" s="50" t="str">
        <f t="shared" ca="1" si="12"/>
        <v/>
      </c>
      <c r="F116" s="50" t="str">
        <f t="shared" ca="1" si="12"/>
        <v/>
      </c>
      <c r="G116" s="50" t="str">
        <f t="shared" ca="1" si="12"/>
        <v/>
      </c>
      <c r="H116" s="50" t="str">
        <f t="shared" ca="1" si="12"/>
        <v/>
      </c>
      <c r="I116" s="50" t="str">
        <f t="shared" ca="1" si="12"/>
        <v/>
      </c>
      <c r="J116" s="50" t="str">
        <f t="shared" ca="1" si="12"/>
        <v/>
      </c>
      <c r="K116" s="50" t="str">
        <f t="shared" ca="1" si="12"/>
        <v/>
      </c>
      <c r="L116" s="50" t="str">
        <f t="shared" ca="1" si="12"/>
        <v/>
      </c>
      <c r="M116" s="50" t="str">
        <f t="shared" ca="1" si="12"/>
        <v/>
      </c>
      <c r="N116" s="50" t="str">
        <f t="shared" ca="1" si="12"/>
        <v/>
      </c>
      <c r="O116" s="50" t="str">
        <f t="shared" ca="1" si="12"/>
        <v/>
      </c>
      <c r="P116" s="50" t="str">
        <f t="shared" ca="1" si="12"/>
        <v/>
      </c>
      <c r="Q116" s="50" t="str">
        <f t="shared" ca="1" si="12"/>
        <v/>
      </c>
      <c r="R116" s="50" t="str">
        <f t="shared" ca="1" si="14"/>
        <v/>
      </c>
    </row>
    <row r="117" spans="1:18" x14ac:dyDescent="0.25">
      <c r="A117" s="21">
        <v>109</v>
      </c>
      <c r="B117" s="22" t="str">
        <f t="shared" ca="1" si="8"/>
        <v/>
      </c>
      <c r="C117" s="50" t="str">
        <f t="shared" ca="1" si="12"/>
        <v/>
      </c>
      <c r="D117" s="50" t="str">
        <f t="shared" ca="1" si="12"/>
        <v/>
      </c>
      <c r="E117" s="50" t="str">
        <f t="shared" ca="1" si="12"/>
        <v/>
      </c>
      <c r="F117" s="50" t="str">
        <f t="shared" ca="1" si="12"/>
        <v/>
      </c>
      <c r="G117" s="50" t="str">
        <f t="shared" ca="1" si="12"/>
        <v/>
      </c>
      <c r="H117" s="50" t="str">
        <f t="shared" ca="1" si="12"/>
        <v/>
      </c>
      <c r="I117" s="50" t="str">
        <f t="shared" ca="1" si="12"/>
        <v/>
      </c>
      <c r="J117" s="50" t="str">
        <f t="shared" ca="1" si="12"/>
        <v/>
      </c>
      <c r="K117" s="50" t="str">
        <f t="shared" ca="1" si="12"/>
        <v/>
      </c>
      <c r="L117" s="50" t="str">
        <f t="shared" ca="1" si="12"/>
        <v/>
      </c>
      <c r="M117" s="50" t="str">
        <f t="shared" ca="1" si="12"/>
        <v/>
      </c>
      <c r="N117" s="50" t="str">
        <f t="shared" ca="1" si="12"/>
        <v/>
      </c>
      <c r="O117" s="50" t="str">
        <f t="shared" ca="1" si="12"/>
        <v/>
      </c>
      <c r="P117" s="50" t="str">
        <f t="shared" ca="1" si="12"/>
        <v/>
      </c>
      <c r="Q117" s="50" t="str">
        <f t="shared" ca="1" si="12"/>
        <v/>
      </c>
      <c r="R117" s="50" t="str">
        <f t="shared" ca="1" si="14"/>
        <v/>
      </c>
    </row>
    <row r="118" spans="1:18" x14ac:dyDescent="0.25">
      <c r="A118" s="21">
        <v>110</v>
      </c>
      <c r="B118" s="22" t="str">
        <f t="shared" ca="1" si="8"/>
        <v/>
      </c>
      <c r="C118" s="50" t="str">
        <f t="shared" ca="1" si="12"/>
        <v/>
      </c>
      <c r="D118" s="50" t="str">
        <f t="shared" ca="1" si="12"/>
        <v/>
      </c>
      <c r="E118" s="50" t="str">
        <f t="shared" ca="1" si="12"/>
        <v/>
      </c>
      <c r="F118" s="50" t="str">
        <f t="shared" ca="1" si="12"/>
        <v/>
      </c>
      <c r="G118" s="50" t="str">
        <f t="shared" ca="1" si="12"/>
        <v/>
      </c>
      <c r="H118" s="50" t="str">
        <f t="shared" ca="1" si="12"/>
        <v/>
      </c>
      <c r="I118" s="50" t="str">
        <f t="shared" ca="1" si="12"/>
        <v/>
      </c>
      <c r="J118" s="50" t="str">
        <f t="shared" ca="1" si="12"/>
        <v/>
      </c>
      <c r="K118" s="50" t="str">
        <f t="shared" ca="1" si="12"/>
        <v/>
      </c>
      <c r="L118" s="50" t="str">
        <f t="shared" ca="1" si="12"/>
        <v/>
      </c>
      <c r="M118" s="50" t="str">
        <f t="shared" ca="1" si="12"/>
        <v/>
      </c>
      <c r="N118" s="50" t="str">
        <f t="shared" ca="1" si="12"/>
        <v/>
      </c>
      <c r="O118" s="50" t="str">
        <f t="shared" ca="1" si="12"/>
        <v/>
      </c>
      <c r="P118" s="50" t="str">
        <f t="shared" ca="1" si="12"/>
        <v/>
      </c>
      <c r="Q118" s="50" t="str">
        <f t="shared" ca="1" si="12"/>
        <v/>
      </c>
      <c r="R118" s="50" t="str">
        <f t="shared" ca="1" si="14"/>
        <v/>
      </c>
    </row>
    <row r="119" spans="1:18" x14ac:dyDescent="0.25">
      <c r="A119" s="21">
        <v>111</v>
      </c>
      <c r="B119" s="22" t="str">
        <f t="shared" ca="1" si="8"/>
        <v/>
      </c>
      <c r="C119" s="50" t="str">
        <f t="shared" ca="1" si="12"/>
        <v/>
      </c>
      <c r="D119" s="50" t="str">
        <f t="shared" ca="1" si="12"/>
        <v/>
      </c>
      <c r="E119" s="50" t="str">
        <f t="shared" ca="1" si="12"/>
        <v/>
      </c>
      <c r="F119" s="50" t="str">
        <f t="shared" ca="1" si="12"/>
        <v/>
      </c>
      <c r="G119" s="50" t="str">
        <f t="shared" ca="1" si="12"/>
        <v/>
      </c>
      <c r="H119" s="50" t="str">
        <f t="shared" ca="1" si="12"/>
        <v/>
      </c>
      <c r="I119" s="50" t="str">
        <f t="shared" ca="1" si="12"/>
        <v/>
      </c>
      <c r="J119" s="50" t="str">
        <f t="shared" ca="1" si="12"/>
        <v/>
      </c>
      <c r="K119" s="50" t="str">
        <f t="shared" ca="1" si="12"/>
        <v/>
      </c>
      <c r="L119" s="50" t="str">
        <f t="shared" ca="1" si="12"/>
        <v/>
      </c>
      <c r="M119" s="50" t="str">
        <f t="shared" ca="1" si="12"/>
        <v/>
      </c>
      <c r="N119" s="50" t="str">
        <f t="shared" ca="1" si="12"/>
        <v/>
      </c>
      <c r="O119" s="50" t="str">
        <f t="shared" ca="1" si="12"/>
        <v/>
      </c>
      <c r="P119" s="50" t="str">
        <f t="shared" ca="1" si="12"/>
        <v/>
      </c>
      <c r="Q119" s="50" t="str">
        <f t="shared" ca="1" si="12"/>
        <v/>
      </c>
      <c r="R119" s="50" t="str">
        <f t="shared" ca="1" si="14"/>
        <v/>
      </c>
    </row>
    <row r="120" spans="1:18" x14ac:dyDescent="0.25">
      <c r="A120" s="21">
        <v>112</v>
      </c>
      <c r="B120" s="22" t="str">
        <f t="shared" ca="1" si="8"/>
        <v/>
      </c>
      <c r="C120" s="50" t="str">
        <f t="shared" ca="1" si="12"/>
        <v/>
      </c>
      <c r="D120" s="50" t="str">
        <f t="shared" ca="1" si="12"/>
        <v/>
      </c>
      <c r="E120" s="50" t="str">
        <f t="shared" ca="1" si="12"/>
        <v/>
      </c>
      <c r="F120" s="50" t="str">
        <f t="shared" ca="1" si="12"/>
        <v/>
      </c>
      <c r="G120" s="50" t="str">
        <f t="shared" ca="1" si="12"/>
        <v/>
      </c>
      <c r="H120" s="50" t="str">
        <f t="shared" ca="1" si="12"/>
        <v/>
      </c>
      <c r="I120" s="50" t="str">
        <f t="shared" ca="1" si="12"/>
        <v/>
      </c>
      <c r="J120" s="50" t="str">
        <f t="shared" ca="1" si="12"/>
        <v/>
      </c>
      <c r="K120" s="50" t="str">
        <f t="shared" ca="1" si="12"/>
        <v/>
      </c>
      <c r="L120" s="50" t="str">
        <f t="shared" ca="1" si="12"/>
        <v/>
      </c>
      <c r="M120" s="50" t="str">
        <f t="shared" ca="1" si="12"/>
        <v/>
      </c>
      <c r="N120" s="50" t="str">
        <f t="shared" ca="1" si="12"/>
        <v/>
      </c>
      <c r="O120" s="50" t="str">
        <f t="shared" ca="1" si="12"/>
        <v/>
      </c>
      <c r="P120" s="50" t="str">
        <f t="shared" ca="1" si="12"/>
        <v/>
      </c>
      <c r="Q120" s="50" t="str">
        <f t="shared" ca="1" si="12"/>
        <v/>
      </c>
      <c r="R120" s="50" t="str">
        <f t="shared" ca="1" si="14"/>
        <v/>
      </c>
    </row>
    <row r="121" spans="1:18" x14ac:dyDescent="0.25">
      <c r="A121" s="21">
        <v>113</v>
      </c>
      <c r="B121" s="22" t="str">
        <f t="shared" ca="1" si="8"/>
        <v/>
      </c>
      <c r="C121" s="50" t="str">
        <f t="shared" ca="1" si="12"/>
        <v/>
      </c>
      <c r="D121" s="50" t="str">
        <f t="shared" ca="1" si="12"/>
        <v/>
      </c>
      <c r="E121" s="50" t="str">
        <f t="shared" ca="1" si="12"/>
        <v/>
      </c>
      <c r="F121" s="50" t="str">
        <f t="shared" ca="1" si="12"/>
        <v/>
      </c>
      <c r="G121" s="50" t="str">
        <f t="shared" ca="1" si="12"/>
        <v/>
      </c>
      <c r="H121" s="50" t="str">
        <f t="shared" ca="1" si="12"/>
        <v/>
      </c>
      <c r="I121" s="50" t="str">
        <f t="shared" ca="1" si="12"/>
        <v/>
      </c>
      <c r="J121" s="50" t="str">
        <f t="shared" ca="1" si="12"/>
        <v/>
      </c>
      <c r="K121" s="50" t="str">
        <f t="shared" ca="1" si="12"/>
        <v/>
      </c>
      <c r="L121" s="50" t="str">
        <f t="shared" ca="1" si="12"/>
        <v/>
      </c>
      <c r="M121" s="50" t="str">
        <f t="shared" ca="1" si="12"/>
        <v/>
      </c>
      <c r="N121" s="50" t="str">
        <f t="shared" ca="1" si="12"/>
        <v/>
      </c>
      <c r="O121" s="50" t="str">
        <f t="shared" ca="1" si="12"/>
        <v/>
      </c>
      <c r="P121" s="50" t="str">
        <f t="shared" ca="1" si="12"/>
        <v/>
      </c>
      <c r="Q121" s="50" t="str">
        <f t="shared" ca="1" si="12"/>
        <v/>
      </c>
      <c r="R121" s="50" t="str">
        <f t="shared" ca="1" si="14"/>
        <v/>
      </c>
    </row>
    <row r="122" spans="1:18" x14ac:dyDescent="0.25">
      <c r="A122" s="21">
        <v>114</v>
      </c>
      <c r="B122" s="22" t="str">
        <f t="shared" ca="1" si="8"/>
        <v/>
      </c>
      <c r="C122" s="50" t="str">
        <f t="shared" ca="1" si="12"/>
        <v/>
      </c>
      <c r="D122" s="50" t="str">
        <f t="shared" ca="1" si="12"/>
        <v/>
      </c>
      <c r="E122" s="50" t="str">
        <f t="shared" ca="1" si="12"/>
        <v/>
      </c>
      <c r="F122" s="50" t="str">
        <f t="shared" ca="1" si="12"/>
        <v/>
      </c>
      <c r="G122" s="50" t="str">
        <f t="shared" ca="1" si="12"/>
        <v/>
      </c>
      <c r="H122" s="50" t="str">
        <f t="shared" ca="1" si="12"/>
        <v/>
      </c>
      <c r="I122" s="50" t="str">
        <f t="shared" ca="1" si="12"/>
        <v/>
      </c>
      <c r="J122" s="50" t="str">
        <f t="shared" ca="1" si="12"/>
        <v/>
      </c>
      <c r="K122" s="50" t="str">
        <f t="shared" ca="1" si="12"/>
        <v/>
      </c>
      <c r="L122" s="50" t="str">
        <f t="shared" ca="1" si="12"/>
        <v/>
      </c>
      <c r="M122" s="50" t="str">
        <f t="shared" ca="1" si="12"/>
        <v/>
      </c>
      <c r="N122" s="50" t="str">
        <f t="shared" ca="1" si="12"/>
        <v/>
      </c>
      <c r="O122" s="50" t="str">
        <f t="shared" ca="1" si="12"/>
        <v/>
      </c>
      <c r="P122" s="50" t="str">
        <f t="shared" ca="1" si="12"/>
        <v/>
      </c>
      <c r="Q122" s="50" t="str">
        <f t="shared" ca="1" si="12"/>
        <v/>
      </c>
      <c r="R122" s="50" t="str">
        <f t="shared" ca="1" si="14"/>
        <v/>
      </c>
    </row>
    <row r="123" spans="1:18" x14ac:dyDescent="0.25">
      <c r="A123" s="21">
        <v>115</v>
      </c>
      <c r="B123" s="22" t="str">
        <f t="shared" ca="1" si="8"/>
        <v/>
      </c>
      <c r="C123" s="50" t="str">
        <f t="shared" ca="1" si="12"/>
        <v/>
      </c>
      <c r="D123" s="50" t="str">
        <f t="shared" ca="1" si="12"/>
        <v/>
      </c>
      <c r="E123" s="50" t="str">
        <f t="shared" ca="1" si="12"/>
        <v/>
      </c>
      <c r="F123" s="50" t="str">
        <f t="shared" ca="1" si="12"/>
        <v/>
      </c>
      <c r="G123" s="50" t="str">
        <f t="shared" ca="1" si="12"/>
        <v/>
      </c>
      <c r="H123" s="50" t="str">
        <f t="shared" ca="1" si="12"/>
        <v/>
      </c>
      <c r="I123" s="50" t="str">
        <f t="shared" ca="1" si="12"/>
        <v/>
      </c>
      <c r="J123" s="50" t="str">
        <f t="shared" ca="1" si="12"/>
        <v/>
      </c>
      <c r="K123" s="50" t="str">
        <f t="shared" ca="1" si="12"/>
        <v/>
      </c>
      <c r="L123" s="50" t="str">
        <f t="shared" ca="1" si="12"/>
        <v/>
      </c>
      <c r="M123" s="50" t="str">
        <f t="shared" ca="1" si="12"/>
        <v/>
      </c>
      <c r="N123" s="50" t="str">
        <f t="shared" ca="1" si="12"/>
        <v/>
      </c>
      <c r="O123" s="50" t="str">
        <f t="shared" ca="1" si="12"/>
        <v/>
      </c>
      <c r="P123" s="50" t="str">
        <f t="shared" ca="1" si="12"/>
        <v/>
      </c>
      <c r="Q123" s="50" t="str">
        <f t="shared" ca="1" si="12"/>
        <v/>
      </c>
      <c r="R123" s="50" t="str">
        <f t="shared" ca="1" si="14"/>
        <v/>
      </c>
    </row>
    <row r="124" spans="1:18" x14ac:dyDescent="0.25">
      <c r="A124" s="21">
        <v>116</v>
      </c>
      <c r="B124" s="22" t="str">
        <f t="shared" ca="1" si="8"/>
        <v/>
      </c>
      <c r="C124" s="50" t="str">
        <f t="shared" ca="1" si="12"/>
        <v/>
      </c>
      <c r="D124" s="50" t="str">
        <f t="shared" ca="1" si="12"/>
        <v/>
      </c>
      <c r="E124" s="50" t="str">
        <f t="shared" ca="1" si="12"/>
        <v/>
      </c>
      <c r="F124" s="50" t="str">
        <f t="shared" ca="1" si="12"/>
        <v/>
      </c>
      <c r="G124" s="50" t="str">
        <f t="shared" ca="1" si="12"/>
        <v/>
      </c>
      <c r="H124" s="50" t="str">
        <f t="shared" ca="1" si="12"/>
        <v/>
      </c>
      <c r="I124" s="50" t="str">
        <f t="shared" ca="1" si="12"/>
        <v/>
      </c>
      <c r="J124" s="50" t="str">
        <f t="shared" ca="1" si="12"/>
        <v/>
      </c>
      <c r="K124" s="50" t="str">
        <f t="shared" ca="1" si="12"/>
        <v/>
      </c>
      <c r="L124" s="50" t="str">
        <f t="shared" ca="1" si="12"/>
        <v/>
      </c>
      <c r="M124" s="50" t="str">
        <f t="shared" ca="1" si="12"/>
        <v/>
      </c>
      <c r="N124" s="50" t="str">
        <f t="shared" ca="1" si="12"/>
        <v/>
      </c>
      <c r="O124" s="50" t="str">
        <f t="shared" ca="1" si="12"/>
        <v/>
      </c>
      <c r="P124" s="50" t="str">
        <f t="shared" ca="1" si="12"/>
        <v/>
      </c>
      <c r="Q124" s="50" t="str">
        <f t="shared" ca="1" si="12"/>
        <v/>
      </c>
      <c r="R124" s="50" t="str">
        <f t="shared" ca="1" si="14"/>
        <v/>
      </c>
    </row>
    <row r="125" spans="1:18" x14ac:dyDescent="0.25">
      <c r="A125" s="21">
        <v>117</v>
      </c>
      <c r="B125" s="22" t="str">
        <f t="shared" ca="1" si="8"/>
        <v/>
      </c>
      <c r="C125" s="50" t="str">
        <f t="shared" ca="1" si="12"/>
        <v/>
      </c>
      <c r="D125" s="50" t="str">
        <f t="shared" ca="1" si="12"/>
        <v/>
      </c>
      <c r="E125" s="50" t="str">
        <f t="shared" ca="1" si="12"/>
        <v/>
      </c>
      <c r="F125" s="50" t="str">
        <f t="shared" ca="1" si="12"/>
        <v/>
      </c>
      <c r="G125" s="50" t="str">
        <f t="shared" ca="1" si="12"/>
        <v/>
      </c>
      <c r="H125" s="50" t="str">
        <f t="shared" ca="1" si="12"/>
        <v/>
      </c>
      <c r="I125" s="50" t="str">
        <f t="shared" ca="1" si="12"/>
        <v/>
      </c>
      <c r="J125" s="50" t="str">
        <f t="shared" ca="1" si="12"/>
        <v/>
      </c>
      <c r="K125" s="50" t="str">
        <f t="shared" ca="1" si="12"/>
        <v/>
      </c>
      <c r="L125" s="50" t="str">
        <f t="shared" ca="1" si="12"/>
        <v/>
      </c>
      <c r="M125" s="50" t="str">
        <f t="shared" ca="1" si="12"/>
        <v/>
      </c>
      <c r="N125" s="50" t="str">
        <f t="shared" ca="1" si="12"/>
        <v/>
      </c>
      <c r="O125" s="50" t="str">
        <f t="shared" ca="1" si="12"/>
        <v/>
      </c>
      <c r="P125" s="50" t="str">
        <f t="shared" ca="1" si="12"/>
        <v/>
      </c>
      <c r="Q125" s="50" t="str">
        <f t="shared" ca="1" si="12"/>
        <v/>
      </c>
      <c r="R125" s="50" t="str">
        <f t="shared" ca="1" si="14"/>
        <v/>
      </c>
    </row>
    <row r="126" spans="1:18" x14ac:dyDescent="0.25">
      <c r="A126" s="21">
        <v>118</v>
      </c>
      <c r="B126" s="22" t="str">
        <f t="shared" ca="1" si="8"/>
        <v/>
      </c>
      <c r="C126" s="50" t="str">
        <f t="shared" ref="C126:Q142" ca="1" si="15">IF(AND($B126=$S$4,C$5&lt;&gt;""),IF(VLOOKUP($A$1&amp;"-"&amp;$A126,INDIRECT($E$2&amp;$E$3),C$4+$B$4,0)="","","'"&amp;C$5&amp;"' =&gt; '"&amp;VLOOKUP($A$1&amp;"-"&amp;$A126,INDIRECT($E$2&amp;$E$3),C$4+$B$4,0)&amp;"', "),"")</f>
        <v/>
      </c>
      <c r="D126" s="50" t="str">
        <f t="shared" ca="1" si="15"/>
        <v/>
      </c>
      <c r="E126" s="50" t="str">
        <f t="shared" ca="1" si="15"/>
        <v/>
      </c>
      <c r="F126" s="50" t="str">
        <f t="shared" ca="1" si="15"/>
        <v/>
      </c>
      <c r="G126" s="50" t="str">
        <f t="shared" ca="1" si="15"/>
        <v/>
      </c>
      <c r="H126" s="50" t="str">
        <f t="shared" ca="1" si="15"/>
        <v/>
      </c>
      <c r="I126" s="50" t="str">
        <f t="shared" ca="1" si="15"/>
        <v/>
      </c>
      <c r="J126" s="50" t="str">
        <f t="shared" ca="1" si="15"/>
        <v/>
      </c>
      <c r="K126" s="50" t="str">
        <f t="shared" ca="1" si="15"/>
        <v/>
      </c>
      <c r="L126" s="50" t="str">
        <f t="shared" ca="1" si="15"/>
        <v/>
      </c>
      <c r="M126" s="50" t="str">
        <f t="shared" ca="1" si="15"/>
        <v/>
      </c>
      <c r="N126" s="50" t="str">
        <f t="shared" ca="1" si="15"/>
        <v/>
      </c>
      <c r="O126" s="50" t="str">
        <f t="shared" ca="1" si="15"/>
        <v/>
      </c>
      <c r="P126" s="50" t="str">
        <f t="shared" ca="1" si="15"/>
        <v/>
      </c>
      <c r="Q126" s="50" t="str">
        <f t="shared" ca="1" si="15"/>
        <v/>
      </c>
      <c r="R126" s="50" t="str">
        <f t="shared" ca="1" si="14"/>
        <v/>
      </c>
    </row>
    <row r="127" spans="1:18" x14ac:dyDescent="0.25">
      <c r="A127" s="21">
        <v>119</v>
      </c>
      <c r="B127" s="22" t="str">
        <f t="shared" ca="1" si="8"/>
        <v/>
      </c>
      <c r="C127" s="50" t="str">
        <f t="shared" ca="1" si="15"/>
        <v/>
      </c>
      <c r="D127" s="50" t="str">
        <f t="shared" ca="1" si="15"/>
        <v/>
      </c>
      <c r="E127" s="50" t="str">
        <f t="shared" ca="1" si="15"/>
        <v/>
      </c>
      <c r="F127" s="50" t="str">
        <f t="shared" ca="1" si="15"/>
        <v/>
      </c>
      <c r="G127" s="50" t="str">
        <f t="shared" ca="1" si="15"/>
        <v/>
      </c>
      <c r="H127" s="50" t="str">
        <f t="shared" ca="1" si="15"/>
        <v/>
      </c>
      <c r="I127" s="50" t="str">
        <f t="shared" ca="1" si="15"/>
        <v/>
      </c>
      <c r="J127" s="50" t="str">
        <f t="shared" ca="1" si="15"/>
        <v/>
      </c>
      <c r="K127" s="50" t="str">
        <f t="shared" ca="1" si="15"/>
        <v/>
      </c>
      <c r="L127" s="50" t="str">
        <f t="shared" ca="1" si="15"/>
        <v/>
      </c>
      <c r="M127" s="50" t="str">
        <f t="shared" ca="1" si="15"/>
        <v/>
      </c>
      <c r="N127" s="50" t="str">
        <f t="shared" ca="1" si="15"/>
        <v/>
      </c>
      <c r="O127" s="50" t="str">
        <f t="shared" ca="1" si="15"/>
        <v/>
      </c>
      <c r="P127" s="50" t="str">
        <f t="shared" ca="1" si="15"/>
        <v/>
      </c>
      <c r="Q127" s="50" t="str">
        <f t="shared" ca="1" si="15"/>
        <v/>
      </c>
      <c r="R127" s="50" t="str">
        <f t="shared" ca="1" si="14"/>
        <v/>
      </c>
    </row>
    <row r="128" spans="1:18" x14ac:dyDescent="0.25">
      <c r="A128" s="21">
        <v>120</v>
      </c>
      <c r="B128" s="22" t="str">
        <f t="shared" ca="1" si="8"/>
        <v/>
      </c>
      <c r="C128" s="50" t="str">
        <f t="shared" ca="1" si="15"/>
        <v/>
      </c>
      <c r="D128" s="50" t="str">
        <f t="shared" ca="1" si="15"/>
        <v/>
      </c>
      <c r="E128" s="50" t="str">
        <f t="shared" ca="1" si="15"/>
        <v/>
      </c>
      <c r="F128" s="50" t="str">
        <f t="shared" ca="1" si="15"/>
        <v/>
      </c>
      <c r="G128" s="50" t="str">
        <f t="shared" ca="1" si="15"/>
        <v/>
      </c>
      <c r="H128" s="50" t="str">
        <f t="shared" ca="1" si="15"/>
        <v/>
      </c>
      <c r="I128" s="50" t="str">
        <f t="shared" ca="1" si="15"/>
        <v/>
      </c>
      <c r="J128" s="50" t="str">
        <f t="shared" ca="1" si="15"/>
        <v/>
      </c>
      <c r="K128" s="50" t="str">
        <f t="shared" ca="1" si="15"/>
        <v/>
      </c>
      <c r="L128" s="50" t="str">
        <f t="shared" ca="1" si="15"/>
        <v/>
      </c>
      <c r="M128" s="50" t="str">
        <f t="shared" ca="1" si="15"/>
        <v/>
      </c>
      <c r="N128" s="50" t="str">
        <f t="shared" ca="1" si="15"/>
        <v/>
      </c>
      <c r="O128" s="50" t="str">
        <f t="shared" ca="1" si="15"/>
        <v/>
      </c>
      <c r="P128" s="50" t="str">
        <f t="shared" ca="1" si="15"/>
        <v/>
      </c>
      <c r="Q128" s="50" t="str">
        <f t="shared" ca="1" si="15"/>
        <v/>
      </c>
      <c r="R128" s="50" t="str">
        <f t="shared" ca="1" si="14"/>
        <v/>
      </c>
    </row>
    <row r="129" spans="1:18" x14ac:dyDescent="0.25">
      <c r="A129" s="21">
        <v>121</v>
      </c>
      <c r="B129" s="22" t="str">
        <f t="shared" ca="1" si="8"/>
        <v/>
      </c>
      <c r="C129" s="50" t="str">
        <f t="shared" ca="1" si="15"/>
        <v/>
      </c>
      <c r="D129" s="50" t="str">
        <f t="shared" ca="1" si="15"/>
        <v/>
      </c>
      <c r="E129" s="50" t="str">
        <f t="shared" ca="1" si="15"/>
        <v/>
      </c>
      <c r="F129" s="50" t="str">
        <f t="shared" ca="1" si="15"/>
        <v/>
      </c>
      <c r="G129" s="50" t="str">
        <f t="shared" ca="1" si="15"/>
        <v/>
      </c>
      <c r="H129" s="50" t="str">
        <f t="shared" ca="1" si="15"/>
        <v/>
      </c>
      <c r="I129" s="50" t="str">
        <f t="shared" ca="1" si="15"/>
        <v/>
      </c>
      <c r="J129" s="50" t="str">
        <f t="shared" ca="1" si="15"/>
        <v/>
      </c>
      <c r="K129" s="50" t="str">
        <f t="shared" ca="1" si="15"/>
        <v/>
      </c>
      <c r="L129" s="50" t="str">
        <f t="shared" ca="1" si="15"/>
        <v/>
      </c>
      <c r="M129" s="50" t="str">
        <f t="shared" ca="1" si="15"/>
        <v/>
      </c>
      <c r="N129" s="50" t="str">
        <f t="shared" ca="1" si="15"/>
        <v/>
      </c>
      <c r="O129" s="50" t="str">
        <f t="shared" ca="1" si="15"/>
        <v/>
      </c>
      <c r="P129" s="50" t="str">
        <f t="shared" ca="1" si="15"/>
        <v/>
      </c>
      <c r="Q129" s="50" t="str">
        <f t="shared" ca="1" si="15"/>
        <v/>
      </c>
      <c r="R129" s="50" t="str">
        <f t="shared" ca="1" si="14"/>
        <v/>
      </c>
    </row>
    <row r="130" spans="1:18" x14ac:dyDescent="0.25">
      <c r="A130" s="21">
        <v>122</v>
      </c>
      <c r="B130" s="22" t="str">
        <f t="shared" ca="1" si="8"/>
        <v/>
      </c>
      <c r="C130" s="50" t="str">
        <f t="shared" ca="1" si="15"/>
        <v/>
      </c>
      <c r="D130" s="50" t="str">
        <f t="shared" ca="1" si="15"/>
        <v/>
      </c>
      <c r="E130" s="50" t="str">
        <f t="shared" ca="1" si="15"/>
        <v/>
      </c>
      <c r="F130" s="50" t="str">
        <f t="shared" ca="1" si="15"/>
        <v/>
      </c>
      <c r="G130" s="50" t="str">
        <f t="shared" ca="1" si="15"/>
        <v/>
      </c>
      <c r="H130" s="50" t="str">
        <f t="shared" ca="1" si="15"/>
        <v/>
      </c>
      <c r="I130" s="50" t="str">
        <f t="shared" ca="1" si="15"/>
        <v/>
      </c>
      <c r="J130" s="50" t="str">
        <f t="shared" ca="1" si="15"/>
        <v/>
      </c>
      <c r="K130" s="50" t="str">
        <f t="shared" ca="1" si="15"/>
        <v/>
      </c>
      <c r="L130" s="50" t="str">
        <f t="shared" ca="1" si="15"/>
        <v/>
      </c>
      <c r="M130" s="50" t="str">
        <f t="shared" ca="1" si="15"/>
        <v/>
      </c>
      <c r="N130" s="50" t="str">
        <f t="shared" ca="1" si="15"/>
        <v/>
      </c>
      <c r="O130" s="50" t="str">
        <f t="shared" ca="1" si="15"/>
        <v/>
      </c>
      <c r="P130" s="50" t="str">
        <f t="shared" ca="1" si="15"/>
        <v/>
      </c>
      <c r="Q130" s="50" t="str">
        <f t="shared" ca="1" si="15"/>
        <v/>
      </c>
      <c r="R130" s="50" t="str">
        <f t="shared" ca="1" si="14"/>
        <v/>
      </c>
    </row>
    <row r="131" spans="1:18" x14ac:dyDescent="0.25">
      <c r="A131" s="21">
        <v>123</v>
      </c>
      <c r="B131" s="22" t="str">
        <f t="shared" ca="1" si="8"/>
        <v/>
      </c>
      <c r="C131" s="50" t="str">
        <f t="shared" ca="1" si="15"/>
        <v/>
      </c>
      <c r="D131" s="50" t="str">
        <f t="shared" ca="1" si="15"/>
        <v/>
      </c>
      <c r="E131" s="50" t="str">
        <f t="shared" ca="1" si="15"/>
        <v/>
      </c>
      <c r="F131" s="50" t="str">
        <f t="shared" ca="1" si="15"/>
        <v/>
      </c>
      <c r="G131" s="50" t="str">
        <f t="shared" ca="1" si="15"/>
        <v/>
      </c>
      <c r="H131" s="50" t="str">
        <f t="shared" ca="1" si="15"/>
        <v/>
      </c>
      <c r="I131" s="50" t="str">
        <f t="shared" ca="1" si="15"/>
        <v/>
      </c>
      <c r="J131" s="50" t="str">
        <f t="shared" ca="1" si="15"/>
        <v/>
      </c>
      <c r="K131" s="50" t="str">
        <f t="shared" ca="1" si="15"/>
        <v/>
      </c>
      <c r="L131" s="50" t="str">
        <f t="shared" ca="1" si="15"/>
        <v/>
      </c>
      <c r="M131" s="50" t="str">
        <f t="shared" ca="1" si="15"/>
        <v/>
      </c>
      <c r="N131" s="50" t="str">
        <f t="shared" ca="1" si="15"/>
        <v/>
      </c>
      <c r="O131" s="50" t="str">
        <f t="shared" ca="1" si="15"/>
        <v/>
      </c>
      <c r="P131" s="50" t="str">
        <f t="shared" ca="1" si="15"/>
        <v/>
      </c>
      <c r="Q131" s="50" t="str">
        <f t="shared" ca="1" si="15"/>
        <v/>
      </c>
      <c r="R131" s="50" t="str">
        <f t="shared" ca="1" si="14"/>
        <v/>
      </c>
    </row>
    <row r="132" spans="1:18" x14ac:dyDescent="0.25">
      <c r="A132" s="21">
        <v>124</v>
      </c>
      <c r="B132" s="22" t="str">
        <f t="shared" ca="1" si="8"/>
        <v/>
      </c>
      <c r="C132" s="50" t="str">
        <f t="shared" ca="1" si="15"/>
        <v/>
      </c>
      <c r="D132" s="50" t="str">
        <f t="shared" ca="1" si="15"/>
        <v/>
      </c>
      <c r="E132" s="50" t="str">
        <f t="shared" ca="1" si="15"/>
        <v/>
      </c>
      <c r="F132" s="50" t="str">
        <f t="shared" ca="1" si="15"/>
        <v/>
      </c>
      <c r="G132" s="50" t="str">
        <f t="shared" ca="1" si="15"/>
        <v/>
      </c>
      <c r="H132" s="50" t="str">
        <f t="shared" ca="1" si="15"/>
        <v/>
      </c>
      <c r="I132" s="50" t="str">
        <f t="shared" ca="1" si="15"/>
        <v/>
      </c>
      <c r="J132" s="50" t="str">
        <f t="shared" ca="1" si="15"/>
        <v/>
      </c>
      <c r="K132" s="50" t="str">
        <f t="shared" ca="1" si="15"/>
        <v/>
      </c>
      <c r="L132" s="50" t="str">
        <f t="shared" ca="1" si="15"/>
        <v/>
      </c>
      <c r="M132" s="50" t="str">
        <f t="shared" ca="1" si="15"/>
        <v/>
      </c>
      <c r="N132" s="50" t="str">
        <f t="shared" ca="1" si="15"/>
        <v/>
      </c>
      <c r="O132" s="50" t="str">
        <f t="shared" ca="1" si="15"/>
        <v/>
      </c>
      <c r="P132" s="50" t="str">
        <f t="shared" ca="1" si="15"/>
        <v/>
      </c>
      <c r="Q132" s="50" t="str">
        <f t="shared" ca="1" si="15"/>
        <v/>
      </c>
      <c r="R132" s="50" t="str">
        <f t="shared" ca="1" si="14"/>
        <v/>
      </c>
    </row>
    <row r="133" spans="1:18" x14ac:dyDescent="0.25">
      <c r="A133" s="21">
        <v>125</v>
      </c>
      <c r="B133" s="22" t="str">
        <f t="shared" ca="1" si="8"/>
        <v/>
      </c>
      <c r="C133" s="50" t="str">
        <f t="shared" ca="1" si="15"/>
        <v/>
      </c>
      <c r="D133" s="50" t="str">
        <f t="shared" ca="1" si="15"/>
        <v/>
      </c>
      <c r="E133" s="50" t="str">
        <f t="shared" ca="1" si="15"/>
        <v/>
      </c>
      <c r="F133" s="50" t="str">
        <f t="shared" ca="1" si="15"/>
        <v/>
      </c>
      <c r="G133" s="50" t="str">
        <f t="shared" ca="1" si="15"/>
        <v/>
      </c>
      <c r="H133" s="50" t="str">
        <f t="shared" ca="1" si="15"/>
        <v/>
      </c>
      <c r="I133" s="50" t="str">
        <f t="shared" ca="1" si="15"/>
        <v/>
      </c>
      <c r="J133" s="50" t="str">
        <f t="shared" ca="1" si="15"/>
        <v/>
      </c>
      <c r="K133" s="50" t="str">
        <f t="shared" ca="1" si="15"/>
        <v/>
      </c>
      <c r="L133" s="50" t="str">
        <f t="shared" ca="1" si="15"/>
        <v/>
      </c>
      <c r="M133" s="50" t="str">
        <f t="shared" ca="1" si="15"/>
        <v/>
      </c>
      <c r="N133" s="50" t="str">
        <f t="shared" ca="1" si="15"/>
        <v/>
      </c>
      <c r="O133" s="50" t="str">
        <f t="shared" ca="1" si="15"/>
        <v/>
      </c>
      <c r="P133" s="50" t="str">
        <f t="shared" ca="1" si="15"/>
        <v/>
      </c>
      <c r="Q133" s="50" t="str">
        <f t="shared" ca="1" si="15"/>
        <v/>
      </c>
      <c r="R133" s="50" t="str">
        <f t="shared" ca="1" si="14"/>
        <v/>
      </c>
    </row>
    <row r="134" spans="1:18" x14ac:dyDescent="0.25">
      <c r="A134" s="21">
        <v>126</v>
      </c>
      <c r="B134" s="22" t="str">
        <f t="shared" ca="1" si="8"/>
        <v/>
      </c>
      <c r="C134" s="50" t="str">
        <f t="shared" ca="1" si="15"/>
        <v/>
      </c>
      <c r="D134" s="50" t="str">
        <f t="shared" ca="1" si="15"/>
        <v/>
      </c>
      <c r="E134" s="50" t="str">
        <f t="shared" ca="1" si="15"/>
        <v/>
      </c>
      <c r="F134" s="50" t="str">
        <f t="shared" ca="1" si="15"/>
        <v/>
      </c>
      <c r="G134" s="50" t="str">
        <f t="shared" ca="1" si="15"/>
        <v/>
      </c>
      <c r="H134" s="50" t="str">
        <f t="shared" ca="1" si="15"/>
        <v/>
      </c>
      <c r="I134" s="50" t="str">
        <f t="shared" ca="1" si="15"/>
        <v/>
      </c>
      <c r="J134" s="50" t="str">
        <f t="shared" ca="1" si="15"/>
        <v/>
      </c>
      <c r="K134" s="50" t="str">
        <f t="shared" ca="1" si="15"/>
        <v/>
      </c>
      <c r="L134" s="50" t="str">
        <f t="shared" ca="1" si="15"/>
        <v/>
      </c>
      <c r="M134" s="50" t="str">
        <f t="shared" ca="1" si="15"/>
        <v/>
      </c>
      <c r="N134" s="50" t="str">
        <f t="shared" ca="1" si="15"/>
        <v/>
      </c>
      <c r="O134" s="50" t="str">
        <f t="shared" ca="1" si="15"/>
        <v/>
      </c>
      <c r="P134" s="50" t="str">
        <f t="shared" ca="1" si="15"/>
        <v/>
      </c>
      <c r="Q134" s="50" t="str">
        <f t="shared" ca="1" si="15"/>
        <v/>
      </c>
      <c r="R134" s="50" t="str">
        <f t="shared" ca="1" si="14"/>
        <v/>
      </c>
    </row>
    <row r="135" spans="1:18" x14ac:dyDescent="0.25">
      <c r="A135" s="21">
        <v>127</v>
      </c>
      <c r="B135" s="22" t="str">
        <f t="shared" ca="1" si="8"/>
        <v/>
      </c>
      <c r="C135" s="50" t="str">
        <f t="shared" ca="1" si="15"/>
        <v/>
      </c>
      <c r="D135" s="50" t="str">
        <f t="shared" ca="1" si="15"/>
        <v/>
      </c>
      <c r="E135" s="50" t="str">
        <f t="shared" ca="1" si="15"/>
        <v/>
      </c>
      <c r="F135" s="50" t="str">
        <f t="shared" ca="1" si="15"/>
        <v/>
      </c>
      <c r="G135" s="50" t="str">
        <f t="shared" ca="1" si="15"/>
        <v/>
      </c>
      <c r="H135" s="50" t="str">
        <f t="shared" ca="1" si="15"/>
        <v/>
      </c>
      <c r="I135" s="50" t="str">
        <f t="shared" ca="1" si="15"/>
        <v/>
      </c>
      <c r="J135" s="50" t="str">
        <f t="shared" ca="1" si="15"/>
        <v/>
      </c>
      <c r="K135" s="50" t="str">
        <f t="shared" ca="1" si="15"/>
        <v/>
      </c>
      <c r="L135" s="50" t="str">
        <f t="shared" ca="1" si="15"/>
        <v/>
      </c>
      <c r="M135" s="50" t="str">
        <f t="shared" ca="1" si="15"/>
        <v/>
      </c>
      <c r="N135" s="50" t="str">
        <f t="shared" ca="1" si="15"/>
        <v/>
      </c>
      <c r="O135" s="50" t="str">
        <f t="shared" ca="1" si="15"/>
        <v/>
      </c>
      <c r="P135" s="50" t="str">
        <f t="shared" ca="1" si="15"/>
        <v/>
      </c>
      <c r="Q135" s="50" t="str">
        <f t="shared" ca="1" si="15"/>
        <v/>
      </c>
      <c r="R135" s="50" t="str">
        <f t="shared" ref="R135:R198" ca="1" si="16">IF(B135=$S$4,$T$4,"")</f>
        <v/>
      </c>
    </row>
    <row r="136" spans="1:18" x14ac:dyDescent="0.25">
      <c r="A136" s="21">
        <v>128</v>
      </c>
      <c r="B136" s="22" t="str">
        <f t="shared" ca="1" si="8"/>
        <v/>
      </c>
      <c r="C136" s="50" t="str">
        <f t="shared" ca="1" si="15"/>
        <v/>
      </c>
      <c r="D136" s="50" t="str">
        <f t="shared" ca="1" si="15"/>
        <v/>
      </c>
      <c r="E136" s="50" t="str">
        <f t="shared" ca="1" si="15"/>
        <v/>
      </c>
      <c r="F136" s="50" t="str">
        <f t="shared" ca="1" si="15"/>
        <v/>
      </c>
      <c r="G136" s="50" t="str">
        <f t="shared" ca="1" si="15"/>
        <v/>
      </c>
      <c r="H136" s="50" t="str">
        <f t="shared" ca="1" si="15"/>
        <v/>
      </c>
      <c r="I136" s="50" t="str">
        <f t="shared" ca="1" si="15"/>
        <v/>
      </c>
      <c r="J136" s="50" t="str">
        <f t="shared" ca="1" si="15"/>
        <v/>
      </c>
      <c r="K136" s="50" t="str">
        <f t="shared" ca="1" si="15"/>
        <v/>
      </c>
      <c r="L136" s="50" t="str">
        <f t="shared" ca="1" si="15"/>
        <v/>
      </c>
      <c r="M136" s="50" t="str">
        <f t="shared" ca="1" si="15"/>
        <v/>
      </c>
      <c r="N136" s="50" t="str">
        <f t="shared" ca="1" si="15"/>
        <v/>
      </c>
      <c r="O136" s="50" t="str">
        <f t="shared" ca="1" si="15"/>
        <v/>
      </c>
      <c r="P136" s="50" t="str">
        <f t="shared" ca="1" si="15"/>
        <v/>
      </c>
      <c r="Q136" s="50" t="str">
        <f t="shared" ca="1" si="15"/>
        <v/>
      </c>
      <c r="R136" s="50" t="str">
        <f t="shared" ca="1" si="16"/>
        <v/>
      </c>
    </row>
    <row r="137" spans="1:18" x14ac:dyDescent="0.25">
      <c r="A137" s="21">
        <v>129</v>
      </c>
      <c r="B137" s="22" t="str">
        <f t="shared" ca="1" si="8"/>
        <v/>
      </c>
      <c r="C137" s="50" t="str">
        <f t="shared" ca="1" si="15"/>
        <v/>
      </c>
      <c r="D137" s="50" t="str">
        <f t="shared" ca="1" si="15"/>
        <v/>
      </c>
      <c r="E137" s="50" t="str">
        <f t="shared" ca="1" si="15"/>
        <v/>
      </c>
      <c r="F137" s="50" t="str">
        <f t="shared" ca="1" si="15"/>
        <v/>
      </c>
      <c r="G137" s="50" t="str">
        <f t="shared" ca="1" si="15"/>
        <v/>
      </c>
      <c r="H137" s="50" t="str">
        <f t="shared" ca="1" si="15"/>
        <v/>
      </c>
      <c r="I137" s="50" t="str">
        <f t="shared" ca="1" si="15"/>
        <v/>
      </c>
      <c r="J137" s="50" t="str">
        <f t="shared" ca="1" si="15"/>
        <v/>
      </c>
      <c r="K137" s="50" t="str">
        <f t="shared" ca="1" si="15"/>
        <v/>
      </c>
      <c r="L137" s="50" t="str">
        <f t="shared" ca="1" si="15"/>
        <v/>
      </c>
      <c r="M137" s="50" t="str">
        <f t="shared" ca="1" si="15"/>
        <v/>
      </c>
      <c r="N137" s="50" t="str">
        <f t="shared" ca="1" si="15"/>
        <v/>
      </c>
      <c r="O137" s="50" t="str">
        <f t="shared" ca="1" si="15"/>
        <v/>
      </c>
      <c r="P137" s="50" t="str">
        <f t="shared" ca="1" si="15"/>
        <v/>
      </c>
      <c r="Q137" s="50" t="str">
        <f t="shared" ca="1" si="15"/>
        <v/>
      </c>
      <c r="R137" s="50" t="str">
        <f t="shared" ca="1" si="16"/>
        <v/>
      </c>
    </row>
    <row r="138" spans="1:18" x14ac:dyDescent="0.25">
      <c r="A138" s="21">
        <v>130</v>
      </c>
      <c r="B138" s="22" t="str">
        <f t="shared" ref="B138:B201" ca="1" si="17">IF($B137="","",IF($B137=";",$I$3,IF($B137=$I$3,"",IF(ISNA(VLOOKUP($A$1&amp;"-"&amp;$A138,INDIRECT($E$2&amp;$E$3),1,0)),";",$S$4))))</f>
        <v/>
      </c>
      <c r="C138" s="50" t="str">
        <f t="shared" ca="1" si="15"/>
        <v/>
      </c>
      <c r="D138" s="50" t="str">
        <f t="shared" ca="1" si="15"/>
        <v/>
      </c>
      <c r="E138" s="50" t="str">
        <f t="shared" ca="1" si="15"/>
        <v/>
      </c>
      <c r="F138" s="50" t="str">
        <f t="shared" ca="1" si="15"/>
        <v/>
      </c>
      <c r="G138" s="50" t="str">
        <f t="shared" ca="1" si="15"/>
        <v/>
      </c>
      <c r="H138" s="50" t="str">
        <f t="shared" ca="1" si="15"/>
        <v/>
      </c>
      <c r="I138" s="50" t="str">
        <f t="shared" ca="1" si="15"/>
        <v/>
      </c>
      <c r="J138" s="50" t="str">
        <f t="shared" ca="1" si="15"/>
        <v/>
      </c>
      <c r="K138" s="50" t="str">
        <f t="shared" ca="1" si="15"/>
        <v/>
      </c>
      <c r="L138" s="50" t="str">
        <f t="shared" ca="1" si="15"/>
        <v/>
      </c>
      <c r="M138" s="50" t="str">
        <f t="shared" ca="1" si="15"/>
        <v/>
      </c>
      <c r="N138" s="50" t="str">
        <f t="shared" ca="1" si="15"/>
        <v/>
      </c>
      <c r="O138" s="50" t="str">
        <f t="shared" ca="1" si="15"/>
        <v/>
      </c>
      <c r="P138" s="50" t="str">
        <f t="shared" ca="1" si="15"/>
        <v/>
      </c>
      <c r="Q138" s="50" t="str">
        <f t="shared" ca="1" si="15"/>
        <v/>
      </c>
      <c r="R138" s="50" t="str">
        <f t="shared" ca="1" si="16"/>
        <v/>
      </c>
    </row>
    <row r="139" spans="1:18" x14ac:dyDescent="0.25">
      <c r="A139" s="21">
        <v>131</v>
      </c>
      <c r="B139" s="22" t="str">
        <f t="shared" ca="1" si="17"/>
        <v/>
      </c>
      <c r="C139" s="50" t="str">
        <f t="shared" ca="1" si="15"/>
        <v/>
      </c>
      <c r="D139" s="50" t="str">
        <f t="shared" ca="1" si="15"/>
        <v/>
      </c>
      <c r="E139" s="50" t="str">
        <f t="shared" ca="1" si="15"/>
        <v/>
      </c>
      <c r="F139" s="50" t="str">
        <f t="shared" ca="1" si="15"/>
        <v/>
      </c>
      <c r="G139" s="50" t="str">
        <f t="shared" ca="1" si="15"/>
        <v/>
      </c>
      <c r="H139" s="50" t="str">
        <f t="shared" ca="1" si="15"/>
        <v/>
      </c>
      <c r="I139" s="50" t="str">
        <f t="shared" ca="1" si="15"/>
        <v/>
      </c>
      <c r="J139" s="50" t="str">
        <f t="shared" ca="1" si="15"/>
        <v/>
      </c>
      <c r="K139" s="50" t="str">
        <f t="shared" ca="1" si="15"/>
        <v/>
      </c>
      <c r="L139" s="50" t="str">
        <f t="shared" ca="1" si="15"/>
        <v/>
      </c>
      <c r="M139" s="50" t="str">
        <f t="shared" ca="1" si="15"/>
        <v/>
      </c>
      <c r="N139" s="50" t="str">
        <f t="shared" ca="1" si="15"/>
        <v/>
      </c>
      <c r="O139" s="50" t="str">
        <f t="shared" ca="1" si="15"/>
        <v/>
      </c>
      <c r="P139" s="50" t="str">
        <f t="shared" ca="1" si="15"/>
        <v/>
      </c>
      <c r="Q139" s="50" t="str">
        <f t="shared" ca="1" si="15"/>
        <v/>
      </c>
      <c r="R139" s="50" t="str">
        <f t="shared" ca="1" si="16"/>
        <v/>
      </c>
    </row>
    <row r="140" spans="1:18" x14ac:dyDescent="0.25">
      <c r="A140" s="21">
        <v>132</v>
      </c>
      <c r="B140" s="22" t="str">
        <f t="shared" ca="1" si="17"/>
        <v/>
      </c>
      <c r="C140" s="50" t="str">
        <f t="shared" ca="1" si="15"/>
        <v/>
      </c>
      <c r="D140" s="50" t="str">
        <f t="shared" ca="1" si="15"/>
        <v/>
      </c>
      <c r="E140" s="50" t="str">
        <f t="shared" ca="1" si="15"/>
        <v/>
      </c>
      <c r="F140" s="50" t="str">
        <f t="shared" ca="1" si="15"/>
        <v/>
      </c>
      <c r="G140" s="50" t="str">
        <f t="shared" ca="1" si="15"/>
        <v/>
      </c>
      <c r="H140" s="50" t="str">
        <f t="shared" ca="1" si="15"/>
        <v/>
      </c>
      <c r="I140" s="50" t="str">
        <f t="shared" ca="1" si="15"/>
        <v/>
      </c>
      <c r="J140" s="50" t="str">
        <f t="shared" ca="1" si="15"/>
        <v/>
      </c>
      <c r="K140" s="50" t="str">
        <f t="shared" ca="1" si="15"/>
        <v/>
      </c>
      <c r="L140" s="50" t="str">
        <f t="shared" ca="1" si="15"/>
        <v/>
      </c>
      <c r="M140" s="50" t="str">
        <f t="shared" ca="1" si="15"/>
        <v/>
      </c>
      <c r="N140" s="50" t="str">
        <f t="shared" ca="1" si="15"/>
        <v/>
      </c>
      <c r="O140" s="50" t="str">
        <f t="shared" ca="1" si="15"/>
        <v/>
      </c>
      <c r="P140" s="50" t="str">
        <f t="shared" ca="1" si="15"/>
        <v/>
      </c>
      <c r="Q140" s="50" t="str">
        <f t="shared" ca="1" si="15"/>
        <v/>
      </c>
      <c r="R140" s="50" t="str">
        <f t="shared" ca="1" si="16"/>
        <v/>
      </c>
    </row>
    <row r="141" spans="1:18" x14ac:dyDescent="0.25">
      <c r="A141" s="21">
        <v>133</v>
      </c>
      <c r="B141" s="22" t="str">
        <f t="shared" ca="1" si="17"/>
        <v/>
      </c>
      <c r="C141" s="50" t="str">
        <f t="shared" ca="1" si="15"/>
        <v/>
      </c>
      <c r="D141" s="50" t="str">
        <f t="shared" ca="1" si="15"/>
        <v/>
      </c>
      <c r="E141" s="50" t="str">
        <f t="shared" ca="1" si="15"/>
        <v/>
      </c>
      <c r="F141" s="50" t="str">
        <f t="shared" ca="1" si="15"/>
        <v/>
      </c>
      <c r="G141" s="50" t="str">
        <f t="shared" ca="1" si="15"/>
        <v/>
      </c>
      <c r="H141" s="50" t="str">
        <f t="shared" ca="1" si="15"/>
        <v/>
      </c>
      <c r="I141" s="50" t="str">
        <f t="shared" ca="1" si="15"/>
        <v/>
      </c>
      <c r="J141" s="50" t="str">
        <f t="shared" ca="1" si="15"/>
        <v/>
      </c>
      <c r="K141" s="50" t="str">
        <f t="shared" ca="1" si="15"/>
        <v/>
      </c>
      <c r="L141" s="50" t="str">
        <f t="shared" ca="1" si="15"/>
        <v/>
      </c>
      <c r="M141" s="50" t="str">
        <f t="shared" ca="1" si="15"/>
        <v/>
      </c>
      <c r="N141" s="50" t="str">
        <f t="shared" ca="1" si="15"/>
        <v/>
      </c>
      <c r="O141" s="50" t="str">
        <f t="shared" ca="1" si="15"/>
        <v/>
      </c>
      <c r="P141" s="50" t="str">
        <f t="shared" ca="1" si="15"/>
        <v/>
      </c>
      <c r="Q141" s="50" t="str">
        <f t="shared" ca="1" si="15"/>
        <v/>
      </c>
      <c r="R141" s="50" t="str">
        <f t="shared" ca="1" si="16"/>
        <v/>
      </c>
    </row>
    <row r="142" spans="1:18" x14ac:dyDescent="0.25">
      <c r="A142" s="21">
        <v>134</v>
      </c>
      <c r="B142" s="22" t="str">
        <f t="shared" ca="1" si="17"/>
        <v/>
      </c>
      <c r="C142" s="50" t="str">
        <f t="shared" ca="1" si="15"/>
        <v/>
      </c>
      <c r="D142" s="50" t="str">
        <f t="shared" ca="1" si="15"/>
        <v/>
      </c>
      <c r="E142" s="50" t="str">
        <f t="shared" ca="1" si="15"/>
        <v/>
      </c>
      <c r="F142" s="50" t="str">
        <f t="shared" ca="1" si="15"/>
        <v/>
      </c>
      <c r="G142" s="50" t="str">
        <f t="shared" ca="1" si="15"/>
        <v/>
      </c>
      <c r="H142" s="50" t="str">
        <f t="shared" ca="1" si="15"/>
        <v/>
      </c>
      <c r="I142" s="50" t="str">
        <f t="shared" ca="1" si="15"/>
        <v/>
      </c>
      <c r="J142" s="50" t="str">
        <f t="shared" ca="1" si="15"/>
        <v/>
      </c>
      <c r="K142" s="50" t="str">
        <f t="shared" ca="1" si="15"/>
        <v/>
      </c>
      <c r="L142" s="50" t="str">
        <f t="shared" ca="1" si="15"/>
        <v/>
      </c>
      <c r="M142" s="50" t="str">
        <f t="shared" ca="1" si="15"/>
        <v/>
      </c>
      <c r="N142" s="50" t="str">
        <f t="shared" ca="1" si="15"/>
        <v/>
      </c>
      <c r="O142" s="50" t="str">
        <f t="shared" ca="1" si="15"/>
        <v/>
      </c>
      <c r="P142" s="50" t="str">
        <f t="shared" ca="1" si="15"/>
        <v/>
      </c>
      <c r="Q142" s="50" t="str">
        <f t="shared" ca="1" si="15"/>
        <v/>
      </c>
      <c r="R142" s="50" t="str">
        <f t="shared" ca="1" si="16"/>
        <v/>
      </c>
    </row>
    <row r="143" spans="1:18" x14ac:dyDescent="0.25">
      <c r="A143" s="21">
        <v>135</v>
      </c>
      <c r="B143" s="22" t="str">
        <f t="shared" ca="1" si="17"/>
        <v/>
      </c>
      <c r="C143" s="50" t="str">
        <f t="shared" ref="C143:Q159" ca="1" si="18">IF(AND($B143=$S$4,C$5&lt;&gt;""),IF(VLOOKUP($A$1&amp;"-"&amp;$A143,INDIRECT($E$2&amp;$E$3),C$4+$B$4,0)="","","'"&amp;C$5&amp;"' =&gt; '"&amp;VLOOKUP($A$1&amp;"-"&amp;$A143,INDIRECT($E$2&amp;$E$3),C$4+$B$4,0)&amp;"', "),"")</f>
        <v/>
      </c>
      <c r="D143" s="50" t="str">
        <f t="shared" ca="1" si="18"/>
        <v/>
      </c>
      <c r="E143" s="50" t="str">
        <f t="shared" ca="1" si="18"/>
        <v/>
      </c>
      <c r="F143" s="50" t="str">
        <f t="shared" ca="1" si="18"/>
        <v/>
      </c>
      <c r="G143" s="50" t="str">
        <f t="shared" ca="1" si="18"/>
        <v/>
      </c>
      <c r="H143" s="50" t="str">
        <f t="shared" ca="1" si="18"/>
        <v/>
      </c>
      <c r="I143" s="50" t="str">
        <f t="shared" ca="1" si="18"/>
        <v/>
      </c>
      <c r="J143" s="50" t="str">
        <f t="shared" ca="1" si="18"/>
        <v/>
      </c>
      <c r="K143" s="50" t="str">
        <f t="shared" ca="1" si="18"/>
        <v/>
      </c>
      <c r="L143" s="50" t="str">
        <f t="shared" ca="1" si="18"/>
        <v/>
      </c>
      <c r="M143" s="50" t="str">
        <f t="shared" ca="1" si="18"/>
        <v/>
      </c>
      <c r="N143" s="50" t="str">
        <f t="shared" ca="1" si="18"/>
        <v/>
      </c>
      <c r="O143" s="50" t="str">
        <f t="shared" ca="1" si="18"/>
        <v/>
      </c>
      <c r="P143" s="50" t="str">
        <f t="shared" ca="1" si="18"/>
        <v/>
      </c>
      <c r="Q143" s="50" t="str">
        <f t="shared" ca="1" si="18"/>
        <v/>
      </c>
      <c r="R143" s="50" t="str">
        <f t="shared" ca="1" si="16"/>
        <v/>
      </c>
    </row>
    <row r="144" spans="1:18" x14ac:dyDescent="0.25">
      <c r="A144" s="21">
        <v>136</v>
      </c>
      <c r="B144" s="22" t="str">
        <f t="shared" ca="1" si="17"/>
        <v/>
      </c>
      <c r="C144" s="50" t="str">
        <f t="shared" ca="1" si="18"/>
        <v/>
      </c>
      <c r="D144" s="50" t="str">
        <f t="shared" ca="1" si="18"/>
        <v/>
      </c>
      <c r="E144" s="50" t="str">
        <f t="shared" ca="1" si="18"/>
        <v/>
      </c>
      <c r="F144" s="50" t="str">
        <f t="shared" ca="1" si="18"/>
        <v/>
      </c>
      <c r="G144" s="50" t="str">
        <f t="shared" ca="1" si="18"/>
        <v/>
      </c>
      <c r="H144" s="50" t="str">
        <f t="shared" ca="1" si="18"/>
        <v/>
      </c>
      <c r="I144" s="50" t="str">
        <f t="shared" ca="1" si="18"/>
        <v/>
      </c>
      <c r="J144" s="50" t="str">
        <f t="shared" ca="1" si="18"/>
        <v/>
      </c>
      <c r="K144" s="50" t="str">
        <f t="shared" ca="1" si="18"/>
        <v/>
      </c>
      <c r="L144" s="50" t="str">
        <f t="shared" ca="1" si="18"/>
        <v/>
      </c>
      <c r="M144" s="50" t="str">
        <f t="shared" ca="1" si="18"/>
        <v/>
      </c>
      <c r="N144" s="50" t="str">
        <f t="shared" ca="1" si="18"/>
        <v/>
      </c>
      <c r="O144" s="50" t="str">
        <f t="shared" ca="1" si="18"/>
        <v/>
      </c>
      <c r="P144" s="50" t="str">
        <f t="shared" ca="1" si="18"/>
        <v/>
      </c>
      <c r="Q144" s="50" t="str">
        <f t="shared" ca="1" si="18"/>
        <v/>
      </c>
      <c r="R144" s="50" t="str">
        <f t="shared" ca="1" si="16"/>
        <v/>
      </c>
    </row>
    <row r="145" spans="1:18" x14ac:dyDescent="0.25">
      <c r="A145" s="21">
        <v>137</v>
      </c>
      <c r="B145" s="22" t="str">
        <f t="shared" ca="1" si="17"/>
        <v/>
      </c>
      <c r="C145" s="50" t="str">
        <f t="shared" ca="1" si="18"/>
        <v/>
      </c>
      <c r="D145" s="50" t="str">
        <f t="shared" ca="1" si="18"/>
        <v/>
      </c>
      <c r="E145" s="50" t="str">
        <f t="shared" ca="1" si="18"/>
        <v/>
      </c>
      <c r="F145" s="50" t="str">
        <f t="shared" ca="1" si="18"/>
        <v/>
      </c>
      <c r="G145" s="50" t="str">
        <f t="shared" ca="1" si="18"/>
        <v/>
      </c>
      <c r="H145" s="50" t="str">
        <f t="shared" ca="1" si="18"/>
        <v/>
      </c>
      <c r="I145" s="50" t="str">
        <f t="shared" ca="1" si="18"/>
        <v/>
      </c>
      <c r="J145" s="50" t="str">
        <f t="shared" ca="1" si="18"/>
        <v/>
      </c>
      <c r="K145" s="50" t="str">
        <f t="shared" ca="1" si="18"/>
        <v/>
      </c>
      <c r="L145" s="50" t="str">
        <f t="shared" ca="1" si="18"/>
        <v/>
      </c>
      <c r="M145" s="50" t="str">
        <f t="shared" ca="1" si="18"/>
        <v/>
      </c>
      <c r="N145" s="50" t="str">
        <f t="shared" ca="1" si="18"/>
        <v/>
      </c>
      <c r="O145" s="50" t="str">
        <f t="shared" ca="1" si="18"/>
        <v/>
      </c>
      <c r="P145" s="50" t="str">
        <f t="shared" ca="1" si="18"/>
        <v/>
      </c>
      <c r="Q145" s="50" t="str">
        <f t="shared" ca="1" si="18"/>
        <v/>
      </c>
      <c r="R145" s="50" t="str">
        <f t="shared" ca="1" si="16"/>
        <v/>
      </c>
    </row>
    <row r="146" spans="1:18" x14ac:dyDescent="0.25">
      <c r="A146" s="21">
        <v>138</v>
      </c>
      <c r="B146" s="22" t="str">
        <f t="shared" ca="1" si="17"/>
        <v/>
      </c>
      <c r="C146" s="50" t="str">
        <f t="shared" ca="1" si="18"/>
        <v/>
      </c>
      <c r="D146" s="50" t="str">
        <f t="shared" ca="1" si="18"/>
        <v/>
      </c>
      <c r="E146" s="50" t="str">
        <f t="shared" ca="1" si="18"/>
        <v/>
      </c>
      <c r="F146" s="50" t="str">
        <f t="shared" ca="1" si="18"/>
        <v/>
      </c>
      <c r="G146" s="50" t="str">
        <f t="shared" ca="1" si="18"/>
        <v/>
      </c>
      <c r="H146" s="50" t="str">
        <f t="shared" ca="1" si="18"/>
        <v/>
      </c>
      <c r="I146" s="50" t="str">
        <f t="shared" ca="1" si="18"/>
        <v/>
      </c>
      <c r="J146" s="50" t="str">
        <f t="shared" ca="1" si="18"/>
        <v/>
      </c>
      <c r="K146" s="50" t="str">
        <f t="shared" ca="1" si="18"/>
        <v/>
      </c>
      <c r="L146" s="50" t="str">
        <f t="shared" ca="1" si="18"/>
        <v/>
      </c>
      <c r="M146" s="50" t="str">
        <f t="shared" ca="1" si="18"/>
        <v/>
      </c>
      <c r="N146" s="50" t="str">
        <f t="shared" ca="1" si="18"/>
        <v/>
      </c>
      <c r="O146" s="50" t="str">
        <f t="shared" ca="1" si="18"/>
        <v/>
      </c>
      <c r="P146" s="50" t="str">
        <f t="shared" ca="1" si="18"/>
        <v/>
      </c>
      <c r="Q146" s="50" t="str">
        <f t="shared" ca="1" si="18"/>
        <v/>
      </c>
      <c r="R146" s="50" t="str">
        <f t="shared" ca="1" si="16"/>
        <v/>
      </c>
    </row>
    <row r="147" spans="1:18" x14ac:dyDescent="0.25">
      <c r="A147" s="21">
        <v>139</v>
      </c>
      <c r="B147" s="22" t="str">
        <f t="shared" ca="1" si="17"/>
        <v/>
      </c>
      <c r="C147" s="50" t="str">
        <f t="shared" ca="1" si="18"/>
        <v/>
      </c>
      <c r="D147" s="50" t="str">
        <f t="shared" ca="1" si="18"/>
        <v/>
      </c>
      <c r="E147" s="50" t="str">
        <f t="shared" ca="1" si="18"/>
        <v/>
      </c>
      <c r="F147" s="50" t="str">
        <f t="shared" ca="1" si="18"/>
        <v/>
      </c>
      <c r="G147" s="50" t="str">
        <f t="shared" ca="1" si="18"/>
        <v/>
      </c>
      <c r="H147" s="50" t="str">
        <f t="shared" ca="1" si="18"/>
        <v/>
      </c>
      <c r="I147" s="50" t="str">
        <f t="shared" ca="1" si="18"/>
        <v/>
      </c>
      <c r="J147" s="50" t="str">
        <f t="shared" ca="1" si="18"/>
        <v/>
      </c>
      <c r="K147" s="50" t="str">
        <f t="shared" ca="1" si="18"/>
        <v/>
      </c>
      <c r="L147" s="50" t="str">
        <f t="shared" ca="1" si="18"/>
        <v/>
      </c>
      <c r="M147" s="50" t="str">
        <f t="shared" ca="1" si="18"/>
        <v/>
      </c>
      <c r="N147" s="50" t="str">
        <f t="shared" ca="1" si="18"/>
        <v/>
      </c>
      <c r="O147" s="50" t="str">
        <f t="shared" ca="1" si="18"/>
        <v/>
      </c>
      <c r="P147" s="50" t="str">
        <f t="shared" ca="1" si="18"/>
        <v/>
      </c>
      <c r="Q147" s="50" t="str">
        <f t="shared" ca="1" si="18"/>
        <v/>
      </c>
      <c r="R147" s="50" t="str">
        <f t="shared" ca="1" si="16"/>
        <v/>
      </c>
    </row>
    <row r="148" spans="1:18" x14ac:dyDescent="0.25">
      <c r="A148" s="21">
        <v>140</v>
      </c>
      <c r="B148" s="22" t="str">
        <f t="shared" ca="1" si="17"/>
        <v/>
      </c>
      <c r="C148" s="50" t="str">
        <f t="shared" ca="1" si="18"/>
        <v/>
      </c>
      <c r="D148" s="50" t="str">
        <f t="shared" ca="1" si="18"/>
        <v/>
      </c>
      <c r="E148" s="50" t="str">
        <f t="shared" ca="1" si="18"/>
        <v/>
      </c>
      <c r="F148" s="50" t="str">
        <f t="shared" ca="1" si="18"/>
        <v/>
      </c>
      <c r="G148" s="50" t="str">
        <f t="shared" ca="1" si="18"/>
        <v/>
      </c>
      <c r="H148" s="50" t="str">
        <f t="shared" ca="1" si="18"/>
        <v/>
      </c>
      <c r="I148" s="50" t="str">
        <f t="shared" ca="1" si="18"/>
        <v/>
      </c>
      <c r="J148" s="50" t="str">
        <f t="shared" ca="1" si="18"/>
        <v/>
      </c>
      <c r="K148" s="50" t="str">
        <f t="shared" ca="1" si="18"/>
        <v/>
      </c>
      <c r="L148" s="50" t="str">
        <f t="shared" ca="1" si="18"/>
        <v/>
      </c>
      <c r="M148" s="50" t="str">
        <f t="shared" ca="1" si="18"/>
        <v/>
      </c>
      <c r="N148" s="50" t="str">
        <f t="shared" ca="1" si="18"/>
        <v/>
      </c>
      <c r="O148" s="50" t="str">
        <f t="shared" ca="1" si="18"/>
        <v/>
      </c>
      <c r="P148" s="50" t="str">
        <f t="shared" ca="1" si="18"/>
        <v/>
      </c>
      <c r="Q148" s="50" t="str">
        <f t="shared" ca="1" si="18"/>
        <v/>
      </c>
      <c r="R148" s="50" t="str">
        <f t="shared" ca="1" si="16"/>
        <v/>
      </c>
    </row>
    <row r="149" spans="1:18" x14ac:dyDescent="0.25">
      <c r="A149" s="21">
        <v>141</v>
      </c>
      <c r="B149" s="22" t="str">
        <f t="shared" ca="1" si="17"/>
        <v/>
      </c>
      <c r="C149" s="50" t="str">
        <f t="shared" ca="1" si="18"/>
        <v/>
      </c>
      <c r="D149" s="50" t="str">
        <f t="shared" ca="1" si="18"/>
        <v/>
      </c>
      <c r="E149" s="50" t="str">
        <f t="shared" ca="1" si="18"/>
        <v/>
      </c>
      <c r="F149" s="50" t="str">
        <f t="shared" ca="1" si="18"/>
        <v/>
      </c>
      <c r="G149" s="50" t="str">
        <f t="shared" ca="1" si="18"/>
        <v/>
      </c>
      <c r="H149" s="50" t="str">
        <f t="shared" ca="1" si="18"/>
        <v/>
      </c>
      <c r="I149" s="50" t="str">
        <f t="shared" ca="1" si="18"/>
        <v/>
      </c>
      <c r="J149" s="50" t="str">
        <f t="shared" ca="1" si="18"/>
        <v/>
      </c>
      <c r="K149" s="50" t="str">
        <f t="shared" ca="1" si="18"/>
        <v/>
      </c>
      <c r="L149" s="50" t="str">
        <f t="shared" ca="1" si="18"/>
        <v/>
      </c>
      <c r="M149" s="50" t="str">
        <f t="shared" ca="1" si="18"/>
        <v/>
      </c>
      <c r="N149" s="50" t="str">
        <f t="shared" ca="1" si="18"/>
        <v/>
      </c>
      <c r="O149" s="50" t="str">
        <f t="shared" ca="1" si="18"/>
        <v/>
      </c>
      <c r="P149" s="50" t="str">
        <f t="shared" ca="1" si="18"/>
        <v/>
      </c>
      <c r="Q149" s="50" t="str">
        <f t="shared" ca="1" si="18"/>
        <v/>
      </c>
      <c r="R149" s="50" t="str">
        <f t="shared" ca="1" si="16"/>
        <v/>
      </c>
    </row>
    <row r="150" spans="1:18" x14ac:dyDescent="0.25">
      <c r="A150" s="21">
        <v>142</v>
      </c>
      <c r="B150" s="22" t="str">
        <f t="shared" ca="1" si="17"/>
        <v/>
      </c>
      <c r="C150" s="50" t="str">
        <f t="shared" ca="1" si="18"/>
        <v/>
      </c>
      <c r="D150" s="50" t="str">
        <f t="shared" ca="1" si="18"/>
        <v/>
      </c>
      <c r="E150" s="50" t="str">
        <f t="shared" ca="1" si="18"/>
        <v/>
      </c>
      <c r="F150" s="50" t="str">
        <f t="shared" ca="1" si="18"/>
        <v/>
      </c>
      <c r="G150" s="50" t="str">
        <f t="shared" ca="1" si="18"/>
        <v/>
      </c>
      <c r="H150" s="50" t="str">
        <f t="shared" ca="1" si="18"/>
        <v/>
      </c>
      <c r="I150" s="50" t="str">
        <f t="shared" ca="1" si="18"/>
        <v/>
      </c>
      <c r="J150" s="50" t="str">
        <f t="shared" ca="1" si="18"/>
        <v/>
      </c>
      <c r="K150" s="50" t="str">
        <f t="shared" ca="1" si="18"/>
        <v/>
      </c>
      <c r="L150" s="50" t="str">
        <f t="shared" ca="1" si="18"/>
        <v/>
      </c>
      <c r="M150" s="50" t="str">
        <f t="shared" ca="1" si="18"/>
        <v/>
      </c>
      <c r="N150" s="50" t="str">
        <f t="shared" ca="1" si="18"/>
        <v/>
      </c>
      <c r="O150" s="50" t="str">
        <f t="shared" ca="1" si="18"/>
        <v/>
      </c>
      <c r="P150" s="50" t="str">
        <f t="shared" ca="1" si="18"/>
        <v/>
      </c>
      <c r="Q150" s="50" t="str">
        <f t="shared" ca="1" si="18"/>
        <v/>
      </c>
      <c r="R150" s="50" t="str">
        <f t="shared" ca="1" si="16"/>
        <v/>
      </c>
    </row>
    <row r="151" spans="1:18" x14ac:dyDescent="0.25">
      <c r="A151" s="21">
        <v>143</v>
      </c>
      <c r="B151" s="22" t="str">
        <f t="shared" ca="1" si="17"/>
        <v/>
      </c>
      <c r="C151" s="50" t="str">
        <f t="shared" ca="1" si="18"/>
        <v/>
      </c>
      <c r="D151" s="50" t="str">
        <f t="shared" ca="1" si="18"/>
        <v/>
      </c>
      <c r="E151" s="50" t="str">
        <f t="shared" ca="1" si="18"/>
        <v/>
      </c>
      <c r="F151" s="50" t="str">
        <f t="shared" ca="1" si="18"/>
        <v/>
      </c>
      <c r="G151" s="50" t="str">
        <f t="shared" ca="1" si="18"/>
        <v/>
      </c>
      <c r="H151" s="50" t="str">
        <f t="shared" ca="1" si="18"/>
        <v/>
      </c>
      <c r="I151" s="50" t="str">
        <f t="shared" ca="1" si="18"/>
        <v/>
      </c>
      <c r="J151" s="50" t="str">
        <f t="shared" ca="1" si="18"/>
        <v/>
      </c>
      <c r="K151" s="50" t="str">
        <f t="shared" ca="1" si="18"/>
        <v/>
      </c>
      <c r="L151" s="50" t="str">
        <f t="shared" ca="1" si="18"/>
        <v/>
      </c>
      <c r="M151" s="50" t="str">
        <f t="shared" ca="1" si="18"/>
        <v/>
      </c>
      <c r="N151" s="50" t="str">
        <f t="shared" ca="1" si="18"/>
        <v/>
      </c>
      <c r="O151" s="50" t="str">
        <f t="shared" ca="1" si="18"/>
        <v/>
      </c>
      <c r="P151" s="50" t="str">
        <f t="shared" ca="1" si="18"/>
        <v/>
      </c>
      <c r="Q151" s="50" t="str">
        <f t="shared" ca="1" si="18"/>
        <v/>
      </c>
      <c r="R151" s="50" t="str">
        <f t="shared" ca="1" si="16"/>
        <v/>
      </c>
    </row>
    <row r="152" spans="1:18" x14ac:dyDescent="0.25">
      <c r="A152" s="21">
        <v>144</v>
      </c>
      <c r="B152" s="22" t="str">
        <f t="shared" ca="1" si="17"/>
        <v/>
      </c>
      <c r="C152" s="50" t="str">
        <f t="shared" ca="1" si="18"/>
        <v/>
      </c>
      <c r="D152" s="50" t="str">
        <f t="shared" ca="1" si="18"/>
        <v/>
      </c>
      <c r="E152" s="50" t="str">
        <f t="shared" ca="1" si="18"/>
        <v/>
      </c>
      <c r="F152" s="50" t="str">
        <f t="shared" ca="1" si="18"/>
        <v/>
      </c>
      <c r="G152" s="50" t="str">
        <f t="shared" ca="1" si="18"/>
        <v/>
      </c>
      <c r="H152" s="50" t="str">
        <f t="shared" ca="1" si="18"/>
        <v/>
      </c>
      <c r="I152" s="50" t="str">
        <f t="shared" ca="1" si="18"/>
        <v/>
      </c>
      <c r="J152" s="50" t="str">
        <f t="shared" ca="1" si="18"/>
        <v/>
      </c>
      <c r="K152" s="50" t="str">
        <f t="shared" ca="1" si="18"/>
        <v/>
      </c>
      <c r="L152" s="50" t="str">
        <f t="shared" ca="1" si="18"/>
        <v/>
      </c>
      <c r="M152" s="50" t="str">
        <f t="shared" ca="1" si="18"/>
        <v/>
      </c>
      <c r="N152" s="50" t="str">
        <f t="shared" ca="1" si="18"/>
        <v/>
      </c>
      <c r="O152" s="50" t="str">
        <f t="shared" ca="1" si="18"/>
        <v/>
      </c>
      <c r="P152" s="50" t="str">
        <f t="shared" ca="1" si="18"/>
        <v/>
      </c>
      <c r="Q152" s="50" t="str">
        <f t="shared" ca="1" si="18"/>
        <v/>
      </c>
      <c r="R152" s="50" t="str">
        <f t="shared" ca="1" si="16"/>
        <v/>
      </c>
    </row>
    <row r="153" spans="1:18" x14ac:dyDescent="0.25">
      <c r="A153" s="21">
        <v>145</v>
      </c>
      <c r="B153" s="22" t="str">
        <f t="shared" ca="1" si="17"/>
        <v/>
      </c>
      <c r="C153" s="50" t="str">
        <f t="shared" ca="1" si="18"/>
        <v/>
      </c>
      <c r="D153" s="50" t="str">
        <f t="shared" ca="1" si="18"/>
        <v/>
      </c>
      <c r="E153" s="50" t="str">
        <f t="shared" ca="1" si="18"/>
        <v/>
      </c>
      <c r="F153" s="50" t="str">
        <f t="shared" ca="1" si="18"/>
        <v/>
      </c>
      <c r="G153" s="50" t="str">
        <f t="shared" ca="1" si="18"/>
        <v/>
      </c>
      <c r="H153" s="50" t="str">
        <f t="shared" ca="1" si="18"/>
        <v/>
      </c>
      <c r="I153" s="50" t="str">
        <f t="shared" ca="1" si="18"/>
        <v/>
      </c>
      <c r="J153" s="50" t="str">
        <f t="shared" ca="1" si="18"/>
        <v/>
      </c>
      <c r="K153" s="50" t="str">
        <f t="shared" ca="1" si="18"/>
        <v/>
      </c>
      <c r="L153" s="50" t="str">
        <f t="shared" ca="1" si="18"/>
        <v/>
      </c>
      <c r="M153" s="50" t="str">
        <f t="shared" ca="1" si="18"/>
        <v/>
      </c>
      <c r="N153" s="50" t="str">
        <f t="shared" ca="1" si="18"/>
        <v/>
      </c>
      <c r="O153" s="50" t="str">
        <f t="shared" ca="1" si="18"/>
        <v/>
      </c>
      <c r="P153" s="50" t="str">
        <f t="shared" ca="1" si="18"/>
        <v/>
      </c>
      <c r="Q153" s="50" t="str">
        <f t="shared" ca="1" si="18"/>
        <v/>
      </c>
      <c r="R153" s="50" t="str">
        <f t="shared" ca="1" si="16"/>
        <v/>
      </c>
    </row>
    <row r="154" spans="1:18" x14ac:dyDescent="0.25">
      <c r="A154" s="21">
        <v>146</v>
      </c>
      <c r="B154" s="22" t="str">
        <f t="shared" ca="1" si="17"/>
        <v/>
      </c>
      <c r="C154" s="50" t="str">
        <f t="shared" ca="1" si="18"/>
        <v/>
      </c>
      <c r="D154" s="50" t="str">
        <f t="shared" ca="1" si="18"/>
        <v/>
      </c>
      <c r="E154" s="50" t="str">
        <f t="shared" ca="1" si="18"/>
        <v/>
      </c>
      <c r="F154" s="50" t="str">
        <f t="shared" ca="1" si="18"/>
        <v/>
      </c>
      <c r="G154" s="50" t="str">
        <f t="shared" ca="1" si="18"/>
        <v/>
      </c>
      <c r="H154" s="50" t="str">
        <f t="shared" ca="1" si="18"/>
        <v/>
      </c>
      <c r="I154" s="50" t="str">
        <f t="shared" ca="1" si="18"/>
        <v/>
      </c>
      <c r="J154" s="50" t="str">
        <f t="shared" ca="1" si="18"/>
        <v/>
      </c>
      <c r="K154" s="50" t="str">
        <f t="shared" ca="1" si="18"/>
        <v/>
      </c>
      <c r="L154" s="50" t="str">
        <f t="shared" ca="1" si="18"/>
        <v/>
      </c>
      <c r="M154" s="50" t="str">
        <f t="shared" ca="1" si="18"/>
        <v/>
      </c>
      <c r="N154" s="50" t="str">
        <f t="shared" ca="1" si="18"/>
        <v/>
      </c>
      <c r="O154" s="50" t="str">
        <f t="shared" ca="1" si="18"/>
        <v/>
      </c>
      <c r="P154" s="50" t="str">
        <f t="shared" ca="1" si="18"/>
        <v/>
      </c>
      <c r="Q154" s="50" t="str">
        <f t="shared" ca="1" si="18"/>
        <v/>
      </c>
      <c r="R154" s="50" t="str">
        <f t="shared" ca="1" si="16"/>
        <v/>
      </c>
    </row>
    <row r="155" spans="1:18" x14ac:dyDescent="0.25">
      <c r="A155" s="21">
        <v>147</v>
      </c>
      <c r="B155" s="22" t="str">
        <f t="shared" ca="1" si="17"/>
        <v/>
      </c>
      <c r="C155" s="50" t="str">
        <f t="shared" ca="1" si="18"/>
        <v/>
      </c>
      <c r="D155" s="50" t="str">
        <f t="shared" ca="1" si="18"/>
        <v/>
      </c>
      <c r="E155" s="50" t="str">
        <f t="shared" ca="1" si="18"/>
        <v/>
      </c>
      <c r="F155" s="50" t="str">
        <f t="shared" ca="1" si="18"/>
        <v/>
      </c>
      <c r="G155" s="50" t="str">
        <f t="shared" ca="1" si="18"/>
        <v/>
      </c>
      <c r="H155" s="50" t="str">
        <f t="shared" ca="1" si="18"/>
        <v/>
      </c>
      <c r="I155" s="50" t="str">
        <f t="shared" ca="1" si="18"/>
        <v/>
      </c>
      <c r="J155" s="50" t="str">
        <f t="shared" ca="1" si="18"/>
        <v/>
      </c>
      <c r="K155" s="50" t="str">
        <f t="shared" ca="1" si="18"/>
        <v/>
      </c>
      <c r="L155" s="50" t="str">
        <f t="shared" ca="1" si="18"/>
        <v/>
      </c>
      <c r="M155" s="50" t="str">
        <f t="shared" ca="1" si="18"/>
        <v/>
      </c>
      <c r="N155" s="50" t="str">
        <f t="shared" ca="1" si="18"/>
        <v/>
      </c>
      <c r="O155" s="50" t="str">
        <f t="shared" ca="1" si="18"/>
        <v/>
      </c>
      <c r="P155" s="50" t="str">
        <f t="shared" ca="1" si="18"/>
        <v/>
      </c>
      <c r="Q155" s="50" t="str">
        <f t="shared" ca="1" si="18"/>
        <v/>
      </c>
      <c r="R155" s="50" t="str">
        <f t="shared" ca="1" si="16"/>
        <v/>
      </c>
    </row>
    <row r="156" spans="1:18" x14ac:dyDescent="0.25">
      <c r="A156" s="21">
        <v>148</v>
      </c>
      <c r="B156" s="22" t="str">
        <f t="shared" ca="1" si="17"/>
        <v/>
      </c>
      <c r="C156" s="50" t="str">
        <f t="shared" ca="1" si="18"/>
        <v/>
      </c>
      <c r="D156" s="50" t="str">
        <f t="shared" ca="1" si="18"/>
        <v/>
      </c>
      <c r="E156" s="50" t="str">
        <f t="shared" ca="1" si="18"/>
        <v/>
      </c>
      <c r="F156" s="50" t="str">
        <f t="shared" ca="1" si="18"/>
        <v/>
      </c>
      <c r="G156" s="50" t="str">
        <f t="shared" ca="1" si="18"/>
        <v/>
      </c>
      <c r="H156" s="50" t="str">
        <f t="shared" ca="1" si="18"/>
        <v/>
      </c>
      <c r="I156" s="50" t="str">
        <f t="shared" ca="1" si="18"/>
        <v/>
      </c>
      <c r="J156" s="50" t="str">
        <f t="shared" ca="1" si="18"/>
        <v/>
      </c>
      <c r="K156" s="50" t="str">
        <f t="shared" ca="1" si="18"/>
        <v/>
      </c>
      <c r="L156" s="50" t="str">
        <f t="shared" ca="1" si="18"/>
        <v/>
      </c>
      <c r="M156" s="50" t="str">
        <f t="shared" ca="1" si="18"/>
        <v/>
      </c>
      <c r="N156" s="50" t="str">
        <f t="shared" ca="1" si="18"/>
        <v/>
      </c>
      <c r="O156" s="50" t="str">
        <f t="shared" ca="1" si="18"/>
        <v/>
      </c>
      <c r="P156" s="50" t="str">
        <f t="shared" ca="1" si="18"/>
        <v/>
      </c>
      <c r="Q156" s="50" t="str">
        <f t="shared" ca="1" si="18"/>
        <v/>
      </c>
      <c r="R156" s="50" t="str">
        <f t="shared" ca="1" si="16"/>
        <v/>
      </c>
    </row>
    <row r="157" spans="1:18" x14ac:dyDescent="0.25">
      <c r="A157" s="21">
        <v>149</v>
      </c>
      <c r="B157" s="22" t="str">
        <f t="shared" ca="1" si="17"/>
        <v/>
      </c>
      <c r="C157" s="50" t="str">
        <f t="shared" ca="1" si="18"/>
        <v/>
      </c>
      <c r="D157" s="50" t="str">
        <f t="shared" ca="1" si="18"/>
        <v/>
      </c>
      <c r="E157" s="50" t="str">
        <f t="shared" ca="1" si="18"/>
        <v/>
      </c>
      <c r="F157" s="50" t="str">
        <f t="shared" ca="1" si="18"/>
        <v/>
      </c>
      <c r="G157" s="50" t="str">
        <f t="shared" ca="1" si="18"/>
        <v/>
      </c>
      <c r="H157" s="50" t="str">
        <f t="shared" ca="1" si="18"/>
        <v/>
      </c>
      <c r="I157" s="50" t="str">
        <f t="shared" ca="1" si="18"/>
        <v/>
      </c>
      <c r="J157" s="50" t="str">
        <f t="shared" ca="1" si="18"/>
        <v/>
      </c>
      <c r="K157" s="50" t="str">
        <f t="shared" ca="1" si="18"/>
        <v/>
      </c>
      <c r="L157" s="50" t="str">
        <f t="shared" ca="1" si="18"/>
        <v/>
      </c>
      <c r="M157" s="50" t="str">
        <f t="shared" ca="1" si="18"/>
        <v/>
      </c>
      <c r="N157" s="50" t="str">
        <f t="shared" ca="1" si="18"/>
        <v/>
      </c>
      <c r="O157" s="50" t="str">
        <f t="shared" ca="1" si="18"/>
        <v/>
      </c>
      <c r="P157" s="50" t="str">
        <f t="shared" ca="1" si="18"/>
        <v/>
      </c>
      <c r="Q157" s="50" t="str">
        <f t="shared" ca="1" si="18"/>
        <v/>
      </c>
      <c r="R157" s="50" t="str">
        <f t="shared" ca="1" si="16"/>
        <v/>
      </c>
    </row>
    <row r="158" spans="1:18" x14ac:dyDescent="0.25">
      <c r="A158" s="21">
        <v>150</v>
      </c>
      <c r="B158" s="22" t="str">
        <f t="shared" ca="1" si="17"/>
        <v/>
      </c>
      <c r="C158" s="50" t="str">
        <f t="shared" ca="1" si="18"/>
        <v/>
      </c>
      <c r="D158" s="50" t="str">
        <f t="shared" ca="1" si="18"/>
        <v/>
      </c>
      <c r="E158" s="50" t="str">
        <f t="shared" ca="1" si="18"/>
        <v/>
      </c>
      <c r="F158" s="50" t="str">
        <f t="shared" ca="1" si="18"/>
        <v/>
      </c>
      <c r="G158" s="50" t="str">
        <f t="shared" ca="1" si="18"/>
        <v/>
      </c>
      <c r="H158" s="50" t="str">
        <f t="shared" ca="1" si="18"/>
        <v/>
      </c>
      <c r="I158" s="50" t="str">
        <f t="shared" ca="1" si="18"/>
        <v/>
      </c>
      <c r="J158" s="50" t="str">
        <f t="shared" ca="1" si="18"/>
        <v/>
      </c>
      <c r="K158" s="50" t="str">
        <f t="shared" ca="1" si="18"/>
        <v/>
      </c>
      <c r="L158" s="50" t="str">
        <f t="shared" ca="1" si="18"/>
        <v/>
      </c>
      <c r="M158" s="50" t="str">
        <f t="shared" ca="1" si="18"/>
        <v/>
      </c>
      <c r="N158" s="50" t="str">
        <f t="shared" ca="1" si="18"/>
        <v/>
      </c>
      <c r="O158" s="50" t="str">
        <f t="shared" ca="1" si="18"/>
        <v/>
      </c>
      <c r="P158" s="50" t="str">
        <f t="shared" ca="1" si="18"/>
        <v/>
      </c>
      <c r="Q158" s="50" t="str">
        <f t="shared" ca="1" si="18"/>
        <v/>
      </c>
      <c r="R158" s="50" t="str">
        <f t="shared" ca="1" si="16"/>
        <v/>
      </c>
    </row>
    <row r="159" spans="1:18" x14ac:dyDescent="0.25">
      <c r="A159" s="21">
        <v>151</v>
      </c>
      <c r="B159" s="22" t="str">
        <f t="shared" ca="1" si="17"/>
        <v/>
      </c>
      <c r="C159" s="50" t="str">
        <f t="shared" ca="1" si="18"/>
        <v/>
      </c>
      <c r="D159" s="50" t="str">
        <f t="shared" ca="1" si="18"/>
        <v/>
      </c>
      <c r="E159" s="50" t="str">
        <f t="shared" ca="1" si="18"/>
        <v/>
      </c>
      <c r="F159" s="50" t="str">
        <f t="shared" ca="1" si="18"/>
        <v/>
      </c>
      <c r="G159" s="50" t="str">
        <f t="shared" ca="1" si="18"/>
        <v/>
      </c>
      <c r="H159" s="50" t="str">
        <f t="shared" ca="1" si="18"/>
        <v/>
      </c>
      <c r="I159" s="50" t="str">
        <f t="shared" ca="1" si="18"/>
        <v/>
      </c>
      <c r="J159" s="50" t="str">
        <f t="shared" ca="1" si="18"/>
        <v/>
      </c>
      <c r="K159" s="50" t="str">
        <f t="shared" ca="1" si="18"/>
        <v/>
      </c>
      <c r="L159" s="50" t="str">
        <f t="shared" ca="1" si="18"/>
        <v/>
      </c>
      <c r="M159" s="50" t="str">
        <f t="shared" ca="1" si="18"/>
        <v/>
      </c>
      <c r="N159" s="50" t="str">
        <f t="shared" ca="1" si="18"/>
        <v/>
      </c>
      <c r="O159" s="50" t="str">
        <f t="shared" ca="1" si="18"/>
        <v/>
      </c>
      <c r="P159" s="50" t="str">
        <f t="shared" ca="1" si="18"/>
        <v/>
      </c>
      <c r="Q159" s="50" t="str">
        <f t="shared" ca="1" si="18"/>
        <v/>
      </c>
      <c r="R159" s="50" t="str">
        <f t="shared" ca="1" si="16"/>
        <v/>
      </c>
    </row>
    <row r="160" spans="1:18" x14ac:dyDescent="0.25">
      <c r="A160" s="21">
        <v>152</v>
      </c>
      <c r="B160" s="22" t="str">
        <f t="shared" ca="1" si="17"/>
        <v/>
      </c>
      <c r="C160" s="50" t="str">
        <f t="shared" ref="C160:Q176" ca="1" si="19">IF(AND($B160=$S$4,C$5&lt;&gt;""),IF(VLOOKUP($A$1&amp;"-"&amp;$A160,INDIRECT($E$2&amp;$E$3),C$4+$B$4,0)="","","'"&amp;C$5&amp;"' =&gt; '"&amp;VLOOKUP($A$1&amp;"-"&amp;$A160,INDIRECT($E$2&amp;$E$3),C$4+$B$4,0)&amp;"', "),"")</f>
        <v/>
      </c>
      <c r="D160" s="50" t="str">
        <f t="shared" ca="1" si="19"/>
        <v/>
      </c>
      <c r="E160" s="50" t="str">
        <f t="shared" ca="1" si="19"/>
        <v/>
      </c>
      <c r="F160" s="50" t="str">
        <f t="shared" ca="1" si="19"/>
        <v/>
      </c>
      <c r="G160" s="50" t="str">
        <f t="shared" ca="1" si="19"/>
        <v/>
      </c>
      <c r="H160" s="50" t="str">
        <f t="shared" ca="1" si="19"/>
        <v/>
      </c>
      <c r="I160" s="50" t="str">
        <f t="shared" ca="1" si="19"/>
        <v/>
      </c>
      <c r="J160" s="50" t="str">
        <f t="shared" ca="1" si="19"/>
        <v/>
      </c>
      <c r="K160" s="50" t="str">
        <f t="shared" ca="1" si="19"/>
        <v/>
      </c>
      <c r="L160" s="50" t="str">
        <f t="shared" ca="1" si="19"/>
        <v/>
      </c>
      <c r="M160" s="50" t="str">
        <f t="shared" ca="1" si="19"/>
        <v/>
      </c>
      <c r="N160" s="50" t="str">
        <f t="shared" ca="1" si="19"/>
        <v/>
      </c>
      <c r="O160" s="50" t="str">
        <f t="shared" ca="1" si="19"/>
        <v/>
      </c>
      <c r="P160" s="50" t="str">
        <f t="shared" ca="1" si="19"/>
        <v/>
      </c>
      <c r="Q160" s="50" t="str">
        <f t="shared" ca="1" si="19"/>
        <v/>
      </c>
      <c r="R160" s="50" t="str">
        <f t="shared" ca="1" si="16"/>
        <v/>
      </c>
    </row>
    <row r="161" spans="1:18" x14ac:dyDescent="0.25">
      <c r="A161" s="21">
        <v>153</v>
      </c>
      <c r="B161" s="22" t="str">
        <f t="shared" ca="1" si="17"/>
        <v/>
      </c>
      <c r="C161" s="50" t="str">
        <f t="shared" ca="1" si="19"/>
        <v/>
      </c>
      <c r="D161" s="50" t="str">
        <f t="shared" ca="1" si="19"/>
        <v/>
      </c>
      <c r="E161" s="50" t="str">
        <f t="shared" ca="1" si="19"/>
        <v/>
      </c>
      <c r="F161" s="50" t="str">
        <f t="shared" ca="1" si="19"/>
        <v/>
      </c>
      <c r="G161" s="50" t="str">
        <f t="shared" ca="1" si="19"/>
        <v/>
      </c>
      <c r="H161" s="50" t="str">
        <f t="shared" ca="1" si="19"/>
        <v/>
      </c>
      <c r="I161" s="50" t="str">
        <f t="shared" ca="1" si="19"/>
        <v/>
      </c>
      <c r="J161" s="50" t="str">
        <f t="shared" ca="1" si="19"/>
        <v/>
      </c>
      <c r="K161" s="50" t="str">
        <f t="shared" ca="1" si="19"/>
        <v/>
      </c>
      <c r="L161" s="50" t="str">
        <f t="shared" ca="1" si="19"/>
        <v/>
      </c>
      <c r="M161" s="50" t="str">
        <f t="shared" ca="1" si="19"/>
        <v/>
      </c>
      <c r="N161" s="50" t="str">
        <f t="shared" ca="1" si="19"/>
        <v/>
      </c>
      <c r="O161" s="50" t="str">
        <f t="shared" ca="1" si="19"/>
        <v/>
      </c>
      <c r="P161" s="50" t="str">
        <f t="shared" ca="1" si="19"/>
        <v/>
      </c>
      <c r="Q161" s="50" t="str">
        <f t="shared" ca="1" si="19"/>
        <v/>
      </c>
      <c r="R161" s="50" t="str">
        <f t="shared" ca="1" si="16"/>
        <v/>
      </c>
    </row>
    <row r="162" spans="1:18" x14ac:dyDescent="0.25">
      <c r="A162" s="21">
        <v>154</v>
      </c>
      <c r="B162" s="22" t="str">
        <f t="shared" ca="1" si="17"/>
        <v/>
      </c>
      <c r="C162" s="50" t="str">
        <f t="shared" ca="1" si="19"/>
        <v/>
      </c>
      <c r="D162" s="50" t="str">
        <f t="shared" ca="1" si="19"/>
        <v/>
      </c>
      <c r="E162" s="50" t="str">
        <f t="shared" ca="1" si="19"/>
        <v/>
      </c>
      <c r="F162" s="50" t="str">
        <f t="shared" ca="1" si="19"/>
        <v/>
      </c>
      <c r="G162" s="50" t="str">
        <f t="shared" ca="1" si="19"/>
        <v/>
      </c>
      <c r="H162" s="50" t="str">
        <f t="shared" ca="1" si="19"/>
        <v/>
      </c>
      <c r="I162" s="50" t="str">
        <f t="shared" ca="1" si="19"/>
        <v/>
      </c>
      <c r="J162" s="50" t="str">
        <f t="shared" ca="1" si="19"/>
        <v/>
      </c>
      <c r="K162" s="50" t="str">
        <f t="shared" ca="1" si="19"/>
        <v/>
      </c>
      <c r="L162" s="50" t="str">
        <f t="shared" ca="1" si="19"/>
        <v/>
      </c>
      <c r="M162" s="50" t="str">
        <f t="shared" ca="1" si="19"/>
        <v/>
      </c>
      <c r="N162" s="50" t="str">
        <f t="shared" ca="1" si="19"/>
        <v/>
      </c>
      <c r="O162" s="50" t="str">
        <f t="shared" ca="1" si="19"/>
        <v/>
      </c>
      <c r="P162" s="50" t="str">
        <f t="shared" ca="1" si="19"/>
        <v/>
      </c>
      <c r="Q162" s="50" t="str">
        <f t="shared" ca="1" si="19"/>
        <v/>
      </c>
      <c r="R162" s="50" t="str">
        <f t="shared" ca="1" si="16"/>
        <v/>
      </c>
    </row>
    <row r="163" spans="1:18" x14ac:dyDescent="0.25">
      <c r="A163" s="21">
        <v>155</v>
      </c>
      <c r="B163" s="22" t="str">
        <f t="shared" ca="1" si="17"/>
        <v/>
      </c>
      <c r="C163" s="50" t="str">
        <f t="shared" ca="1" si="19"/>
        <v/>
      </c>
      <c r="D163" s="50" t="str">
        <f t="shared" ca="1" si="19"/>
        <v/>
      </c>
      <c r="E163" s="50" t="str">
        <f t="shared" ca="1" si="19"/>
        <v/>
      </c>
      <c r="F163" s="50" t="str">
        <f t="shared" ca="1" si="19"/>
        <v/>
      </c>
      <c r="G163" s="50" t="str">
        <f t="shared" ca="1" si="19"/>
        <v/>
      </c>
      <c r="H163" s="50" t="str">
        <f t="shared" ca="1" si="19"/>
        <v/>
      </c>
      <c r="I163" s="50" t="str">
        <f t="shared" ca="1" si="19"/>
        <v/>
      </c>
      <c r="J163" s="50" t="str">
        <f t="shared" ca="1" si="19"/>
        <v/>
      </c>
      <c r="K163" s="50" t="str">
        <f t="shared" ca="1" si="19"/>
        <v/>
      </c>
      <c r="L163" s="50" t="str">
        <f t="shared" ca="1" si="19"/>
        <v/>
      </c>
      <c r="M163" s="50" t="str">
        <f t="shared" ca="1" si="19"/>
        <v/>
      </c>
      <c r="N163" s="50" t="str">
        <f t="shared" ca="1" si="19"/>
        <v/>
      </c>
      <c r="O163" s="50" t="str">
        <f t="shared" ca="1" si="19"/>
        <v/>
      </c>
      <c r="P163" s="50" t="str">
        <f t="shared" ca="1" si="19"/>
        <v/>
      </c>
      <c r="Q163" s="50" t="str">
        <f t="shared" ca="1" si="19"/>
        <v/>
      </c>
      <c r="R163" s="50" t="str">
        <f t="shared" ca="1" si="16"/>
        <v/>
      </c>
    </row>
    <row r="164" spans="1:18" x14ac:dyDescent="0.25">
      <c r="A164" s="21">
        <v>156</v>
      </c>
      <c r="B164" s="22" t="str">
        <f t="shared" ca="1" si="17"/>
        <v/>
      </c>
      <c r="C164" s="50" t="str">
        <f t="shared" ca="1" si="19"/>
        <v/>
      </c>
      <c r="D164" s="50" t="str">
        <f t="shared" ca="1" si="19"/>
        <v/>
      </c>
      <c r="E164" s="50" t="str">
        <f t="shared" ca="1" si="19"/>
        <v/>
      </c>
      <c r="F164" s="50" t="str">
        <f t="shared" ca="1" si="19"/>
        <v/>
      </c>
      <c r="G164" s="50" t="str">
        <f t="shared" ca="1" si="19"/>
        <v/>
      </c>
      <c r="H164" s="50" t="str">
        <f t="shared" ca="1" si="19"/>
        <v/>
      </c>
      <c r="I164" s="50" t="str">
        <f t="shared" ca="1" si="19"/>
        <v/>
      </c>
      <c r="J164" s="50" t="str">
        <f t="shared" ca="1" si="19"/>
        <v/>
      </c>
      <c r="K164" s="50" t="str">
        <f t="shared" ca="1" si="19"/>
        <v/>
      </c>
      <c r="L164" s="50" t="str">
        <f t="shared" ca="1" si="19"/>
        <v/>
      </c>
      <c r="M164" s="50" t="str">
        <f t="shared" ca="1" si="19"/>
        <v/>
      </c>
      <c r="N164" s="50" t="str">
        <f t="shared" ca="1" si="19"/>
        <v/>
      </c>
      <c r="O164" s="50" t="str">
        <f t="shared" ca="1" si="19"/>
        <v/>
      </c>
      <c r="P164" s="50" t="str">
        <f t="shared" ca="1" si="19"/>
        <v/>
      </c>
      <c r="Q164" s="50" t="str">
        <f t="shared" ca="1" si="19"/>
        <v/>
      </c>
      <c r="R164" s="50" t="str">
        <f t="shared" ca="1" si="16"/>
        <v/>
      </c>
    </row>
    <row r="165" spans="1:18" x14ac:dyDescent="0.25">
      <c r="A165" s="21">
        <v>157</v>
      </c>
      <c r="B165" s="22" t="str">
        <f t="shared" ca="1" si="17"/>
        <v/>
      </c>
      <c r="C165" s="50" t="str">
        <f t="shared" ca="1" si="19"/>
        <v/>
      </c>
      <c r="D165" s="50" t="str">
        <f t="shared" ca="1" si="19"/>
        <v/>
      </c>
      <c r="E165" s="50" t="str">
        <f t="shared" ca="1" si="19"/>
        <v/>
      </c>
      <c r="F165" s="50" t="str">
        <f t="shared" ca="1" si="19"/>
        <v/>
      </c>
      <c r="G165" s="50" t="str">
        <f t="shared" ca="1" si="19"/>
        <v/>
      </c>
      <c r="H165" s="50" t="str">
        <f t="shared" ca="1" si="19"/>
        <v/>
      </c>
      <c r="I165" s="50" t="str">
        <f t="shared" ca="1" si="19"/>
        <v/>
      </c>
      <c r="J165" s="50" t="str">
        <f t="shared" ca="1" si="19"/>
        <v/>
      </c>
      <c r="K165" s="50" t="str">
        <f t="shared" ca="1" si="19"/>
        <v/>
      </c>
      <c r="L165" s="50" t="str">
        <f t="shared" ca="1" si="19"/>
        <v/>
      </c>
      <c r="M165" s="50" t="str">
        <f t="shared" ca="1" si="19"/>
        <v/>
      </c>
      <c r="N165" s="50" t="str">
        <f t="shared" ca="1" si="19"/>
        <v/>
      </c>
      <c r="O165" s="50" t="str">
        <f t="shared" ca="1" si="19"/>
        <v/>
      </c>
      <c r="P165" s="50" t="str">
        <f t="shared" ca="1" si="19"/>
        <v/>
      </c>
      <c r="Q165" s="50" t="str">
        <f t="shared" ca="1" si="19"/>
        <v/>
      </c>
      <c r="R165" s="50" t="str">
        <f t="shared" ca="1" si="16"/>
        <v/>
      </c>
    </row>
    <row r="166" spans="1:18" x14ac:dyDescent="0.25">
      <c r="A166" s="21">
        <v>158</v>
      </c>
      <c r="B166" s="22" t="str">
        <f t="shared" ca="1" si="17"/>
        <v/>
      </c>
      <c r="C166" s="50" t="str">
        <f t="shared" ca="1" si="19"/>
        <v/>
      </c>
      <c r="D166" s="50" t="str">
        <f t="shared" ca="1" si="19"/>
        <v/>
      </c>
      <c r="E166" s="50" t="str">
        <f t="shared" ca="1" si="19"/>
        <v/>
      </c>
      <c r="F166" s="50" t="str">
        <f t="shared" ca="1" si="19"/>
        <v/>
      </c>
      <c r="G166" s="50" t="str">
        <f t="shared" ca="1" si="19"/>
        <v/>
      </c>
      <c r="H166" s="50" t="str">
        <f t="shared" ca="1" si="19"/>
        <v/>
      </c>
      <c r="I166" s="50" t="str">
        <f t="shared" ca="1" si="19"/>
        <v/>
      </c>
      <c r="J166" s="50" t="str">
        <f t="shared" ca="1" si="19"/>
        <v/>
      </c>
      <c r="K166" s="50" t="str">
        <f t="shared" ca="1" si="19"/>
        <v/>
      </c>
      <c r="L166" s="50" t="str">
        <f t="shared" ca="1" si="19"/>
        <v/>
      </c>
      <c r="M166" s="50" t="str">
        <f t="shared" ca="1" si="19"/>
        <v/>
      </c>
      <c r="N166" s="50" t="str">
        <f t="shared" ca="1" si="19"/>
        <v/>
      </c>
      <c r="O166" s="50" t="str">
        <f t="shared" ca="1" si="19"/>
        <v/>
      </c>
      <c r="P166" s="50" t="str">
        <f t="shared" ca="1" si="19"/>
        <v/>
      </c>
      <c r="Q166" s="50" t="str">
        <f t="shared" ca="1" si="19"/>
        <v/>
      </c>
      <c r="R166" s="50" t="str">
        <f t="shared" ca="1" si="16"/>
        <v/>
      </c>
    </row>
    <row r="167" spans="1:18" x14ac:dyDescent="0.25">
      <c r="A167" s="21">
        <v>159</v>
      </c>
      <c r="B167" s="22" t="str">
        <f t="shared" ca="1" si="17"/>
        <v/>
      </c>
      <c r="C167" s="50" t="str">
        <f t="shared" ca="1" si="19"/>
        <v/>
      </c>
      <c r="D167" s="50" t="str">
        <f t="shared" ca="1" si="19"/>
        <v/>
      </c>
      <c r="E167" s="50" t="str">
        <f t="shared" ca="1" si="19"/>
        <v/>
      </c>
      <c r="F167" s="50" t="str">
        <f t="shared" ca="1" si="19"/>
        <v/>
      </c>
      <c r="G167" s="50" t="str">
        <f t="shared" ca="1" si="19"/>
        <v/>
      </c>
      <c r="H167" s="50" t="str">
        <f t="shared" ca="1" si="19"/>
        <v/>
      </c>
      <c r="I167" s="50" t="str">
        <f t="shared" ca="1" si="19"/>
        <v/>
      </c>
      <c r="J167" s="50" t="str">
        <f t="shared" ca="1" si="19"/>
        <v/>
      </c>
      <c r="K167" s="50" t="str">
        <f t="shared" ca="1" si="19"/>
        <v/>
      </c>
      <c r="L167" s="50" t="str">
        <f t="shared" ca="1" si="19"/>
        <v/>
      </c>
      <c r="M167" s="50" t="str">
        <f t="shared" ca="1" si="19"/>
        <v/>
      </c>
      <c r="N167" s="50" t="str">
        <f t="shared" ca="1" si="19"/>
        <v/>
      </c>
      <c r="O167" s="50" t="str">
        <f t="shared" ca="1" si="19"/>
        <v/>
      </c>
      <c r="P167" s="50" t="str">
        <f t="shared" ca="1" si="19"/>
        <v/>
      </c>
      <c r="Q167" s="50" t="str">
        <f t="shared" ca="1" si="19"/>
        <v/>
      </c>
      <c r="R167" s="50" t="str">
        <f t="shared" ca="1" si="16"/>
        <v/>
      </c>
    </row>
    <row r="168" spans="1:18" x14ac:dyDescent="0.25">
      <c r="A168" s="21">
        <v>160</v>
      </c>
      <c r="B168" s="22" t="str">
        <f t="shared" ca="1" si="17"/>
        <v/>
      </c>
      <c r="C168" s="50" t="str">
        <f t="shared" ca="1" si="19"/>
        <v/>
      </c>
      <c r="D168" s="50" t="str">
        <f t="shared" ca="1" si="19"/>
        <v/>
      </c>
      <c r="E168" s="50" t="str">
        <f t="shared" ca="1" si="19"/>
        <v/>
      </c>
      <c r="F168" s="50" t="str">
        <f t="shared" ca="1" si="19"/>
        <v/>
      </c>
      <c r="G168" s="50" t="str">
        <f t="shared" ca="1" si="19"/>
        <v/>
      </c>
      <c r="H168" s="50" t="str">
        <f t="shared" ca="1" si="19"/>
        <v/>
      </c>
      <c r="I168" s="50" t="str">
        <f t="shared" ca="1" si="19"/>
        <v/>
      </c>
      <c r="J168" s="50" t="str">
        <f t="shared" ca="1" si="19"/>
        <v/>
      </c>
      <c r="K168" s="50" t="str">
        <f t="shared" ca="1" si="19"/>
        <v/>
      </c>
      <c r="L168" s="50" t="str">
        <f t="shared" ca="1" si="19"/>
        <v/>
      </c>
      <c r="M168" s="50" t="str">
        <f t="shared" ca="1" si="19"/>
        <v/>
      </c>
      <c r="N168" s="50" t="str">
        <f t="shared" ca="1" si="19"/>
        <v/>
      </c>
      <c r="O168" s="50" t="str">
        <f t="shared" ca="1" si="19"/>
        <v/>
      </c>
      <c r="P168" s="50" t="str">
        <f t="shared" ca="1" si="19"/>
        <v/>
      </c>
      <c r="Q168" s="50" t="str">
        <f t="shared" ca="1" si="19"/>
        <v/>
      </c>
      <c r="R168" s="50" t="str">
        <f t="shared" ca="1" si="16"/>
        <v/>
      </c>
    </row>
    <row r="169" spans="1:18" x14ac:dyDescent="0.25">
      <c r="A169" s="21">
        <v>161</v>
      </c>
      <c r="B169" s="22" t="str">
        <f t="shared" ca="1" si="17"/>
        <v/>
      </c>
      <c r="C169" s="50" t="str">
        <f t="shared" ca="1" si="19"/>
        <v/>
      </c>
      <c r="D169" s="50" t="str">
        <f t="shared" ca="1" si="19"/>
        <v/>
      </c>
      <c r="E169" s="50" t="str">
        <f t="shared" ca="1" si="19"/>
        <v/>
      </c>
      <c r="F169" s="50" t="str">
        <f t="shared" ca="1" si="19"/>
        <v/>
      </c>
      <c r="G169" s="50" t="str">
        <f t="shared" ca="1" si="19"/>
        <v/>
      </c>
      <c r="H169" s="50" t="str">
        <f t="shared" ca="1" si="19"/>
        <v/>
      </c>
      <c r="I169" s="50" t="str">
        <f t="shared" ca="1" si="19"/>
        <v/>
      </c>
      <c r="J169" s="50" t="str">
        <f t="shared" ca="1" si="19"/>
        <v/>
      </c>
      <c r="K169" s="50" t="str">
        <f t="shared" ca="1" si="19"/>
        <v/>
      </c>
      <c r="L169" s="50" t="str">
        <f t="shared" ca="1" si="19"/>
        <v/>
      </c>
      <c r="M169" s="50" t="str">
        <f t="shared" ca="1" si="19"/>
        <v/>
      </c>
      <c r="N169" s="50" t="str">
        <f t="shared" ca="1" si="19"/>
        <v/>
      </c>
      <c r="O169" s="50" t="str">
        <f t="shared" ca="1" si="19"/>
        <v/>
      </c>
      <c r="P169" s="50" t="str">
        <f t="shared" ca="1" si="19"/>
        <v/>
      </c>
      <c r="Q169" s="50" t="str">
        <f t="shared" ca="1" si="19"/>
        <v/>
      </c>
      <c r="R169" s="50" t="str">
        <f t="shared" ca="1" si="16"/>
        <v/>
      </c>
    </row>
    <row r="170" spans="1:18" x14ac:dyDescent="0.25">
      <c r="A170" s="21">
        <v>162</v>
      </c>
      <c r="B170" s="22" t="str">
        <f t="shared" ca="1" si="17"/>
        <v/>
      </c>
      <c r="C170" s="50" t="str">
        <f t="shared" ca="1" si="19"/>
        <v/>
      </c>
      <c r="D170" s="50" t="str">
        <f t="shared" ca="1" si="19"/>
        <v/>
      </c>
      <c r="E170" s="50" t="str">
        <f t="shared" ca="1" si="19"/>
        <v/>
      </c>
      <c r="F170" s="50" t="str">
        <f t="shared" ca="1" si="19"/>
        <v/>
      </c>
      <c r="G170" s="50" t="str">
        <f t="shared" ca="1" si="19"/>
        <v/>
      </c>
      <c r="H170" s="50" t="str">
        <f t="shared" ca="1" si="19"/>
        <v/>
      </c>
      <c r="I170" s="50" t="str">
        <f t="shared" ca="1" si="19"/>
        <v/>
      </c>
      <c r="J170" s="50" t="str">
        <f t="shared" ca="1" si="19"/>
        <v/>
      </c>
      <c r="K170" s="50" t="str">
        <f t="shared" ca="1" si="19"/>
        <v/>
      </c>
      <c r="L170" s="50" t="str">
        <f t="shared" ca="1" si="19"/>
        <v/>
      </c>
      <c r="M170" s="50" t="str">
        <f t="shared" ca="1" si="19"/>
        <v/>
      </c>
      <c r="N170" s="50" t="str">
        <f t="shared" ca="1" si="19"/>
        <v/>
      </c>
      <c r="O170" s="50" t="str">
        <f t="shared" ca="1" si="19"/>
        <v/>
      </c>
      <c r="P170" s="50" t="str">
        <f t="shared" ca="1" si="19"/>
        <v/>
      </c>
      <c r="Q170" s="50" t="str">
        <f t="shared" ca="1" si="19"/>
        <v/>
      </c>
      <c r="R170" s="50" t="str">
        <f t="shared" ca="1" si="16"/>
        <v/>
      </c>
    </row>
    <row r="171" spans="1:18" x14ac:dyDescent="0.25">
      <c r="A171" s="21">
        <v>163</v>
      </c>
      <c r="B171" s="22" t="str">
        <f t="shared" ca="1" si="17"/>
        <v/>
      </c>
      <c r="C171" s="50" t="str">
        <f t="shared" ca="1" si="19"/>
        <v/>
      </c>
      <c r="D171" s="50" t="str">
        <f t="shared" ca="1" si="19"/>
        <v/>
      </c>
      <c r="E171" s="50" t="str">
        <f t="shared" ca="1" si="19"/>
        <v/>
      </c>
      <c r="F171" s="50" t="str">
        <f t="shared" ca="1" si="19"/>
        <v/>
      </c>
      <c r="G171" s="50" t="str">
        <f t="shared" ca="1" si="19"/>
        <v/>
      </c>
      <c r="H171" s="50" t="str">
        <f t="shared" ca="1" si="19"/>
        <v/>
      </c>
      <c r="I171" s="50" t="str">
        <f t="shared" ca="1" si="19"/>
        <v/>
      </c>
      <c r="J171" s="50" t="str">
        <f t="shared" ca="1" si="19"/>
        <v/>
      </c>
      <c r="K171" s="50" t="str">
        <f t="shared" ca="1" si="19"/>
        <v/>
      </c>
      <c r="L171" s="50" t="str">
        <f t="shared" ca="1" si="19"/>
        <v/>
      </c>
      <c r="M171" s="50" t="str">
        <f t="shared" ca="1" si="19"/>
        <v/>
      </c>
      <c r="N171" s="50" t="str">
        <f t="shared" ca="1" si="19"/>
        <v/>
      </c>
      <c r="O171" s="50" t="str">
        <f t="shared" ca="1" si="19"/>
        <v/>
      </c>
      <c r="P171" s="50" t="str">
        <f t="shared" ca="1" si="19"/>
        <v/>
      </c>
      <c r="Q171" s="50" t="str">
        <f t="shared" ca="1" si="19"/>
        <v/>
      </c>
      <c r="R171" s="50" t="str">
        <f t="shared" ca="1" si="16"/>
        <v/>
      </c>
    </row>
    <row r="172" spans="1:18" x14ac:dyDescent="0.25">
      <c r="A172" s="21">
        <v>164</v>
      </c>
      <c r="B172" s="22" t="str">
        <f t="shared" ca="1" si="17"/>
        <v/>
      </c>
      <c r="C172" s="50" t="str">
        <f t="shared" ca="1" si="19"/>
        <v/>
      </c>
      <c r="D172" s="50" t="str">
        <f t="shared" ca="1" si="19"/>
        <v/>
      </c>
      <c r="E172" s="50" t="str">
        <f t="shared" ca="1" si="19"/>
        <v/>
      </c>
      <c r="F172" s="50" t="str">
        <f t="shared" ca="1" si="19"/>
        <v/>
      </c>
      <c r="G172" s="50" t="str">
        <f t="shared" ca="1" si="19"/>
        <v/>
      </c>
      <c r="H172" s="50" t="str">
        <f t="shared" ca="1" si="19"/>
        <v/>
      </c>
      <c r="I172" s="50" t="str">
        <f t="shared" ca="1" si="19"/>
        <v/>
      </c>
      <c r="J172" s="50" t="str">
        <f t="shared" ca="1" si="19"/>
        <v/>
      </c>
      <c r="K172" s="50" t="str">
        <f t="shared" ca="1" si="19"/>
        <v/>
      </c>
      <c r="L172" s="50" t="str">
        <f t="shared" ca="1" si="19"/>
        <v/>
      </c>
      <c r="M172" s="50" t="str">
        <f t="shared" ca="1" si="19"/>
        <v/>
      </c>
      <c r="N172" s="50" t="str">
        <f t="shared" ca="1" si="19"/>
        <v/>
      </c>
      <c r="O172" s="50" t="str">
        <f t="shared" ca="1" si="19"/>
        <v/>
      </c>
      <c r="P172" s="50" t="str">
        <f t="shared" ca="1" si="19"/>
        <v/>
      </c>
      <c r="Q172" s="50" t="str">
        <f t="shared" ca="1" si="19"/>
        <v/>
      </c>
      <c r="R172" s="50" t="str">
        <f t="shared" ca="1" si="16"/>
        <v/>
      </c>
    </row>
    <row r="173" spans="1:18" x14ac:dyDescent="0.25">
      <c r="A173" s="21">
        <v>165</v>
      </c>
      <c r="B173" s="22" t="str">
        <f t="shared" ca="1" si="17"/>
        <v/>
      </c>
      <c r="C173" s="50" t="str">
        <f t="shared" ca="1" si="19"/>
        <v/>
      </c>
      <c r="D173" s="50" t="str">
        <f t="shared" ca="1" si="19"/>
        <v/>
      </c>
      <c r="E173" s="50" t="str">
        <f t="shared" ca="1" si="19"/>
        <v/>
      </c>
      <c r="F173" s="50" t="str">
        <f t="shared" ca="1" si="19"/>
        <v/>
      </c>
      <c r="G173" s="50" t="str">
        <f t="shared" ca="1" si="19"/>
        <v/>
      </c>
      <c r="H173" s="50" t="str">
        <f t="shared" ca="1" si="19"/>
        <v/>
      </c>
      <c r="I173" s="50" t="str">
        <f t="shared" ca="1" si="19"/>
        <v/>
      </c>
      <c r="J173" s="50" t="str">
        <f t="shared" ca="1" si="19"/>
        <v/>
      </c>
      <c r="K173" s="50" t="str">
        <f t="shared" ca="1" si="19"/>
        <v/>
      </c>
      <c r="L173" s="50" t="str">
        <f t="shared" ca="1" si="19"/>
        <v/>
      </c>
      <c r="M173" s="50" t="str">
        <f t="shared" ca="1" si="19"/>
        <v/>
      </c>
      <c r="N173" s="50" t="str">
        <f t="shared" ca="1" si="19"/>
        <v/>
      </c>
      <c r="O173" s="50" t="str">
        <f t="shared" ca="1" si="19"/>
        <v/>
      </c>
      <c r="P173" s="50" t="str">
        <f t="shared" ca="1" si="19"/>
        <v/>
      </c>
      <c r="Q173" s="50" t="str">
        <f t="shared" ca="1" si="19"/>
        <v/>
      </c>
      <c r="R173" s="50" t="str">
        <f t="shared" ca="1" si="16"/>
        <v/>
      </c>
    </row>
    <row r="174" spans="1:18" x14ac:dyDescent="0.25">
      <c r="A174" s="21">
        <v>166</v>
      </c>
      <c r="B174" s="22" t="str">
        <f t="shared" ca="1" si="17"/>
        <v/>
      </c>
      <c r="C174" s="50" t="str">
        <f t="shared" ca="1" si="19"/>
        <v/>
      </c>
      <c r="D174" s="50" t="str">
        <f t="shared" ca="1" si="19"/>
        <v/>
      </c>
      <c r="E174" s="50" t="str">
        <f t="shared" ca="1" si="19"/>
        <v/>
      </c>
      <c r="F174" s="50" t="str">
        <f t="shared" ca="1" si="19"/>
        <v/>
      </c>
      <c r="G174" s="50" t="str">
        <f t="shared" ca="1" si="19"/>
        <v/>
      </c>
      <c r="H174" s="50" t="str">
        <f t="shared" ca="1" si="19"/>
        <v/>
      </c>
      <c r="I174" s="50" t="str">
        <f t="shared" ca="1" si="19"/>
        <v/>
      </c>
      <c r="J174" s="50" t="str">
        <f t="shared" ca="1" si="19"/>
        <v/>
      </c>
      <c r="K174" s="50" t="str">
        <f t="shared" ca="1" si="19"/>
        <v/>
      </c>
      <c r="L174" s="50" t="str">
        <f t="shared" ca="1" si="19"/>
        <v/>
      </c>
      <c r="M174" s="50" t="str">
        <f t="shared" ca="1" si="19"/>
        <v/>
      </c>
      <c r="N174" s="50" t="str">
        <f t="shared" ca="1" si="19"/>
        <v/>
      </c>
      <c r="O174" s="50" t="str">
        <f t="shared" ca="1" si="19"/>
        <v/>
      </c>
      <c r="P174" s="50" t="str">
        <f t="shared" ca="1" si="19"/>
        <v/>
      </c>
      <c r="Q174" s="50" t="str">
        <f t="shared" ca="1" si="19"/>
        <v/>
      </c>
      <c r="R174" s="50" t="str">
        <f t="shared" ca="1" si="16"/>
        <v/>
      </c>
    </row>
    <row r="175" spans="1:18" x14ac:dyDescent="0.25">
      <c r="A175" s="21">
        <v>167</v>
      </c>
      <c r="B175" s="22" t="str">
        <f t="shared" ca="1" si="17"/>
        <v/>
      </c>
      <c r="C175" s="50" t="str">
        <f t="shared" ca="1" si="19"/>
        <v/>
      </c>
      <c r="D175" s="50" t="str">
        <f t="shared" ca="1" si="19"/>
        <v/>
      </c>
      <c r="E175" s="50" t="str">
        <f t="shared" ca="1" si="19"/>
        <v/>
      </c>
      <c r="F175" s="50" t="str">
        <f t="shared" ca="1" si="19"/>
        <v/>
      </c>
      <c r="G175" s="50" t="str">
        <f t="shared" ca="1" si="19"/>
        <v/>
      </c>
      <c r="H175" s="50" t="str">
        <f t="shared" ca="1" si="19"/>
        <v/>
      </c>
      <c r="I175" s="50" t="str">
        <f t="shared" ca="1" si="19"/>
        <v/>
      </c>
      <c r="J175" s="50" t="str">
        <f t="shared" ca="1" si="19"/>
        <v/>
      </c>
      <c r="K175" s="50" t="str">
        <f t="shared" ca="1" si="19"/>
        <v/>
      </c>
      <c r="L175" s="50" t="str">
        <f t="shared" ca="1" si="19"/>
        <v/>
      </c>
      <c r="M175" s="50" t="str">
        <f t="shared" ca="1" si="19"/>
        <v/>
      </c>
      <c r="N175" s="50" t="str">
        <f t="shared" ca="1" si="19"/>
        <v/>
      </c>
      <c r="O175" s="50" t="str">
        <f t="shared" ca="1" si="19"/>
        <v/>
      </c>
      <c r="P175" s="50" t="str">
        <f t="shared" ca="1" si="19"/>
        <v/>
      </c>
      <c r="Q175" s="50" t="str">
        <f t="shared" ca="1" si="19"/>
        <v/>
      </c>
      <c r="R175" s="50" t="str">
        <f t="shared" ca="1" si="16"/>
        <v/>
      </c>
    </row>
    <row r="176" spans="1:18" x14ac:dyDescent="0.25">
      <c r="A176" s="21">
        <v>168</v>
      </c>
      <c r="B176" s="22" t="str">
        <f t="shared" ca="1" si="17"/>
        <v/>
      </c>
      <c r="C176" s="50" t="str">
        <f t="shared" ca="1" si="19"/>
        <v/>
      </c>
      <c r="D176" s="50" t="str">
        <f t="shared" ca="1" si="19"/>
        <v/>
      </c>
      <c r="E176" s="50" t="str">
        <f t="shared" ca="1" si="19"/>
        <v/>
      </c>
      <c r="F176" s="50" t="str">
        <f t="shared" ca="1" si="19"/>
        <v/>
      </c>
      <c r="G176" s="50" t="str">
        <f t="shared" ca="1" si="19"/>
        <v/>
      </c>
      <c r="H176" s="50" t="str">
        <f t="shared" ca="1" si="19"/>
        <v/>
      </c>
      <c r="I176" s="50" t="str">
        <f t="shared" ca="1" si="19"/>
        <v/>
      </c>
      <c r="J176" s="50" t="str">
        <f t="shared" ca="1" si="19"/>
        <v/>
      </c>
      <c r="K176" s="50" t="str">
        <f t="shared" ca="1" si="19"/>
        <v/>
      </c>
      <c r="L176" s="50" t="str">
        <f t="shared" ca="1" si="19"/>
        <v/>
      </c>
      <c r="M176" s="50" t="str">
        <f t="shared" ca="1" si="19"/>
        <v/>
      </c>
      <c r="N176" s="50" t="str">
        <f t="shared" ca="1" si="19"/>
        <v/>
      </c>
      <c r="O176" s="50" t="str">
        <f t="shared" ca="1" si="19"/>
        <v/>
      </c>
      <c r="P176" s="50" t="str">
        <f t="shared" ca="1" si="19"/>
        <v/>
      </c>
      <c r="Q176" s="50" t="str">
        <f t="shared" ca="1" si="19"/>
        <v/>
      </c>
      <c r="R176" s="50" t="str">
        <f t="shared" ca="1" si="16"/>
        <v/>
      </c>
    </row>
    <row r="177" spans="1:18" x14ac:dyDescent="0.25">
      <c r="A177" s="21">
        <v>169</v>
      </c>
      <c r="B177" s="22" t="str">
        <f t="shared" ca="1" si="17"/>
        <v/>
      </c>
      <c r="C177" s="50" t="str">
        <f t="shared" ref="C177:Q193" ca="1" si="20">IF(AND($B177=$S$4,C$5&lt;&gt;""),IF(VLOOKUP($A$1&amp;"-"&amp;$A177,INDIRECT($E$2&amp;$E$3),C$4+$B$4,0)="","","'"&amp;C$5&amp;"' =&gt; '"&amp;VLOOKUP($A$1&amp;"-"&amp;$A177,INDIRECT($E$2&amp;$E$3),C$4+$B$4,0)&amp;"', "),"")</f>
        <v/>
      </c>
      <c r="D177" s="50" t="str">
        <f t="shared" ca="1" si="20"/>
        <v/>
      </c>
      <c r="E177" s="50" t="str">
        <f t="shared" ca="1" si="20"/>
        <v/>
      </c>
      <c r="F177" s="50" t="str">
        <f t="shared" ca="1" si="20"/>
        <v/>
      </c>
      <c r="G177" s="50" t="str">
        <f t="shared" ca="1" si="20"/>
        <v/>
      </c>
      <c r="H177" s="50" t="str">
        <f t="shared" ca="1" si="20"/>
        <v/>
      </c>
      <c r="I177" s="50" t="str">
        <f t="shared" ca="1" si="20"/>
        <v/>
      </c>
      <c r="J177" s="50" t="str">
        <f t="shared" ca="1" si="20"/>
        <v/>
      </c>
      <c r="K177" s="50" t="str">
        <f t="shared" ca="1" si="20"/>
        <v/>
      </c>
      <c r="L177" s="50" t="str">
        <f t="shared" ca="1" si="20"/>
        <v/>
      </c>
      <c r="M177" s="50" t="str">
        <f t="shared" ca="1" si="20"/>
        <v/>
      </c>
      <c r="N177" s="50" t="str">
        <f t="shared" ca="1" si="20"/>
        <v/>
      </c>
      <c r="O177" s="50" t="str">
        <f t="shared" ca="1" si="20"/>
        <v/>
      </c>
      <c r="P177" s="50" t="str">
        <f t="shared" ca="1" si="20"/>
        <v/>
      </c>
      <c r="Q177" s="50" t="str">
        <f t="shared" ca="1" si="20"/>
        <v/>
      </c>
      <c r="R177" s="50" t="str">
        <f t="shared" ca="1" si="16"/>
        <v/>
      </c>
    </row>
    <row r="178" spans="1:18" x14ac:dyDescent="0.25">
      <c r="A178" s="21">
        <v>170</v>
      </c>
      <c r="B178" s="22" t="str">
        <f t="shared" ca="1" si="17"/>
        <v/>
      </c>
      <c r="C178" s="50" t="str">
        <f t="shared" ca="1" si="20"/>
        <v/>
      </c>
      <c r="D178" s="50" t="str">
        <f t="shared" ca="1" si="20"/>
        <v/>
      </c>
      <c r="E178" s="50" t="str">
        <f t="shared" ca="1" si="20"/>
        <v/>
      </c>
      <c r="F178" s="50" t="str">
        <f t="shared" ca="1" si="20"/>
        <v/>
      </c>
      <c r="G178" s="50" t="str">
        <f t="shared" ca="1" si="20"/>
        <v/>
      </c>
      <c r="H178" s="50" t="str">
        <f t="shared" ca="1" si="20"/>
        <v/>
      </c>
      <c r="I178" s="50" t="str">
        <f t="shared" ca="1" si="20"/>
        <v/>
      </c>
      <c r="J178" s="50" t="str">
        <f t="shared" ca="1" si="20"/>
        <v/>
      </c>
      <c r="K178" s="50" t="str">
        <f t="shared" ca="1" si="20"/>
        <v/>
      </c>
      <c r="L178" s="50" t="str">
        <f t="shared" ca="1" si="20"/>
        <v/>
      </c>
      <c r="M178" s="50" t="str">
        <f t="shared" ca="1" si="20"/>
        <v/>
      </c>
      <c r="N178" s="50" t="str">
        <f t="shared" ca="1" si="20"/>
        <v/>
      </c>
      <c r="O178" s="50" t="str">
        <f t="shared" ca="1" si="20"/>
        <v/>
      </c>
      <c r="P178" s="50" t="str">
        <f t="shared" ca="1" si="20"/>
        <v/>
      </c>
      <c r="Q178" s="50" t="str">
        <f t="shared" ca="1" si="20"/>
        <v/>
      </c>
      <c r="R178" s="50" t="str">
        <f t="shared" ca="1" si="16"/>
        <v/>
      </c>
    </row>
    <row r="179" spans="1:18" x14ac:dyDescent="0.25">
      <c r="A179" s="21">
        <v>171</v>
      </c>
      <c r="B179" s="22" t="str">
        <f t="shared" ca="1" si="17"/>
        <v/>
      </c>
      <c r="C179" s="50" t="str">
        <f t="shared" ca="1" si="20"/>
        <v/>
      </c>
      <c r="D179" s="50" t="str">
        <f t="shared" ca="1" si="20"/>
        <v/>
      </c>
      <c r="E179" s="50" t="str">
        <f t="shared" ca="1" si="20"/>
        <v/>
      </c>
      <c r="F179" s="50" t="str">
        <f t="shared" ca="1" si="20"/>
        <v/>
      </c>
      <c r="G179" s="50" t="str">
        <f t="shared" ca="1" si="20"/>
        <v/>
      </c>
      <c r="H179" s="50" t="str">
        <f t="shared" ca="1" si="20"/>
        <v/>
      </c>
      <c r="I179" s="50" t="str">
        <f t="shared" ca="1" si="20"/>
        <v/>
      </c>
      <c r="J179" s="50" t="str">
        <f t="shared" ca="1" si="20"/>
        <v/>
      </c>
      <c r="K179" s="50" t="str">
        <f t="shared" ca="1" si="20"/>
        <v/>
      </c>
      <c r="L179" s="50" t="str">
        <f t="shared" ca="1" si="20"/>
        <v/>
      </c>
      <c r="M179" s="50" t="str">
        <f t="shared" ca="1" si="20"/>
        <v/>
      </c>
      <c r="N179" s="50" t="str">
        <f t="shared" ca="1" si="20"/>
        <v/>
      </c>
      <c r="O179" s="50" t="str">
        <f t="shared" ca="1" si="20"/>
        <v/>
      </c>
      <c r="P179" s="50" t="str">
        <f t="shared" ca="1" si="20"/>
        <v/>
      </c>
      <c r="Q179" s="50" t="str">
        <f t="shared" ca="1" si="20"/>
        <v/>
      </c>
      <c r="R179" s="50" t="str">
        <f t="shared" ca="1" si="16"/>
        <v/>
      </c>
    </row>
    <row r="180" spans="1:18" x14ac:dyDescent="0.25">
      <c r="A180" s="21">
        <v>172</v>
      </c>
      <c r="B180" s="22" t="str">
        <f t="shared" ca="1" si="17"/>
        <v/>
      </c>
      <c r="C180" s="50" t="str">
        <f t="shared" ca="1" si="20"/>
        <v/>
      </c>
      <c r="D180" s="50" t="str">
        <f t="shared" ca="1" si="20"/>
        <v/>
      </c>
      <c r="E180" s="50" t="str">
        <f t="shared" ca="1" si="20"/>
        <v/>
      </c>
      <c r="F180" s="50" t="str">
        <f t="shared" ca="1" si="20"/>
        <v/>
      </c>
      <c r="G180" s="50" t="str">
        <f t="shared" ca="1" si="20"/>
        <v/>
      </c>
      <c r="H180" s="50" t="str">
        <f t="shared" ca="1" si="20"/>
        <v/>
      </c>
      <c r="I180" s="50" t="str">
        <f t="shared" ca="1" si="20"/>
        <v/>
      </c>
      <c r="J180" s="50" t="str">
        <f t="shared" ca="1" si="20"/>
        <v/>
      </c>
      <c r="K180" s="50" t="str">
        <f t="shared" ca="1" si="20"/>
        <v/>
      </c>
      <c r="L180" s="50" t="str">
        <f t="shared" ca="1" si="20"/>
        <v/>
      </c>
      <c r="M180" s="50" t="str">
        <f t="shared" ca="1" si="20"/>
        <v/>
      </c>
      <c r="N180" s="50" t="str">
        <f t="shared" ca="1" si="20"/>
        <v/>
      </c>
      <c r="O180" s="50" t="str">
        <f t="shared" ca="1" si="20"/>
        <v/>
      </c>
      <c r="P180" s="50" t="str">
        <f t="shared" ca="1" si="20"/>
        <v/>
      </c>
      <c r="Q180" s="50" t="str">
        <f t="shared" ca="1" si="20"/>
        <v/>
      </c>
      <c r="R180" s="50" t="str">
        <f t="shared" ca="1" si="16"/>
        <v/>
      </c>
    </row>
    <row r="181" spans="1:18" x14ac:dyDescent="0.25">
      <c r="A181" s="21">
        <v>173</v>
      </c>
      <c r="B181" s="22" t="str">
        <f t="shared" ca="1" si="17"/>
        <v/>
      </c>
      <c r="C181" s="50" t="str">
        <f t="shared" ca="1" si="20"/>
        <v/>
      </c>
      <c r="D181" s="50" t="str">
        <f t="shared" ca="1" si="20"/>
        <v/>
      </c>
      <c r="E181" s="50" t="str">
        <f t="shared" ca="1" si="20"/>
        <v/>
      </c>
      <c r="F181" s="50" t="str">
        <f t="shared" ca="1" si="20"/>
        <v/>
      </c>
      <c r="G181" s="50" t="str">
        <f t="shared" ca="1" si="20"/>
        <v/>
      </c>
      <c r="H181" s="50" t="str">
        <f t="shared" ca="1" si="20"/>
        <v/>
      </c>
      <c r="I181" s="50" t="str">
        <f t="shared" ca="1" si="20"/>
        <v/>
      </c>
      <c r="J181" s="50" t="str">
        <f t="shared" ca="1" si="20"/>
        <v/>
      </c>
      <c r="K181" s="50" t="str">
        <f t="shared" ca="1" si="20"/>
        <v/>
      </c>
      <c r="L181" s="50" t="str">
        <f t="shared" ca="1" si="20"/>
        <v/>
      </c>
      <c r="M181" s="50" t="str">
        <f t="shared" ca="1" si="20"/>
        <v/>
      </c>
      <c r="N181" s="50" t="str">
        <f t="shared" ca="1" si="20"/>
        <v/>
      </c>
      <c r="O181" s="50" t="str">
        <f t="shared" ca="1" si="20"/>
        <v/>
      </c>
      <c r="P181" s="50" t="str">
        <f t="shared" ca="1" si="20"/>
        <v/>
      </c>
      <c r="Q181" s="50" t="str">
        <f t="shared" ca="1" si="20"/>
        <v/>
      </c>
      <c r="R181" s="50" t="str">
        <f t="shared" ca="1" si="16"/>
        <v/>
      </c>
    </row>
    <row r="182" spans="1:18" x14ac:dyDescent="0.25">
      <c r="A182" s="21">
        <v>174</v>
      </c>
      <c r="B182" s="22" t="str">
        <f t="shared" ca="1" si="17"/>
        <v/>
      </c>
      <c r="C182" s="50" t="str">
        <f t="shared" ca="1" si="20"/>
        <v/>
      </c>
      <c r="D182" s="50" t="str">
        <f t="shared" ca="1" si="20"/>
        <v/>
      </c>
      <c r="E182" s="50" t="str">
        <f t="shared" ca="1" si="20"/>
        <v/>
      </c>
      <c r="F182" s="50" t="str">
        <f t="shared" ca="1" si="20"/>
        <v/>
      </c>
      <c r="G182" s="50" t="str">
        <f t="shared" ca="1" si="20"/>
        <v/>
      </c>
      <c r="H182" s="50" t="str">
        <f t="shared" ca="1" si="20"/>
        <v/>
      </c>
      <c r="I182" s="50" t="str">
        <f t="shared" ca="1" si="20"/>
        <v/>
      </c>
      <c r="J182" s="50" t="str">
        <f t="shared" ca="1" si="20"/>
        <v/>
      </c>
      <c r="K182" s="50" t="str">
        <f t="shared" ca="1" si="20"/>
        <v/>
      </c>
      <c r="L182" s="50" t="str">
        <f t="shared" ca="1" si="20"/>
        <v/>
      </c>
      <c r="M182" s="50" t="str">
        <f t="shared" ca="1" si="20"/>
        <v/>
      </c>
      <c r="N182" s="50" t="str">
        <f t="shared" ca="1" si="20"/>
        <v/>
      </c>
      <c r="O182" s="50" t="str">
        <f t="shared" ca="1" si="20"/>
        <v/>
      </c>
      <c r="P182" s="50" t="str">
        <f t="shared" ca="1" si="20"/>
        <v/>
      </c>
      <c r="Q182" s="50" t="str">
        <f t="shared" ca="1" si="20"/>
        <v/>
      </c>
      <c r="R182" s="50" t="str">
        <f t="shared" ca="1" si="16"/>
        <v/>
      </c>
    </row>
    <row r="183" spans="1:18" x14ac:dyDescent="0.25">
      <c r="A183" s="21">
        <v>175</v>
      </c>
      <c r="B183" s="22" t="str">
        <f t="shared" ca="1" si="17"/>
        <v/>
      </c>
      <c r="C183" s="50" t="str">
        <f t="shared" ca="1" si="20"/>
        <v/>
      </c>
      <c r="D183" s="50" t="str">
        <f t="shared" ca="1" si="20"/>
        <v/>
      </c>
      <c r="E183" s="50" t="str">
        <f t="shared" ca="1" si="20"/>
        <v/>
      </c>
      <c r="F183" s="50" t="str">
        <f t="shared" ca="1" si="20"/>
        <v/>
      </c>
      <c r="G183" s="50" t="str">
        <f t="shared" ca="1" si="20"/>
        <v/>
      </c>
      <c r="H183" s="50" t="str">
        <f t="shared" ca="1" si="20"/>
        <v/>
      </c>
      <c r="I183" s="50" t="str">
        <f t="shared" ca="1" si="20"/>
        <v/>
      </c>
      <c r="J183" s="50" t="str">
        <f t="shared" ca="1" si="20"/>
        <v/>
      </c>
      <c r="K183" s="50" t="str">
        <f t="shared" ca="1" si="20"/>
        <v/>
      </c>
      <c r="L183" s="50" t="str">
        <f t="shared" ca="1" si="20"/>
        <v/>
      </c>
      <c r="M183" s="50" t="str">
        <f t="shared" ca="1" si="20"/>
        <v/>
      </c>
      <c r="N183" s="50" t="str">
        <f t="shared" ca="1" si="20"/>
        <v/>
      </c>
      <c r="O183" s="50" t="str">
        <f t="shared" ca="1" si="20"/>
        <v/>
      </c>
      <c r="P183" s="50" t="str">
        <f t="shared" ca="1" si="20"/>
        <v/>
      </c>
      <c r="Q183" s="50" t="str">
        <f t="shared" ca="1" si="20"/>
        <v/>
      </c>
      <c r="R183" s="50" t="str">
        <f t="shared" ca="1" si="16"/>
        <v/>
      </c>
    </row>
    <row r="184" spans="1:18" x14ac:dyDescent="0.25">
      <c r="A184" s="21">
        <v>176</v>
      </c>
      <c r="B184" s="22" t="str">
        <f t="shared" ca="1" si="17"/>
        <v/>
      </c>
      <c r="C184" s="50" t="str">
        <f t="shared" ca="1" si="20"/>
        <v/>
      </c>
      <c r="D184" s="50" t="str">
        <f t="shared" ca="1" si="20"/>
        <v/>
      </c>
      <c r="E184" s="50" t="str">
        <f t="shared" ca="1" si="20"/>
        <v/>
      </c>
      <c r="F184" s="50" t="str">
        <f t="shared" ca="1" si="20"/>
        <v/>
      </c>
      <c r="G184" s="50" t="str">
        <f t="shared" ca="1" si="20"/>
        <v/>
      </c>
      <c r="H184" s="50" t="str">
        <f t="shared" ca="1" si="20"/>
        <v/>
      </c>
      <c r="I184" s="50" t="str">
        <f t="shared" ca="1" si="20"/>
        <v/>
      </c>
      <c r="J184" s="50" t="str">
        <f t="shared" ca="1" si="20"/>
        <v/>
      </c>
      <c r="K184" s="50" t="str">
        <f t="shared" ca="1" si="20"/>
        <v/>
      </c>
      <c r="L184" s="50" t="str">
        <f t="shared" ca="1" si="20"/>
        <v/>
      </c>
      <c r="M184" s="50" t="str">
        <f t="shared" ca="1" si="20"/>
        <v/>
      </c>
      <c r="N184" s="50" t="str">
        <f t="shared" ca="1" si="20"/>
        <v/>
      </c>
      <c r="O184" s="50" t="str">
        <f t="shared" ca="1" si="20"/>
        <v/>
      </c>
      <c r="P184" s="50" t="str">
        <f t="shared" ca="1" si="20"/>
        <v/>
      </c>
      <c r="Q184" s="50" t="str">
        <f t="shared" ca="1" si="20"/>
        <v/>
      </c>
      <c r="R184" s="50" t="str">
        <f t="shared" ca="1" si="16"/>
        <v/>
      </c>
    </row>
    <row r="185" spans="1:18" x14ac:dyDescent="0.25">
      <c r="A185" s="21">
        <v>177</v>
      </c>
      <c r="B185" s="22" t="str">
        <f t="shared" ca="1" si="17"/>
        <v/>
      </c>
      <c r="C185" s="50" t="str">
        <f t="shared" ca="1" si="20"/>
        <v/>
      </c>
      <c r="D185" s="50" t="str">
        <f t="shared" ca="1" si="20"/>
        <v/>
      </c>
      <c r="E185" s="50" t="str">
        <f t="shared" ca="1" si="20"/>
        <v/>
      </c>
      <c r="F185" s="50" t="str">
        <f t="shared" ca="1" si="20"/>
        <v/>
      </c>
      <c r="G185" s="50" t="str">
        <f t="shared" ca="1" si="20"/>
        <v/>
      </c>
      <c r="H185" s="50" t="str">
        <f t="shared" ca="1" si="20"/>
        <v/>
      </c>
      <c r="I185" s="50" t="str">
        <f t="shared" ca="1" si="20"/>
        <v/>
      </c>
      <c r="J185" s="50" t="str">
        <f t="shared" ca="1" si="20"/>
        <v/>
      </c>
      <c r="K185" s="50" t="str">
        <f t="shared" ca="1" si="20"/>
        <v/>
      </c>
      <c r="L185" s="50" t="str">
        <f t="shared" ca="1" si="20"/>
        <v/>
      </c>
      <c r="M185" s="50" t="str">
        <f t="shared" ca="1" si="20"/>
        <v/>
      </c>
      <c r="N185" s="50" t="str">
        <f t="shared" ca="1" si="20"/>
        <v/>
      </c>
      <c r="O185" s="50" t="str">
        <f t="shared" ca="1" si="20"/>
        <v/>
      </c>
      <c r="P185" s="50" t="str">
        <f t="shared" ca="1" si="20"/>
        <v/>
      </c>
      <c r="Q185" s="50" t="str">
        <f t="shared" ca="1" si="20"/>
        <v/>
      </c>
      <c r="R185" s="50" t="str">
        <f t="shared" ca="1" si="16"/>
        <v/>
      </c>
    </row>
    <row r="186" spans="1:18" x14ac:dyDescent="0.25">
      <c r="A186" s="21">
        <v>178</v>
      </c>
      <c r="B186" s="22" t="str">
        <f t="shared" ca="1" si="17"/>
        <v/>
      </c>
      <c r="C186" s="50" t="str">
        <f t="shared" ca="1" si="20"/>
        <v/>
      </c>
      <c r="D186" s="50" t="str">
        <f t="shared" ca="1" si="20"/>
        <v/>
      </c>
      <c r="E186" s="50" t="str">
        <f t="shared" ca="1" si="20"/>
        <v/>
      </c>
      <c r="F186" s="50" t="str">
        <f t="shared" ca="1" si="20"/>
        <v/>
      </c>
      <c r="G186" s="50" t="str">
        <f t="shared" ca="1" si="20"/>
        <v/>
      </c>
      <c r="H186" s="50" t="str">
        <f t="shared" ca="1" si="20"/>
        <v/>
      </c>
      <c r="I186" s="50" t="str">
        <f t="shared" ca="1" si="20"/>
        <v/>
      </c>
      <c r="J186" s="50" t="str">
        <f t="shared" ca="1" si="20"/>
        <v/>
      </c>
      <c r="K186" s="50" t="str">
        <f t="shared" ca="1" si="20"/>
        <v/>
      </c>
      <c r="L186" s="50" t="str">
        <f t="shared" ca="1" si="20"/>
        <v/>
      </c>
      <c r="M186" s="50" t="str">
        <f t="shared" ca="1" si="20"/>
        <v/>
      </c>
      <c r="N186" s="50" t="str">
        <f t="shared" ca="1" si="20"/>
        <v/>
      </c>
      <c r="O186" s="50" t="str">
        <f t="shared" ca="1" si="20"/>
        <v/>
      </c>
      <c r="P186" s="50" t="str">
        <f t="shared" ca="1" si="20"/>
        <v/>
      </c>
      <c r="Q186" s="50" t="str">
        <f t="shared" ca="1" si="20"/>
        <v/>
      </c>
      <c r="R186" s="50" t="str">
        <f t="shared" ca="1" si="16"/>
        <v/>
      </c>
    </row>
    <row r="187" spans="1:18" x14ac:dyDescent="0.25">
      <c r="A187" s="21">
        <v>179</v>
      </c>
      <c r="B187" s="22" t="str">
        <f t="shared" ca="1" si="17"/>
        <v/>
      </c>
      <c r="C187" s="50" t="str">
        <f t="shared" ca="1" si="20"/>
        <v/>
      </c>
      <c r="D187" s="50" t="str">
        <f t="shared" ca="1" si="20"/>
        <v/>
      </c>
      <c r="E187" s="50" t="str">
        <f t="shared" ca="1" si="20"/>
        <v/>
      </c>
      <c r="F187" s="50" t="str">
        <f t="shared" ca="1" si="20"/>
        <v/>
      </c>
      <c r="G187" s="50" t="str">
        <f t="shared" ca="1" si="20"/>
        <v/>
      </c>
      <c r="H187" s="50" t="str">
        <f t="shared" ca="1" si="20"/>
        <v/>
      </c>
      <c r="I187" s="50" t="str">
        <f t="shared" ca="1" si="20"/>
        <v/>
      </c>
      <c r="J187" s="50" t="str">
        <f t="shared" ca="1" si="20"/>
        <v/>
      </c>
      <c r="K187" s="50" t="str">
        <f t="shared" ca="1" si="20"/>
        <v/>
      </c>
      <c r="L187" s="50" t="str">
        <f t="shared" ca="1" si="20"/>
        <v/>
      </c>
      <c r="M187" s="50" t="str">
        <f t="shared" ca="1" si="20"/>
        <v/>
      </c>
      <c r="N187" s="50" t="str">
        <f t="shared" ca="1" si="20"/>
        <v/>
      </c>
      <c r="O187" s="50" t="str">
        <f t="shared" ca="1" si="20"/>
        <v/>
      </c>
      <c r="P187" s="50" t="str">
        <f t="shared" ca="1" si="20"/>
        <v/>
      </c>
      <c r="Q187" s="50" t="str">
        <f t="shared" ca="1" si="20"/>
        <v/>
      </c>
      <c r="R187" s="50" t="str">
        <f t="shared" ca="1" si="16"/>
        <v/>
      </c>
    </row>
    <row r="188" spans="1:18" x14ac:dyDescent="0.25">
      <c r="A188" s="21">
        <v>180</v>
      </c>
      <c r="B188" s="22" t="str">
        <f t="shared" ca="1" si="17"/>
        <v/>
      </c>
      <c r="C188" s="50" t="str">
        <f t="shared" ca="1" si="20"/>
        <v/>
      </c>
      <c r="D188" s="50" t="str">
        <f t="shared" ca="1" si="20"/>
        <v/>
      </c>
      <c r="E188" s="50" t="str">
        <f t="shared" ca="1" si="20"/>
        <v/>
      </c>
      <c r="F188" s="50" t="str">
        <f t="shared" ca="1" si="20"/>
        <v/>
      </c>
      <c r="G188" s="50" t="str">
        <f t="shared" ca="1" si="20"/>
        <v/>
      </c>
      <c r="H188" s="50" t="str">
        <f t="shared" ca="1" si="20"/>
        <v/>
      </c>
      <c r="I188" s="50" t="str">
        <f t="shared" ca="1" si="20"/>
        <v/>
      </c>
      <c r="J188" s="50" t="str">
        <f t="shared" ca="1" si="20"/>
        <v/>
      </c>
      <c r="K188" s="50" t="str">
        <f t="shared" ca="1" si="20"/>
        <v/>
      </c>
      <c r="L188" s="50" t="str">
        <f t="shared" ca="1" si="20"/>
        <v/>
      </c>
      <c r="M188" s="50" t="str">
        <f t="shared" ca="1" si="20"/>
        <v/>
      </c>
      <c r="N188" s="50" t="str">
        <f t="shared" ca="1" si="20"/>
        <v/>
      </c>
      <c r="O188" s="50" t="str">
        <f t="shared" ca="1" si="20"/>
        <v/>
      </c>
      <c r="P188" s="50" t="str">
        <f t="shared" ca="1" si="20"/>
        <v/>
      </c>
      <c r="Q188" s="50" t="str">
        <f t="shared" ca="1" si="20"/>
        <v/>
      </c>
      <c r="R188" s="50" t="str">
        <f t="shared" ca="1" si="16"/>
        <v/>
      </c>
    </row>
    <row r="189" spans="1:18" x14ac:dyDescent="0.25">
      <c r="A189" s="21">
        <v>181</v>
      </c>
      <c r="B189" s="22" t="str">
        <f t="shared" ca="1" si="17"/>
        <v/>
      </c>
      <c r="C189" s="50" t="str">
        <f t="shared" ca="1" si="20"/>
        <v/>
      </c>
      <c r="D189" s="50" t="str">
        <f t="shared" ca="1" si="20"/>
        <v/>
      </c>
      <c r="E189" s="50" t="str">
        <f t="shared" ca="1" si="20"/>
        <v/>
      </c>
      <c r="F189" s="50" t="str">
        <f t="shared" ca="1" si="20"/>
        <v/>
      </c>
      <c r="G189" s="50" t="str">
        <f t="shared" ca="1" si="20"/>
        <v/>
      </c>
      <c r="H189" s="50" t="str">
        <f t="shared" ca="1" si="20"/>
        <v/>
      </c>
      <c r="I189" s="50" t="str">
        <f t="shared" ca="1" si="20"/>
        <v/>
      </c>
      <c r="J189" s="50" t="str">
        <f t="shared" ca="1" si="20"/>
        <v/>
      </c>
      <c r="K189" s="50" t="str">
        <f t="shared" ca="1" si="20"/>
        <v/>
      </c>
      <c r="L189" s="50" t="str">
        <f t="shared" ca="1" si="20"/>
        <v/>
      </c>
      <c r="M189" s="50" t="str">
        <f t="shared" ca="1" si="20"/>
        <v/>
      </c>
      <c r="N189" s="50" t="str">
        <f t="shared" ca="1" si="20"/>
        <v/>
      </c>
      <c r="O189" s="50" t="str">
        <f t="shared" ca="1" si="20"/>
        <v/>
      </c>
      <c r="P189" s="50" t="str">
        <f t="shared" ca="1" si="20"/>
        <v/>
      </c>
      <c r="Q189" s="50" t="str">
        <f t="shared" ca="1" si="20"/>
        <v/>
      </c>
      <c r="R189" s="50" t="str">
        <f t="shared" ca="1" si="16"/>
        <v/>
      </c>
    </row>
    <row r="190" spans="1:18" x14ac:dyDescent="0.25">
      <c r="A190" s="21">
        <v>182</v>
      </c>
      <c r="B190" s="22" t="str">
        <f t="shared" ca="1" si="17"/>
        <v/>
      </c>
      <c r="C190" s="50" t="str">
        <f t="shared" ca="1" si="20"/>
        <v/>
      </c>
      <c r="D190" s="50" t="str">
        <f t="shared" ca="1" si="20"/>
        <v/>
      </c>
      <c r="E190" s="50" t="str">
        <f t="shared" ca="1" si="20"/>
        <v/>
      </c>
      <c r="F190" s="50" t="str">
        <f t="shared" ca="1" si="20"/>
        <v/>
      </c>
      <c r="G190" s="50" t="str">
        <f t="shared" ca="1" si="20"/>
        <v/>
      </c>
      <c r="H190" s="50" t="str">
        <f t="shared" ca="1" si="20"/>
        <v/>
      </c>
      <c r="I190" s="50" t="str">
        <f t="shared" ca="1" si="20"/>
        <v/>
      </c>
      <c r="J190" s="50" t="str">
        <f t="shared" ca="1" si="20"/>
        <v/>
      </c>
      <c r="K190" s="50" t="str">
        <f t="shared" ca="1" si="20"/>
        <v/>
      </c>
      <c r="L190" s="50" t="str">
        <f t="shared" ca="1" si="20"/>
        <v/>
      </c>
      <c r="M190" s="50" t="str">
        <f t="shared" ca="1" si="20"/>
        <v/>
      </c>
      <c r="N190" s="50" t="str">
        <f t="shared" ca="1" si="20"/>
        <v/>
      </c>
      <c r="O190" s="50" t="str">
        <f t="shared" ca="1" si="20"/>
        <v/>
      </c>
      <c r="P190" s="50" t="str">
        <f t="shared" ca="1" si="20"/>
        <v/>
      </c>
      <c r="Q190" s="50" t="str">
        <f t="shared" ca="1" si="20"/>
        <v/>
      </c>
      <c r="R190" s="50" t="str">
        <f t="shared" ca="1" si="16"/>
        <v/>
      </c>
    </row>
    <row r="191" spans="1:18" x14ac:dyDescent="0.25">
      <c r="A191" s="21">
        <v>183</v>
      </c>
      <c r="B191" s="22" t="str">
        <f t="shared" ca="1" si="17"/>
        <v/>
      </c>
      <c r="C191" s="50" t="str">
        <f t="shared" ca="1" si="20"/>
        <v/>
      </c>
      <c r="D191" s="50" t="str">
        <f t="shared" ca="1" si="20"/>
        <v/>
      </c>
      <c r="E191" s="50" t="str">
        <f t="shared" ca="1" si="20"/>
        <v/>
      </c>
      <c r="F191" s="50" t="str">
        <f t="shared" ca="1" si="20"/>
        <v/>
      </c>
      <c r="G191" s="50" t="str">
        <f t="shared" ca="1" si="20"/>
        <v/>
      </c>
      <c r="H191" s="50" t="str">
        <f t="shared" ca="1" si="20"/>
        <v/>
      </c>
      <c r="I191" s="50" t="str">
        <f t="shared" ca="1" si="20"/>
        <v/>
      </c>
      <c r="J191" s="50" t="str">
        <f t="shared" ca="1" si="20"/>
        <v/>
      </c>
      <c r="K191" s="50" t="str">
        <f t="shared" ca="1" si="20"/>
        <v/>
      </c>
      <c r="L191" s="50" t="str">
        <f t="shared" ca="1" si="20"/>
        <v/>
      </c>
      <c r="M191" s="50" t="str">
        <f t="shared" ca="1" si="20"/>
        <v/>
      </c>
      <c r="N191" s="50" t="str">
        <f t="shared" ca="1" si="20"/>
        <v/>
      </c>
      <c r="O191" s="50" t="str">
        <f t="shared" ca="1" si="20"/>
        <v/>
      </c>
      <c r="P191" s="50" t="str">
        <f t="shared" ca="1" si="20"/>
        <v/>
      </c>
      <c r="Q191" s="50" t="str">
        <f t="shared" ca="1" si="20"/>
        <v/>
      </c>
      <c r="R191" s="50" t="str">
        <f t="shared" ca="1" si="16"/>
        <v/>
      </c>
    </row>
    <row r="192" spans="1:18" x14ac:dyDescent="0.25">
      <c r="A192" s="21">
        <v>184</v>
      </c>
      <c r="B192" s="22" t="str">
        <f t="shared" ca="1" si="17"/>
        <v/>
      </c>
      <c r="C192" s="50" t="str">
        <f t="shared" ca="1" si="20"/>
        <v/>
      </c>
      <c r="D192" s="50" t="str">
        <f t="shared" ca="1" si="20"/>
        <v/>
      </c>
      <c r="E192" s="50" t="str">
        <f t="shared" ca="1" si="20"/>
        <v/>
      </c>
      <c r="F192" s="50" t="str">
        <f t="shared" ca="1" si="20"/>
        <v/>
      </c>
      <c r="G192" s="50" t="str">
        <f t="shared" ca="1" si="20"/>
        <v/>
      </c>
      <c r="H192" s="50" t="str">
        <f t="shared" ca="1" si="20"/>
        <v/>
      </c>
      <c r="I192" s="50" t="str">
        <f t="shared" ca="1" si="20"/>
        <v/>
      </c>
      <c r="J192" s="50" t="str">
        <f t="shared" ca="1" si="20"/>
        <v/>
      </c>
      <c r="K192" s="50" t="str">
        <f t="shared" ca="1" si="20"/>
        <v/>
      </c>
      <c r="L192" s="50" t="str">
        <f t="shared" ca="1" si="20"/>
        <v/>
      </c>
      <c r="M192" s="50" t="str">
        <f t="shared" ca="1" si="20"/>
        <v/>
      </c>
      <c r="N192" s="50" t="str">
        <f t="shared" ca="1" si="20"/>
        <v/>
      </c>
      <c r="O192" s="50" t="str">
        <f t="shared" ca="1" si="20"/>
        <v/>
      </c>
      <c r="P192" s="50" t="str">
        <f t="shared" ca="1" si="20"/>
        <v/>
      </c>
      <c r="Q192" s="50" t="str">
        <f t="shared" ca="1" si="20"/>
        <v/>
      </c>
      <c r="R192" s="50" t="str">
        <f t="shared" ca="1" si="16"/>
        <v/>
      </c>
    </row>
    <row r="193" spans="1:18" x14ac:dyDescent="0.25">
      <c r="A193" s="21">
        <v>185</v>
      </c>
      <c r="B193" s="22" t="str">
        <f t="shared" ca="1" si="17"/>
        <v/>
      </c>
      <c r="C193" s="50" t="str">
        <f t="shared" ca="1" si="20"/>
        <v/>
      </c>
      <c r="D193" s="50" t="str">
        <f t="shared" ca="1" si="20"/>
        <v/>
      </c>
      <c r="E193" s="50" t="str">
        <f t="shared" ca="1" si="20"/>
        <v/>
      </c>
      <c r="F193" s="50" t="str">
        <f t="shared" ca="1" si="20"/>
        <v/>
      </c>
      <c r="G193" s="50" t="str">
        <f t="shared" ca="1" si="20"/>
        <v/>
      </c>
      <c r="H193" s="50" t="str">
        <f t="shared" ca="1" si="20"/>
        <v/>
      </c>
      <c r="I193" s="50" t="str">
        <f t="shared" ca="1" si="20"/>
        <v/>
      </c>
      <c r="J193" s="50" t="str">
        <f t="shared" ca="1" si="20"/>
        <v/>
      </c>
      <c r="K193" s="50" t="str">
        <f t="shared" ca="1" si="20"/>
        <v/>
      </c>
      <c r="L193" s="50" t="str">
        <f t="shared" ca="1" si="20"/>
        <v/>
      </c>
      <c r="M193" s="50" t="str">
        <f t="shared" ca="1" si="20"/>
        <v/>
      </c>
      <c r="N193" s="50" t="str">
        <f t="shared" ca="1" si="20"/>
        <v/>
      </c>
      <c r="O193" s="50" t="str">
        <f t="shared" ca="1" si="20"/>
        <v/>
      </c>
      <c r="P193" s="50" t="str">
        <f t="shared" ca="1" si="20"/>
        <v/>
      </c>
      <c r="Q193" s="50" t="str">
        <f t="shared" ca="1" si="20"/>
        <v/>
      </c>
      <c r="R193" s="50" t="str">
        <f t="shared" ca="1" si="16"/>
        <v/>
      </c>
    </row>
    <row r="194" spans="1:18" x14ac:dyDescent="0.25">
      <c r="A194" s="21">
        <v>186</v>
      </c>
      <c r="B194" s="22" t="str">
        <f t="shared" ca="1" si="17"/>
        <v/>
      </c>
      <c r="C194" s="50" t="str">
        <f t="shared" ref="C194:Q208" ca="1" si="21">IF(AND($B194=$S$4,C$5&lt;&gt;""),IF(VLOOKUP($A$1&amp;"-"&amp;$A194,INDIRECT($E$2&amp;$E$3),C$4+$B$4,0)="","","'"&amp;C$5&amp;"' =&gt; '"&amp;VLOOKUP($A$1&amp;"-"&amp;$A194,INDIRECT($E$2&amp;$E$3),C$4+$B$4,0)&amp;"', "),"")</f>
        <v/>
      </c>
      <c r="D194" s="50" t="str">
        <f t="shared" ca="1" si="21"/>
        <v/>
      </c>
      <c r="E194" s="50" t="str">
        <f t="shared" ca="1" si="21"/>
        <v/>
      </c>
      <c r="F194" s="50" t="str">
        <f t="shared" ca="1" si="21"/>
        <v/>
      </c>
      <c r="G194" s="50" t="str">
        <f t="shared" ca="1" si="21"/>
        <v/>
      </c>
      <c r="H194" s="50" t="str">
        <f t="shared" ca="1" si="21"/>
        <v/>
      </c>
      <c r="I194" s="50" t="str">
        <f t="shared" ca="1" si="21"/>
        <v/>
      </c>
      <c r="J194" s="50" t="str">
        <f t="shared" ca="1" si="21"/>
        <v/>
      </c>
      <c r="K194" s="50" t="str">
        <f t="shared" ca="1" si="21"/>
        <v/>
      </c>
      <c r="L194" s="50" t="str">
        <f t="shared" ca="1" si="21"/>
        <v/>
      </c>
      <c r="M194" s="50" t="str">
        <f t="shared" ca="1" si="21"/>
        <v/>
      </c>
      <c r="N194" s="50" t="str">
        <f t="shared" ca="1" si="21"/>
        <v/>
      </c>
      <c r="O194" s="50" t="str">
        <f t="shared" ca="1" si="21"/>
        <v/>
      </c>
      <c r="P194" s="50" t="str">
        <f t="shared" ca="1" si="21"/>
        <v/>
      </c>
      <c r="Q194" s="50" t="str">
        <f t="shared" ca="1" si="21"/>
        <v/>
      </c>
      <c r="R194" s="50" t="str">
        <f t="shared" ca="1" si="16"/>
        <v/>
      </c>
    </row>
    <row r="195" spans="1:18" x14ac:dyDescent="0.25">
      <c r="A195" s="21">
        <v>187</v>
      </c>
      <c r="B195" s="22" t="str">
        <f t="shared" ca="1" si="17"/>
        <v/>
      </c>
      <c r="C195" s="50" t="str">
        <f t="shared" ca="1" si="21"/>
        <v/>
      </c>
      <c r="D195" s="50" t="str">
        <f t="shared" ca="1" si="21"/>
        <v/>
      </c>
      <c r="E195" s="50" t="str">
        <f t="shared" ca="1" si="21"/>
        <v/>
      </c>
      <c r="F195" s="50" t="str">
        <f t="shared" ca="1" si="21"/>
        <v/>
      </c>
      <c r="G195" s="50" t="str">
        <f t="shared" ca="1" si="21"/>
        <v/>
      </c>
      <c r="H195" s="50" t="str">
        <f t="shared" ca="1" si="21"/>
        <v/>
      </c>
      <c r="I195" s="50" t="str">
        <f t="shared" ca="1" si="21"/>
        <v/>
      </c>
      <c r="J195" s="50" t="str">
        <f t="shared" ca="1" si="21"/>
        <v/>
      </c>
      <c r="K195" s="50" t="str">
        <f t="shared" ca="1" si="21"/>
        <v/>
      </c>
      <c r="L195" s="50" t="str">
        <f t="shared" ca="1" si="21"/>
        <v/>
      </c>
      <c r="M195" s="50" t="str">
        <f t="shared" ca="1" si="21"/>
        <v/>
      </c>
      <c r="N195" s="50" t="str">
        <f t="shared" ca="1" si="21"/>
        <v/>
      </c>
      <c r="O195" s="50" t="str">
        <f t="shared" ca="1" si="21"/>
        <v/>
      </c>
      <c r="P195" s="50" t="str">
        <f t="shared" ca="1" si="21"/>
        <v/>
      </c>
      <c r="Q195" s="50" t="str">
        <f t="shared" ca="1" si="21"/>
        <v/>
      </c>
      <c r="R195" s="50" t="str">
        <f t="shared" ca="1" si="16"/>
        <v/>
      </c>
    </row>
    <row r="196" spans="1:18" x14ac:dyDescent="0.25">
      <c r="A196" s="21">
        <v>188</v>
      </c>
      <c r="B196" s="22" t="str">
        <f t="shared" ca="1" si="17"/>
        <v/>
      </c>
      <c r="C196" s="50" t="str">
        <f t="shared" ca="1" si="21"/>
        <v/>
      </c>
      <c r="D196" s="50" t="str">
        <f t="shared" ca="1" si="21"/>
        <v/>
      </c>
      <c r="E196" s="50" t="str">
        <f t="shared" ca="1" si="21"/>
        <v/>
      </c>
      <c r="F196" s="50" t="str">
        <f t="shared" ca="1" si="21"/>
        <v/>
      </c>
      <c r="G196" s="50" t="str">
        <f t="shared" ca="1" si="21"/>
        <v/>
      </c>
      <c r="H196" s="50" t="str">
        <f t="shared" ca="1" si="21"/>
        <v/>
      </c>
      <c r="I196" s="50" t="str">
        <f t="shared" ca="1" si="21"/>
        <v/>
      </c>
      <c r="J196" s="50" t="str">
        <f t="shared" ca="1" si="21"/>
        <v/>
      </c>
      <c r="K196" s="50" t="str">
        <f t="shared" ca="1" si="21"/>
        <v/>
      </c>
      <c r="L196" s="50" t="str">
        <f t="shared" ca="1" si="21"/>
        <v/>
      </c>
      <c r="M196" s="50" t="str">
        <f t="shared" ca="1" si="21"/>
        <v/>
      </c>
      <c r="N196" s="50" t="str">
        <f t="shared" ca="1" si="21"/>
        <v/>
      </c>
      <c r="O196" s="50" t="str">
        <f t="shared" ca="1" si="21"/>
        <v/>
      </c>
      <c r="P196" s="50" t="str">
        <f t="shared" ca="1" si="21"/>
        <v/>
      </c>
      <c r="Q196" s="50" t="str">
        <f t="shared" ca="1" si="21"/>
        <v/>
      </c>
      <c r="R196" s="50" t="str">
        <f t="shared" ca="1" si="16"/>
        <v/>
      </c>
    </row>
    <row r="197" spans="1:18" x14ac:dyDescent="0.25">
      <c r="A197" s="21">
        <v>189</v>
      </c>
      <c r="B197" s="22" t="str">
        <f t="shared" ca="1" si="17"/>
        <v/>
      </c>
      <c r="C197" s="50" t="str">
        <f t="shared" ca="1" si="21"/>
        <v/>
      </c>
      <c r="D197" s="50" t="str">
        <f t="shared" ca="1" si="21"/>
        <v/>
      </c>
      <c r="E197" s="50" t="str">
        <f t="shared" ca="1" si="21"/>
        <v/>
      </c>
      <c r="F197" s="50" t="str">
        <f t="shared" ca="1" si="21"/>
        <v/>
      </c>
      <c r="G197" s="50" t="str">
        <f t="shared" ca="1" si="21"/>
        <v/>
      </c>
      <c r="H197" s="50" t="str">
        <f t="shared" ca="1" si="21"/>
        <v/>
      </c>
      <c r="I197" s="50" t="str">
        <f t="shared" ca="1" si="21"/>
        <v/>
      </c>
      <c r="J197" s="50" t="str">
        <f t="shared" ca="1" si="21"/>
        <v/>
      </c>
      <c r="K197" s="50" t="str">
        <f t="shared" ca="1" si="21"/>
        <v/>
      </c>
      <c r="L197" s="50" t="str">
        <f t="shared" ca="1" si="21"/>
        <v/>
      </c>
      <c r="M197" s="50" t="str">
        <f t="shared" ca="1" si="21"/>
        <v/>
      </c>
      <c r="N197" s="50" t="str">
        <f t="shared" ca="1" si="21"/>
        <v/>
      </c>
      <c r="O197" s="50" t="str">
        <f t="shared" ca="1" si="21"/>
        <v/>
      </c>
      <c r="P197" s="50" t="str">
        <f t="shared" ca="1" si="21"/>
        <v/>
      </c>
      <c r="Q197" s="50" t="str">
        <f t="shared" ca="1" si="21"/>
        <v/>
      </c>
      <c r="R197" s="50" t="str">
        <f t="shared" ca="1" si="16"/>
        <v/>
      </c>
    </row>
    <row r="198" spans="1:18" x14ac:dyDescent="0.25">
      <c r="A198" s="21">
        <v>190</v>
      </c>
      <c r="B198" s="22" t="str">
        <f t="shared" ca="1" si="17"/>
        <v/>
      </c>
      <c r="C198" s="50" t="str">
        <f t="shared" ca="1" si="21"/>
        <v/>
      </c>
      <c r="D198" s="50" t="str">
        <f t="shared" ca="1" si="21"/>
        <v/>
      </c>
      <c r="E198" s="50" t="str">
        <f t="shared" ca="1" si="21"/>
        <v/>
      </c>
      <c r="F198" s="50" t="str">
        <f t="shared" ca="1" si="21"/>
        <v/>
      </c>
      <c r="G198" s="50" t="str">
        <f t="shared" ca="1" si="21"/>
        <v/>
      </c>
      <c r="H198" s="50" t="str">
        <f t="shared" ca="1" si="21"/>
        <v/>
      </c>
      <c r="I198" s="50" t="str">
        <f t="shared" ca="1" si="21"/>
        <v/>
      </c>
      <c r="J198" s="50" t="str">
        <f t="shared" ca="1" si="21"/>
        <v/>
      </c>
      <c r="K198" s="50" t="str">
        <f t="shared" ca="1" si="21"/>
        <v/>
      </c>
      <c r="L198" s="50" t="str">
        <f t="shared" ca="1" si="21"/>
        <v/>
      </c>
      <c r="M198" s="50" t="str">
        <f t="shared" ca="1" si="21"/>
        <v/>
      </c>
      <c r="N198" s="50" t="str">
        <f t="shared" ca="1" si="21"/>
        <v/>
      </c>
      <c r="O198" s="50" t="str">
        <f t="shared" ca="1" si="21"/>
        <v/>
      </c>
      <c r="P198" s="50" t="str">
        <f t="shared" ca="1" si="21"/>
        <v/>
      </c>
      <c r="Q198" s="50" t="str">
        <f t="shared" ca="1" si="21"/>
        <v/>
      </c>
      <c r="R198" s="50" t="str">
        <f t="shared" ca="1" si="16"/>
        <v/>
      </c>
    </row>
    <row r="199" spans="1:18" x14ac:dyDescent="0.25">
      <c r="A199" s="21">
        <v>191</v>
      </c>
      <c r="B199" s="22" t="str">
        <f t="shared" ca="1" si="17"/>
        <v/>
      </c>
      <c r="C199" s="50" t="str">
        <f t="shared" ca="1" si="21"/>
        <v/>
      </c>
      <c r="D199" s="50" t="str">
        <f t="shared" ca="1" si="21"/>
        <v/>
      </c>
      <c r="E199" s="50" t="str">
        <f t="shared" ca="1" si="21"/>
        <v/>
      </c>
      <c r="F199" s="50" t="str">
        <f t="shared" ca="1" si="21"/>
        <v/>
      </c>
      <c r="G199" s="50" t="str">
        <f t="shared" ca="1" si="21"/>
        <v/>
      </c>
      <c r="H199" s="50" t="str">
        <f t="shared" ca="1" si="21"/>
        <v/>
      </c>
      <c r="I199" s="50" t="str">
        <f t="shared" ca="1" si="21"/>
        <v/>
      </c>
      <c r="J199" s="50" t="str">
        <f t="shared" ca="1" si="21"/>
        <v/>
      </c>
      <c r="K199" s="50" t="str">
        <f t="shared" ca="1" si="21"/>
        <v/>
      </c>
      <c r="L199" s="50" t="str">
        <f t="shared" ca="1" si="21"/>
        <v/>
      </c>
      <c r="M199" s="50" t="str">
        <f t="shared" ca="1" si="21"/>
        <v/>
      </c>
      <c r="N199" s="50" t="str">
        <f t="shared" ca="1" si="21"/>
        <v/>
      </c>
      <c r="O199" s="50" t="str">
        <f t="shared" ca="1" si="21"/>
        <v/>
      </c>
      <c r="P199" s="50" t="str">
        <f t="shared" ca="1" si="21"/>
        <v/>
      </c>
      <c r="Q199" s="50" t="str">
        <f t="shared" ca="1" si="21"/>
        <v/>
      </c>
      <c r="R199" s="50" t="str">
        <f t="shared" ref="R199:R208" ca="1" si="22">IF(B199=$S$4,$T$4,"")</f>
        <v/>
      </c>
    </row>
    <row r="200" spans="1:18" x14ac:dyDescent="0.25">
      <c r="A200" s="21">
        <v>192</v>
      </c>
      <c r="B200" s="22" t="str">
        <f t="shared" ca="1" si="17"/>
        <v/>
      </c>
      <c r="C200" s="50" t="str">
        <f t="shared" ca="1" si="21"/>
        <v/>
      </c>
      <c r="D200" s="50" t="str">
        <f t="shared" ca="1" si="21"/>
        <v/>
      </c>
      <c r="E200" s="50" t="str">
        <f t="shared" ca="1" si="21"/>
        <v/>
      </c>
      <c r="F200" s="50" t="str">
        <f t="shared" ca="1" si="21"/>
        <v/>
      </c>
      <c r="G200" s="50" t="str">
        <f t="shared" ca="1" si="21"/>
        <v/>
      </c>
      <c r="H200" s="50" t="str">
        <f t="shared" ca="1" si="21"/>
        <v/>
      </c>
      <c r="I200" s="50" t="str">
        <f t="shared" ca="1" si="21"/>
        <v/>
      </c>
      <c r="J200" s="50" t="str">
        <f t="shared" ca="1" si="21"/>
        <v/>
      </c>
      <c r="K200" s="50" t="str">
        <f t="shared" ca="1" si="21"/>
        <v/>
      </c>
      <c r="L200" s="50" t="str">
        <f t="shared" ca="1" si="21"/>
        <v/>
      </c>
      <c r="M200" s="50" t="str">
        <f t="shared" ca="1" si="21"/>
        <v/>
      </c>
      <c r="N200" s="50" t="str">
        <f t="shared" ca="1" si="21"/>
        <v/>
      </c>
      <c r="O200" s="50" t="str">
        <f t="shared" ca="1" si="21"/>
        <v/>
      </c>
      <c r="P200" s="50" t="str">
        <f t="shared" ca="1" si="21"/>
        <v/>
      </c>
      <c r="Q200" s="50" t="str">
        <f t="shared" ca="1" si="21"/>
        <v/>
      </c>
      <c r="R200" s="50" t="str">
        <f t="shared" ca="1" si="22"/>
        <v/>
      </c>
    </row>
    <row r="201" spans="1:18" x14ac:dyDescent="0.25">
      <c r="A201" s="21">
        <v>193</v>
      </c>
      <c r="B201" s="22" t="str">
        <f t="shared" ca="1" si="17"/>
        <v/>
      </c>
      <c r="C201" s="50" t="str">
        <f t="shared" ca="1" si="21"/>
        <v/>
      </c>
      <c r="D201" s="50" t="str">
        <f t="shared" ca="1" si="21"/>
        <v/>
      </c>
      <c r="E201" s="50" t="str">
        <f t="shared" ca="1" si="21"/>
        <v/>
      </c>
      <c r="F201" s="50" t="str">
        <f t="shared" ca="1" si="21"/>
        <v/>
      </c>
      <c r="G201" s="50" t="str">
        <f t="shared" ca="1" si="21"/>
        <v/>
      </c>
      <c r="H201" s="50" t="str">
        <f t="shared" ca="1" si="21"/>
        <v/>
      </c>
      <c r="I201" s="50" t="str">
        <f t="shared" ca="1" si="21"/>
        <v/>
      </c>
      <c r="J201" s="50" t="str">
        <f t="shared" ca="1" si="21"/>
        <v/>
      </c>
      <c r="K201" s="50" t="str">
        <f t="shared" ca="1" si="21"/>
        <v/>
      </c>
      <c r="L201" s="50" t="str">
        <f t="shared" ca="1" si="21"/>
        <v/>
      </c>
      <c r="M201" s="50" t="str">
        <f t="shared" ca="1" si="21"/>
        <v/>
      </c>
      <c r="N201" s="50" t="str">
        <f t="shared" ca="1" si="21"/>
        <v/>
      </c>
      <c r="O201" s="50" t="str">
        <f t="shared" ca="1" si="21"/>
        <v/>
      </c>
      <c r="P201" s="50" t="str">
        <f t="shared" ca="1" si="21"/>
        <v/>
      </c>
      <c r="Q201" s="50" t="str">
        <f t="shared" ca="1" si="21"/>
        <v/>
      </c>
      <c r="R201" s="50" t="str">
        <f t="shared" ca="1" si="22"/>
        <v/>
      </c>
    </row>
    <row r="202" spans="1:18" x14ac:dyDescent="0.25">
      <c r="A202" s="21">
        <v>194</v>
      </c>
      <c r="B202" s="22" t="str">
        <f t="shared" ref="B202:B208" ca="1" si="23">IF($B201="","",IF($B201=";",$I$3,IF($B201=$I$3,"",IF(ISNA(VLOOKUP($A$1&amp;"-"&amp;$A202,INDIRECT($E$2&amp;$E$3),1,0)),";",$S$4))))</f>
        <v/>
      </c>
      <c r="C202" s="50" t="str">
        <f t="shared" ca="1" si="21"/>
        <v/>
      </c>
      <c r="D202" s="50" t="str">
        <f t="shared" ca="1" si="21"/>
        <v/>
      </c>
      <c r="E202" s="50" t="str">
        <f t="shared" ca="1" si="21"/>
        <v/>
      </c>
      <c r="F202" s="50" t="str">
        <f t="shared" ca="1" si="21"/>
        <v/>
      </c>
      <c r="G202" s="50" t="str">
        <f t="shared" ca="1" si="21"/>
        <v/>
      </c>
      <c r="H202" s="50" t="str">
        <f t="shared" ca="1" si="21"/>
        <v/>
      </c>
      <c r="I202" s="50" t="str">
        <f t="shared" ca="1" si="21"/>
        <v/>
      </c>
      <c r="J202" s="50" t="str">
        <f t="shared" ca="1" si="21"/>
        <v/>
      </c>
      <c r="K202" s="50" t="str">
        <f t="shared" ca="1" si="21"/>
        <v/>
      </c>
      <c r="L202" s="50" t="str">
        <f t="shared" ca="1" si="21"/>
        <v/>
      </c>
      <c r="M202" s="50" t="str">
        <f t="shared" ca="1" si="21"/>
        <v/>
      </c>
      <c r="N202" s="50" t="str">
        <f t="shared" ca="1" si="21"/>
        <v/>
      </c>
      <c r="O202" s="50" t="str">
        <f t="shared" ca="1" si="21"/>
        <v/>
      </c>
      <c r="P202" s="50" t="str">
        <f t="shared" ca="1" si="21"/>
        <v/>
      </c>
      <c r="Q202" s="50" t="str">
        <f t="shared" ca="1" si="21"/>
        <v/>
      </c>
      <c r="R202" s="50" t="str">
        <f t="shared" ca="1" si="22"/>
        <v/>
      </c>
    </row>
    <row r="203" spans="1:18" x14ac:dyDescent="0.25">
      <c r="A203" s="21">
        <v>195</v>
      </c>
      <c r="B203" s="22" t="str">
        <f t="shared" ca="1" si="23"/>
        <v/>
      </c>
      <c r="C203" s="50" t="str">
        <f t="shared" ca="1" si="21"/>
        <v/>
      </c>
      <c r="D203" s="50" t="str">
        <f t="shared" ca="1" si="21"/>
        <v/>
      </c>
      <c r="E203" s="50" t="str">
        <f t="shared" ca="1" si="21"/>
        <v/>
      </c>
      <c r="F203" s="50" t="str">
        <f t="shared" ca="1" si="21"/>
        <v/>
      </c>
      <c r="G203" s="50" t="str">
        <f t="shared" ca="1" si="21"/>
        <v/>
      </c>
      <c r="H203" s="50" t="str">
        <f t="shared" ca="1" si="21"/>
        <v/>
      </c>
      <c r="I203" s="50" t="str">
        <f t="shared" ca="1" si="21"/>
        <v/>
      </c>
      <c r="J203" s="50" t="str">
        <f t="shared" ca="1" si="21"/>
        <v/>
      </c>
      <c r="K203" s="50" t="str">
        <f t="shared" ca="1" si="21"/>
        <v/>
      </c>
      <c r="L203" s="50" t="str">
        <f t="shared" ca="1" si="21"/>
        <v/>
      </c>
      <c r="M203" s="50" t="str">
        <f t="shared" ca="1" si="21"/>
        <v/>
      </c>
      <c r="N203" s="50" t="str">
        <f t="shared" ca="1" si="21"/>
        <v/>
      </c>
      <c r="O203" s="50" t="str">
        <f t="shared" ca="1" si="21"/>
        <v/>
      </c>
      <c r="P203" s="50" t="str">
        <f t="shared" ca="1" si="21"/>
        <v/>
      </c>
      <c r="Q203" s="50" t="str">
        <f t="shared" ca="1" si="21"/>
        <v/>
      </c>
      <c r="R203" s="50" t="str">
        <f t="shared" ca="1" si="22"/>
        <v/>
      </c>
    </row>
    <row r="204" spans="1:18" x14ac:dyDescent="0.25">
      <c r="A204" s="21">
        <v>196</v>
      </c>
      <c r="B204" s="22" t="str">
        <f t="shared" ca="1" si="23"/>
        <v/>
      </c>
      <c r="C204" s="50" t="str">
        <f t="shared" ca="1" si="21"/>
        <v/>
      </c>
      <c r="D204" s="50" t="str">
        <f t="shared" ca="1" si="21"/>
        <v/>
      </c>
      <c r="E204" s="50" t="str">
        <f t="shared" ca="1" si="21"/>
        <v/>
      </c>
      <c r="F204" s="50" t="str">
        <f t="shared" ca="1" si="21"/>
        <v/>
      </c>
      <c r="G204" s="50" t="str">
        <f t="shared" ca="1" si="21"/>
        <v/>
      </c>
      <c r="H204" s="50" t="str">
        <f t="shared" ca="1" si="21"/>
        <v/>
      </c>
      <c r="I204" s="50" t="str">
        <f t="shared" ca="1" si="21"/>
        <v/>
      </c>
      <c r="J204" s="50" t="str">
        <f t="shared" ca="1" si="21"/>
        <v/>
      </c>
      <c r="K204" s="50" t="str">
        <f t="shared" ca="1" si="21"/>
        <v/>
      </c>
      <c r="L204" s="50" t="str">
        <f t="shared" ca="1" si="21"/>
        <v/>
      </c>
      <c r="M204" s="50" t="str">
        <f t="shared" ca="1" si="21"/>
        <v/>
      </c>
      <c r="N204" s="50" t="str">
        <f t="shared" ca="1" si="21"/>
        <v/>
      </c>
      <c r="O204" s="50" t="str">
        <f t="shared" ca="1" si="21"/>
        <v/>
      </c>
      <c r="P204" s="50" t="str">
        <f t="shared" ca="1" si="21"/>
        <v/>
      </c>
      <c r="Q204" s="50" t="str">
        <f t="shared" ca="1" si="21"/>
        <v/>
      </c>
      <c r="R204" s="50" t="str">
        <f t="shared" ca="1" si="22"/>
        <v/>
      </c>
    </row>
    <row r="205" spans="1:18" x14ac:dyDescent="0.25">
      <c r="A205" s="21">
        <v>197</v>
      </c>
      <c r="B205" s="22" t="str">
        <f t="shared" ca="1" si="23"/>
        <v/>
      </c>
      <c r="C205" s="50" t="str">
        <f t="shared" ca="1" si="21"/>
        <v/>
      </c>
      <c r="D205" s="50" t="str">
        <f t="shared" ca="1" si="21"/>
        <v/>
      </c>
      <c r="E205" s="50" t="str">
        <f t="shared" ca="1" si="21"/>
        <v/>
      </c>
      <c r="F205" s="50" t="str">
        <f t="shared" ca="1" si="21"/>
        <v/>
      </c>
      <c r="G205" s="50" t="str">
        <f t="shared" ca="1" si="21"/>
        <v/>
      </c>
      <c r="H205" s="50" t="str">
        <f t="shared" ca="1" si="21"/>
        <v/>
      </c>
      <c r="I205" s="50" t="str">
        <f t="shared" ca="1" si="21"/>
        <v/>
      </c>
      <c r="J205" s="50" t="str">
        <f t="shared" ca="1" si="21"/>
        <v/>
      </c>
      <c r="K205" s="50" t="str">
        <f t="shared" ca="1" si="21"/>
        <v/>
      </c>
      <c r="L205" s="50" t="str">
        <f t="shared" ca="1" si="21"/>
        <v/>
      </c>
      <c r="M205" s="50" t="str">
        <f t="shared" ca="1" si="21"/>
        <v/>
      </c>
      <c r="N205" s="50" t="str">
        <f t="shared" ca="1" si="21"/>
        <v/>
      </c>
      <c r="O205" s="50" t="str">
        <f t="shared" ca="1" si="21"/>
        <v/>
      </c>
      <c r="P205" s="50" t="str">
        <f t="shared" ca="1" si="21"/>
        <v/>
      </c>
      <c r="Q205" s="50" t="str">
        <f t="shared" ca="1" si="21"/>
        <v/>
      </c>
      <c r="R205" s="50" t="str">
        <f t="shared" ca="1" si="22"/>
        <v/>
      </c>
    </row>
    <row r="206" spans="1:18" x14ac:dyDescent="0.25">
      <c r="A206" s="21">
        <v>198</v>
      </c>
      <c r="B206" s="22" t="str">
        <f t="shared" ca="1" si="23"/>
        <v/>
      </c>
      <c r="C206" s="50" t="str">
        <f t="shared" ca="1" si="21"/>
        <v/>
      </c>
      <c r="D206" s="50" t="str">
        <f t="shared" ca="1" si="21"/>
        <v/>
      </c>
      <c r="E206" s="50" t="str">
        <f t="shared" ca="1" si="21"/>
        <v/>
      </c>
      <c r="F206" s="50" t="str">
        <f t="shared" ca="1" si="21"/>
        <v/>
      </c>
      <c r="G206" s="50" t="str">
        <f t="shared" ca="1" si="21"/>
        <v/>
      </c>
      <c r="H206" s="50" t="str">
        <f t="shared" ca="1" si="21"/>
        <v/>
      </c>
      <c r="I206" s="50" t="str">
        <f t="shared" ca="1" si="21"/>
        <v/>
      </c>
      <c r="J206" s="50" t="str">
        <f t="shared" ca="1" si="21"/>
        <v/>
      </c>
      <c r="K206" s="50" t="str">
        <f t="shared" ca="1" si="21"/>
        <v/>
      </c>
      <c r="L206" s="50" t="str">
        <f t="shared" ca="1" si="21"/>
        <v/>
      </c>
      <c r="M206" s="50" t="str">
        <f t="shared" ca="1" si="21"/>
        <v/>
      </c>
      <c r="N206" s="50" t="str">
        <f t="shared" ca="1" si="21"/>
        <v/>
      </c>
      <c r="O206" s="50" t="str">
        <f t="shared" ca="1" si="21"/>
        <v/>
      </c>
      <c r="P206" s="50" t="str">
        <f t="shared" ca="1" si="21"/>
        <v/>
      </c>
      <c r="Q206" s="50" t="str">
        <f t="shared" ca="1" si="21"/>
        <v/>
      </c>
      <c r="R206" s="50" t="str">
        <f t="shared" ca="1" si="22"/>
        <v/>
      </c>
    </row>
    <row r="207" spans="1:18" x14ac:dyDescent="0.25">
      <c r="A207" s="21">
        <v>199</v>
      </c>
      <c r="B207" s="22" t="str">
        <f t="shared" ca="1" si="23"/>
        <v/>
      </c>
      <c r="C207" s="50" t="str">
        <f t="shared" ca="1" si="21"/>
        <v/>
      </c>
      <c r="D207" s="50" t="str">
        <f t="shared" ca="1" si="21"/>
        <v/>
      </c>
      <c r="E207" s="50" t="str">
        <f t="shared" ca="1" si="21"/>
        <v/>
      </c>
      <c r="F207" s="50" t="str">
        <f t="shared" ca="1" si="21"/>
        <v/>
      </c>
      <c r="G207" s="50" t="str">
        <f t="shared" ca="1" si="21"/>
        <v/>
      </c>
      <c r="H207" s="50" t="str">
        <f t="shared" ca="1" si="21"/>
        <v/>
      </c>
      <c r="I207" s="50" t="str">
        <f t="shared" ca="1" si="21"/>
        <v/>
      </c>
      <c r="J207" s="50" t="str">
        <f t="shared" ca="1" si="21"/>
        <v/>
      </c>
      <c r="K207" s="50" t="str">
        <f t="shared" ca="1" si="21"/>
        <v/>
      </c>
      <c r="L207" s="50" t="str">
        <f t="shared" ca="1" si="21"/>
        <v/>
      </c>
      <c r="M207" s="50" t="str">
        <f t="shared" ca="1" si="21"/>
        <v/>
      </c>
      <c r="N207" s="50" t="str">
        <f t="shared" ca="1" si="21"/>
        <v/>
      </c>
      <c r="O207" s="50" t="str">
        <f t="shared" ca="1" si="21"/>
        <v/>
      </c>
      <c r="P207" s="50" t="str">
        <f t="shared" ca="1" si="21"/>
        <v/>
      </c>
      <c r="Q207" s="50" t="str">
        <f t="shared" ca="1" si="21"/>
        <v/>
      </c>
      <c r="R207" s="50" t="str">
        <f t="shared" ca="1" si="22"/>
        <v/>
      </c>
    </row>
    <row r="208" spans="1:18" x14ac:dyDescent="0.25">
      <c r="A208" s="21">
        <v>200</v>
      </c>
      <c r="B208" s="22" t="str">
        <f t="shared" ca="1" si="23"/>
        <v/>
      </c>
      <c r="C208" s="50" t="str">
        <f t="shared" ca="1" si="21"/>
        <v/>
      </c>
      <c r="D208" s="50" t="str">
        <f t="shared" ca="1" si="21"/>
        <v/>
      </c>
      <c r="E208" s="50" t="str">
        <f t="shared" ca="1" si="21"/>
        <v/>
      </c>
      <c r="F208" s="50" t="str">
        <f t="shared" ca="1" si="21"/>
        <v/>
      </c>
      <c r="G208" s="50" t="str">
        <f t="shared" ca="1" si="21"/>
        <v/>
      </c>
      <c r="H208" s="50" t="str">
        <f t="shared" ca="1" si="21"/>
        <v/>
      </c>
      <c r="I208" s="50" t="str">
        <f t="shared" ca="1" si="21"/>
        <v/>
      </c>
      <c r="J208" s="50" t="str">
        <f t="shared" ca="1" si="21"/>
        <v/>
      </c>
      <c r="K208" s="50" t="str">
        <f t="shared" ca="1" si="21"/>
        <v/>
      </c>
      <c r="L208" s="50" t="str">
        <f t="shared" ca="1" si="21"/>
        <v/>
      </c>
      <c r="M208" s="50" t="str">
        <f t="shared" ca="1" si="21"/>
        <v/>
      </c>
      <c r="N208" s="50" t="str">
        <f t="shared" ca="1" si="21"/>
        <v/>
      </c>
      <c r="O208" s="50" t="str">
        <f t="shared" ca="1" si="21"/>
        <v/>
      </c>
      <c r="P208" s="50" t="str">
        <f t="shared" ca="1" si="21"/>
        <v/>
      </c>
      <c r="Q208" s="50" t="str">
        <f t="shared" ca="1" si="21"/>
        <v/>
      </c>
      <c r="R208" s="50" t="str">
        <f t="shared" ca="1" si="22"/>
        <v/>
      </c>
    </row>
  </sheetData>
  <mergeCells count="10">
    <mergeCell ref="B6:R6"/>
    <mergeCell ref="B7:R7"/>
    <mergeCell ref="B8:R8"/>
    <mergeCell ref="A1:D3"/>
    <mergeCell ref="E1:H1"/>
    <mergeCell ref="I1:R1"/>
    <mergeCell ref="E2:H2"/>
    <mergeCell ref="I2:R2"/>
    <mergeCell ref="E3:H3"/>
    <mergeCell ref="I3:R3"/>
  </mergeCells>
  <dataValidations count="1">
    <dataValidation type="list" allowBlank="1" showInputMessage="1" showErrorMessage="1" sqref="A1:D3">
      <formula1>AvailableSeeders</formula1>
    </dataValidation>
  </dataValidations>
  <pageMargins left="0.7" right="0.7" top="0.75" bottom="0.75" header="0.3" footer="0.3"/>
  <pageSetup paperSize="9" orientation="portrait" horizontalDpi="4294967293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"/>
  <sheetViews>
    <sheetView topLeftCell="E1" workbookViewId="0">
      <selection activeCell="G7" sqref="G7"/>
    </sheetView>
  </sheetViews>
  <sheetFormatPr defaultRowHeight="15" x14ac:dyDescent="0.25"/>
  <cols>
    <col min="1" max="1" width="15" hidden="1" customWidth="1"/>
    <col min="2" max="2" width="23.28515625" hidden="1" customWidth="1"/>
    <col min="3" max="3" width="11.140625" hidden="1" customWidth="1"/>
    <col min="4" max="4" width="9.5703125" hidden="1" customWidth="1"/>
    <col min="5" max="5" width="23.28515625" bestFit="1" customWidth="1"/>
    <col min="6" max="6" width="43.28515625" bestFit="1" customWidth="1"/>
    <col min="7" max="7" width="18.42578125" bestFit="1" customWidth="1"/>
    <col min="8" max="8" width="20.140625" bestFit="1" customWidth="1"/>
    <col min="9" max="9" width="27.28515625" bestFit="1" customWidth="1"/>
    <col min="10" max="10" width="26.7109375" bestFit="1" customWidth="1"/>
    <col min="11" max="11" width="23.5703125" bestFit="1" customWidth="1"/>
    <col min="12" max="12" width="15.5703125" bestFit="1" customWidth="1"/>
    <col min="15" max="19" width="28.28515625" customWidth="1"/>
    <col min="20" max="20" width="11.7109375" hidden="1" customWidth="1"/>
    <col min="21" max="26" width="9.140625" hidden="1" customWidth="1"/>
  </cols>
  <sheetData>
    <row r="1" spans="1:26" x14ac:dyDescent="0.25">
      <c r="A1" s="20" t="s">
        <v>344</v>
      </c>
      <c r="B1" s="20" t="s">
        <v>345</v>
      </c>
      <c r="C1" s="20" t="s">
        <v>299</v>
      </c>
      <c r="D1" s="18" t="s">
        <v>99</v>
      </c>
      <c r="E1" s="18" t="s">
        <v>1</v>
      </c>
      <c r="F1" s="18" t="s">
        <v>102</v>
      </c>
      <c r="G1" s="18" t="s">
        <v>97</v>
      </c>
      <c r="H1" s="18" t="s">
        <v>116</v>
      </c>
      <c r="I1" s="18" t="s">
        <v>12</v>
      </c>
      <c r="J1" s="18" t="s">
        <v>117</v>
      </c>
      <c r="K1" s="18" t="s">
        <v>118</v>
      </c>
      <c r="L1" s="20" t="s">
        <v>298</v>
      </c>
      <c r="M1" s="20" t="s">
        <v>480</v>
      </c>
      <c r="O1" s="20" t="s">
        <v>538</v>
      </c>
      <c r="P1" s="20" t="s">
        <v>122</v>
      </c>
      <c r="Q1" s="20" t="s">
        <v>121</v>
      </c>
      <c r="R1" s="20" t="s">
        <v>130</v>
      </c>
      <c r="S1" s="20" t="s">
        <v>224</v>
      </c>
      <c r="T1" s="20" t="s">
        <v>344</v>
      </c>
      <c r="U1" s="20" t="s">
        <v>307</v>
      </c>
      <c r="V1" s="20" t="s">
        <v>86</v>
      </c>
      <c r="W1" s="20" t="s">
        <v>539</v>
      </c>
      <c r="X1" s="20" t="s">
        <v>540</v>
      </c>
      <c r="Y1" s="20" t="s">
        <v>541</v>
      </c>
      <c r="Z1" s="20" t="s">
        <v>335</v>
      </c>
    </row>
    <row r="2" spans="1:26" x14ac:dyDescent="0.25">
      <c r="A2" s="32" t="str">
        <f>Page&amp;"-"&amp;(COUNTA($E$1:ResourceTable[[#This Row],[Name]])-2)</f>
        <v>Resources-0</v>
      </c>
      <c r="B2" s="30" t="str">
        <f>ResourceTable[[#This Row],[Name]]</f>
        <v>name</v>
      </c>
      <c r="C2" s="32">
        <f>COUNTA($A$1:ResourceTable[[#This Row],[Primary]])-2</f>
        <v>0</v>
      </c>
      <c r="D2" s="32" t="str">
        <f>IF(ResourceTable[[#This Row],[RID]]=0,"id",ResourceTable[[#This Row],[RID]]+IF(ISNUMBER(VLOOKUP(Page,SeedMap[],9,0)),VLOOKUP(Page,SeedMap[],9,0),0))</f>
        <v>id</v>
      </c>
      <c r="E2" s="5" t="s">
        <v>23</v>
      </c>
      <c r="F2" s="5" t="s">
        <v>24</v>
      </c>
      <c r="G2" s="5" t="s">
        <v>25</v>
      </c>
      <c r="H2" s="8" t="s">
        <v>26</v>
      </c>
      <c r="I2" s="5" t="s">
        <v>27</v>
      </c>
      <c r="J2" s="5" t="s">
        <v>28</v>
      </c>
      <c r="K2" s="1" t="s">
        <v>29</v>
      </c>
      <c r="L2" s="1" t="s">
        <v>289</v>
      </c>
      <c r="M2" s="32" t="str">
        <f>ResourceTable[No]</f>
        <v>id</v>
      </c>
      <c r="O2" s="1"/>
      <c r="P2" s="1"/>
      <c r="Q2" s="1"/>
      <c r="R2" s="1"/>
      <c r="S2" s="1"/>
      <c r="T2" s="6" t="str">
        <f>'Table Seed Map'!$A$39&amp;"-"&amp;COUNTA($O$2:ResourceDefaultsTable[[#This Row],[Select Resource for Default]])</f>
        <v>Resource Defaults-0</v>
      </c>
      <c r="U2" s="6" t="str">
        <f>IF(ResourceDefaultsTable[[#This Row],[Select Resource for Default]]="","id",COUNTA($O$2:ResourceDefaultsTable[[#This Row],[Select Resource for Default]])+VLOOKUP('Table Seed Map'!$A$39,SeedMap[],9,0))</f>
        <v>id</v>
      </c>
      <c r="V2" s="6" t="str">
        <f>IF(ResourceDefaultsTable[[#This Row],[Select Resource for Default]]="","resource",VLOOKUP(ResourceDefaultsTable[[#This Row],[Select Resource for Default]],ResourceTable[[RName]:[No]],3,0))</f>
        <v>resource</v>
      </c>
      <c r="W2" s="6" t="str">
        <f>IF(ResourceDefaultsTable[[#This Row],[Select Resource for Default]]="","list",IFERROR(VLOOKUP(ResourceDefaultsTable[[#This Row],[List]],ResourceAction[[Display]:[No]],3,0),""))</f>
        <v>list</v>
      </c>
      <c r="X2" s="6" t="str">
        <f>IF(ResourceDefaultsTable[[#This Row],[Select Resource for Default]]="","create",IFERROR(VLOOKUP(ResourceDefaultsTable[[#This Row],[Form]],ResourceAction[[Display]:[No]],3,0),""))</f>
        <v>create</v>
      </c>
      <c r="Y2" s="6" t="str">
        <f>IF(ResourceDefaultsTable[[#This Row],[Select Resource for Default]]="","read",IFERROR(VLOOKUP(ResourceDefaultsTable[[#This Row],[Data]],ResourceAction[[Display]:[No]],3,0),""))</f>
        <v>read</v>
      </c>
      <c r="Z2" s="6" t="str">
        <f>IF(ResourceDefaultsTable[[#This Row],[Select Resource for Default]]="","update",IFERROR(VLOOKUP(ResourceDefaultsTable[[#This Row],[FormWithData]],ResourceAction[[Display]:[No]],3,0),""))</f>
        <v>update</v>
      </c>
    </row>
    <row r="3" spans="1:26" x14ac:dyDescent="0.25">
      <c r="A3" s="62" t="str">
        <f>Page&amp;"-"&amp;(COUNTA($E$1:ResourceTable[[#This Row],[Name]])-2)</f>
        <v>Resources-1</v>
      </c>
      <c r="B3" s="60" t="str">
        <f>ResourceTable[[#This Row],[Name]]</f>
        <v>Partner</v>
      </c>
      <c r="C3" s="64">
        <f>COUNTA($A$1:ResourceTable[[#This Row],[Primary]])-2</f>
        <v>1</v>
      </c>
      <c r="D3" s="64">
        <f>IF(ResourceTable[[#This Row],[RID]]=0,"id",ResourceTable[[#This Row],[RID]]+IF(ISNUMBER(VLOOKUP(Page,SeedMap[],9,0)),VLOOKUP(Page,SeedMap[],9,0),0))</f>
        <v>800501</v>
      </c>
      <c r="E3" s="63" t="s">
        <v>844</v>
      </c>
      <c r="F3" s="63" t="s">
        <v>848</v>
      </c>
      <c r="G3" s="63" t="s">
        <v>853</v>
      </c>
      <c r="H3" s="62" t="str">
        <f t="shared" ref="H3:H7" si="0">"Milestone\Task\Model"</f>
        <v>Milestone\Task\Model</v>
      </c>
      <c r="I3" s="63" t="s">
        <v>75</v>
      </c>
      <c r="J3" s="63"/>
      <c r="K3" s="63"/>
      <c r="L3" s="63"/>
      <c r="M3" s="64">
        <f>ResourceTable[No]</f>
        <v>800501</v>
      </c>
    </row>
    <row r="4" spans="1:26" x14ac:dyDescent="0.25">
      <c r="A4" s="62" t="str">
        <f>Page&amp;"-"&amp;(COUNTA($E$1:ResourceTable[[#This Row],[Name]])-2)</f>
        <v>Resources-2</v>
      </c>
      <c r="B4" s="60" t="str">
        <f>ResourceTable[[#This Row],[Name]]</f>
        <v>Group</v>
      </c>
      <c r="C4" s="64">
        <f>COUNTA($A$1:ResourceTable[[#This Row],[Primary]])-2</f>
        <v>2</v>
      </c>
      <c r="D4" s="64">
        <f>IF(ResourceTable[[#This Row],[RID]]=0,"id",ResourceTable[[#This Row],[RID]]+IF(ISNUMBER(VLOOKUP(Page,SeedMap[],9,0)),VLOOKUP(Page,SeedMap[],9,0),0))</f>
        <v>800502</v>
      </c>
      <c r="E4" s="63" t="s">
        <v>96</v>
      </c>
      <c r="F4" s="63" t="s">
        <v>849</v>
      </c>
      <c r="G4" s="63" t="s">
        <v>76</v>
      </c>
      <c r="H4" s="62" t="str">
        <f t="shared" si="0"/>
        <v>Milestone\Task\Model</v>
      </c>
      <c r="I4" s="63" t="s">
        <v>59</v>
      </c>
      <c r="J4" s="63"/>
      <c r="K4" s="63"/>
      <c r="L4" s="63"/>
      <c r="M4" s="64">
        <f>ResourceTable[No]</f>
        <v>800502</v>
      </c>
    </row>
    <row r="5" spans="1:26" x14ac:dyDescent="0.25">
      <c r="A5" s="62" t="str">
        <f>Page&amp;"-"&amp;(COUNTA($E$1:ResourceTable[[#This Row],[Name]])-2)</f>
        <v>Resources-3</v>
      </c>
      <c r="B5" s="60" t="str">
        <f>ResourceTable[[#This Row],[Name]]</f>
        <v>GroupPartner</v>
      </c>
      <c r="C5" s="64">
        <f>COUNTA($A$1:ResourceTable[[#This Row],[Primary]])-2</f>
        <v>3</v>
      </c>
      <c r="D5" s="64">
        <f>IF(ResourceTable[[#This Row],[RID]]=0,"id",ResourceTable[[#This Row],[RID]]+IF(ISNUMBER(VLOOKUP(Page,SeedMap[],9,0)),VLOOKUP(Page,SeedMap[],9,0),0))</f>
        <v>800503</v>
      </c>
      <c r="E5" s="63" t="s">
        <v>845</v>
      </c>
      <c r="F5" s="63" t="s">
        <v>850</v>
      </c>
      <c r="G5" s="63" t="s">
        <v>854</v>
      </c>
      <c r="H5" s="62" t="str">
        <f t="shared" si="0"/>
        <v>Milestone\Task\Model</v>
      </c>
      <c r="I5" s="63" t="s">
        <v>804</v>
      </c>
      <c r="J5" s="63"/>
      <c r="K5" s="63"/>
      <c r="L5" s="63"/>
      <c r="M5" s="64">
        <f>ResourceTable[No]</f>
        <v>800503</v>
      </c>
    </row>
    <row r="6" spans="1:26" x14ac:dyDescent="0.25">
      <c r="A6" s="62" t="str">
        <f>Page&amp;"-"&amp;(COUNTA($E$1:ResourceTable[[#This Row],[Name]])-2)</f>
        <v>Resources-4</v>
      </c>
      <c r="B6" s="60" t="str">
        <f>ResourceTable[[#This Row],[Name]]</f>
        <v>Task</v>
      </c>
      <c r="C6" s="64">
        <f>COUNTA($A$1:ResourceTable[[#This Row],[Primary]])-2</f>
        <v>4</v>
      </c>
      <c r="D6" s="64">
        <f>IF(ResourceTable[[#This Row],[RID]]=0,"id",ResourceTable[[#This Row],[RID]]+IF(ISNUMBER(VLOOKUP(Page,SeedMap[],9,0)),VLOOKUP(Page,SeedMap[],9,0),0))</f>
        <v>800504</v>
      </c>
      <c r="E6" s="63" t="s">
        <v>846</v>
      </c>
      <c r="F6" s="63" t="s">
        <v>851</v>
      </c>
      <c r="G6" s="63" t="s">
        <v>851</v>
      </c>
      <c r="H6" s="62" t="str">
        <f t="shared" si="0"/>
        <v>Milestone\Task\Model</v>
      </c>
      <c r="I6" s="63" t="s">
        <v>802</v>
      </c>
      <c r="J6" s="63"/>
      <c r="K6" s="63"/>
      <c r="L6" s="63"/>
      <c r="M6" s="64">
        <f>ResourceTable[No]</f>
        <v>800504</v>
      </c>
    </row>
    <row r="7" spans="1:26" x14ac:dyDescent="0.25">
      <c r="A7" s="62" t="str">
        <f>Page&amp;"-"&amp;(COUNTA($E$1:ResourceTable[[#This Row],[Name]])-2)</f>
        <v>Resources-5</v>
      </c>
      <c r="B7" s="60" t="str">
        <f>ResourceTable[[#This Row],[Name]]</f>
        <v>PartnerTask</v>
      </c>
      <c r="C7" s="64">
        <f>COUNTA($A$1:ResourceTable[[#This Row],[Primary]])-2</f>
        <v>5</v>
      </c>
      <c r="D7" s="64">
        <f>IF(ResourceTable[[#This Row],[RID]]=0,"id",ResourceTable[[#This Row],[RID]]+IF(ISNUMBER(VLOOKUP(Page,SeedMap[],9,0)),VLOOKUP(Page,SeedMap[],9,0),0))</f>
        <v>800505</v>
      </c>
      <c r="E7" s="63" t="s">
        <v>847</v>
      </c>
      <c r="F7" s="63" t="s">
        <v>852</v>
      </c>
      <c r="G7" s="63" t="s">
        <v>851</v>
      </c>
      <c r="H7" s="62" t="str">
        <f t="shared" si="0"/>
        <v>Milestone\Task\Model</v>
      </c>
      <c r="I7" s="63" t="s">
        <v>805</v>
      </c>
      <c r="J7" s="63"/>
      <c r="K7" s="63"/>
      <c r="L7" s="63"/>
      <c r="M7" s="64">
        <f>ResourceTable[No]</f>
        <v>800505</v>
      </c>
    </row>
  </sheetData>
  <dataValidations count="2">
    <dataValidation type="list" allowBlank="1" showInputMessage="1" showErrorMessage="1" sqref="O2">
      <formula1>Resources</formula1>
    </dataValidation>
    <dataValidation type="list" allowBlank="1" showInputMessage="1" showErrorMessage="1" sqref="P2:S2">
      <formula1>ActionsName</formula1>
    </dataValidation>
  </dataValidations>
  <pageMargins left="0.7" right="0.7" top="0.75" bottom="0.75" header="0.3" footer="0.3"/>
  <pageSetup paperSize="9" orientation="portrait" horizontalDpi="1200" verticalDpi="1200" r:id="rId1"/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2"/>
  <sheetViews>
    <sheetView topLeftCell="E1" workbookViewId="0">
      <selection activeCell="I12" sqref="I12"/>
    </sheetView>
  </sheetViews>
  <sheetFormatPr defaultRowHeight="15" x14ac:dyDescent="0.25"/>
  <cols>
    <col min="1" max="1" width="16.28515625" style="19" hidden="1" customWidth="1"/>
    <col min="2" max="2" width="7.85546875" style="19" hidden="1" customWidth="1"/>
    <col min="3" max="3" width="30.140625" style="19" hidden="1" customWidth="1"/>
    <col min="4" max="4" width="8.140625" style="19" hidden="1" customWidth="1"/>
    <col min="5" max="5" width="22.42578125" style="19" bestFit="1" customWidth="1"/>
    <col min="6" max="6" width="23.28515625" style="19" bestFit="1" customWidth="1"/>
    <col min="7" max="7" width="14.42578125" style="19" hidden="1" customWidth="1"/>
    <col min="8" max="8" width="13.5703125" style="19" hidden="1" customWidth="1"/>
    <col min="9" max="9" width="18.42578125" style="19" bestFit="1" customWidth="1"/>
    <col min="10" max="10" width="40.28515625" style="19" bestFit="1" customWidth="1"/>
    <col min="11" max="11" width="10.42578125" style="19" bestFit="1" customWidth="1"/>
    <col min="12" max="12" width="11.5703125" style="19" bestFit="1" customWidth="1"/>
    <col min="13" max="13" width="11.85546875" style="19" hidden="1" customWidth="1"/>
    <col min="14" max="14" width="6.28515625" style="20" bestFit="1" customWidth="1"/>
    <col min="15" max="15" width="11.140625" style="19" bestFit="1" customWidth="1"/>
    <col min="16" max="16" width="13.7109375" style="19" hidden="1" customWidth="1"/>
    <col min="17" max="17" width="20.42578125" style="19" bestFit="1" customWidth="1"/>
    <col min="18" max="18" width="11.42578125" style="20" hidden="1" customWidth="1"/>
    <col min="19" max="19" width="9.140625" style="19" hidden="1" customWidth="1"/>
    <col min="20" max="20" width="13.7109375" style="20" hidden="1" customWidth="1"/>
    <col min="21" max="21" width="19.28515625" style="19" customWidth="1"/>
    <col min="22" max="22" width="35.42578125" style="19" customWidth="1"/>
    <col min="23" max="23" width="13.7109375" style="19" bestFit="1" customWidth="1"/>
    <col min="24" max="16384" width="9.140625" style="19"/>
  </cols>
  <sheetData>
    <row r="1" spans="1:23" x14ac:dyDescent="0.25">
      <c r="A1" s="20" t="s">
        <v>344</v>
      </c>
      <c r="B1" s="19" t="s">
        <v>99</v>
      </c>
      <c r="C1" s="20" t="s">
        <v>337</v>
      </c>
      <c r="D1" s="20" t="s">
        <v>308</v>
      </c>
      <c r="E1" s="19" t="s">
        <v>86</v>
      </c>
      <c r="F1" s="19" t="s">
        <v>139</v>
      </c>
      <c r="G1" s="20" t="s">
        <v>307</v>
      </c>
      <c r="H1" s="20" t="s">
        <v>119</v>
      </c>
      <c r="I1" s="19" t="s">
        <v>1</v>
      </c>
      <c r="J1" s="19" t="s">
        <v>102</v>
      </c>
      <c r="K1" s="19" t="s">
        <v>120</v>
      </c>
      <c r="L1" s="19" t="s">
        <v>14</v>
      </c>
      <c r="M1" s="20" t="s">
        <v>140</v>
      </c>
      <c r="N1" s="20" t="s">
        <v>299</v>
      </c>
      <c r="P1" s="20" t="s">
        <v>344</v>
      </c>
      <c r="Q1" s="20" t="s">
        <v>406</v>
      </c>
      <c r="R1" s="20" t="s">
        <v>407</v>
      </c>
      <c r="S1" s="20" t="s">
        <v>99</v>
      </c>
      <c r="T1" s="20" t="s">
        <v>386</v>
      </c>
      <c r="U1" s="20" t="s">
        <v>1</v>
      </c>
      <c r="V1" s="20" t="s">
        <v>102</v>
      </c>
      <c r="W1" s="20" t="s">
        <v>120</v>
      </c>
    </row>
    <row r="2" spans="1:23" x14ac:dyDescent="0.25">
      <c r="A2" s="36" t="str">
        <f>Page&amp;"-"&amp;(COUNTA($E$1:RelationTable[[#This Row],[Resource]])-1)</f>
        <v>Resource Relations-0</v>
      </c>
      <c r="B2" s="3" t="str">
        <f>IF(RelationTable[[#This Row],[Resource]]="","id",COUNTA($E$2:RelationTable[[#This Row],[Resource]])+IF(ISNUMBER(VLOOKUP('Table Seed Map'!$A$10,SeedMap[],9,0)),VLOOKUP('Table Seed Map'!$A$10,SeedMap[],9,0),0))</f>
        <v>id</v>
      </c>
      <c r="C2" s="15" t="str">
        <f>RelationTable[[#This Row],[Resource]]&amp;"/"&amp;RelationTable[[#This Row],[Method]]</f>
        <v>/method</v>
      </c>
      <c r="D2" s="15" t="str">
        <f>RelationTable[[#This Row],[No]]</f>
        <v>id</v>
      </c>
      <c r="E2" s="15"/>
      <c r="F2" s="15"/>
      <c r="G2" s="15" t="str">
        <f>RelationTable[[#This Row],[No]]</f>
        <v>id</v>
      </c>
      <c r="H2" s="15" t="str">
        <f>IF(RelationTable[[#This Row],[No]]="id","resource",VLOOKUP(RelationTable[Resource],CHOOSE({1,2},ResourceTable[Name],ResourceTable[No]),2,0))</f>
        <v>resource</v>
      </c>
      <c r="I2" s="15" t="s">
        <v>23</v>
      </c>
      <c r="J2" s="15" t="s">
        <v>24</v>
      </c>
      <c r="K2" s="15" t="s">
        <v>30</v>
      </c>
      <c r="L2" s="15" t="s">
        <v>35</v>
      </c>
      <c r="M2" s="36" t="s">
        <v>36</v>
      </c>
      <c r="N2" s="53" t="str">
        <f>RelationTable[RELID]</f>
        <v>id</v>
      </c>
      <c r="P2" s="6" t="str">
        <f>'Table Seed Map'!$A$9&amp;"-"&amp;COUNTA($Q$1:ResourceScopes[[#This Row],[Resource for Scope]])-1</f>
        <v>Resource Scopes-0</v>
      </c>
      <c r="Q2" s="1"/>
      <c r="R2" s="6" t="str">
        <f>ResourceScopes[[#This Row],[Resource for Scope]]&amp;"/"&amp;ResourceScopes[[#This Row],[Name]]</f>
        <v>/name</v>
      </c>
      <c r="S2" s="15" t="str">
        <f>IF(ResourceScopes[[#This Row],[Resource for Scope]]="","id",-1+COUNTA($Q$1:ResourceScopes[[#This Row],[Resource for Scope]])+VLOOKUP('Table Seed Map'!$A$9,SeedMap[],9,0))</f>
        <v>id</v>
      </c>
      <c r="T2" s="15" t="str">
        <f>IFERROR(VLOOKUP(ResourceScopes[[#This Row],[Resource for Scope]],CHOOSE({1,2},ResourceTable[Name],ResourceTable[No]),2,0),"resource")</f>
        <v>resource</v>
      </c>
      <c r="U2" s="1" t="s">
        <v>23</v>
      </c>
      <c r="V2" s="1" t="s">
        <v>24</v>
      </c>
      <c r="W2" s="1" t="s">
        <v>30</v>
      </c>
    </row>
    <row r="3" spans="1:23" x14ac:dyDescent="0.25">
      <c r="A3" s="67" t="str">
        <f>Page&amp;"-"&amp;(COUNTA($E$1:RelationTable[[#This Row],[Resource]])-1)</f>
        <v>Resource Relations-1</v>
      </c>
      <c r="B3" s="64">
        <f>IF(RelationTable[[#This Row],[Resource]]="","id",COUNTA($E$2:RelationTable[[#This Row],[Resource]])+IF(ISNUMBER(VLOOKUP('Table Seed Map'!$A$10,SeedMap[],9,0)),VLOOKUP('Table Seed Map'!$A$10,SeedMap[],9,0),0))</f>
        <v>800801</v>
      </c>
      <c r="C3" s="60" t="str">
        <f>RelationTable[[#This Row],[Resource]]&amp;"/"&amp;RelationTable[[#This Row],[Method]]</f>
        <v>Partner/Groups</v>
      </c>
      <c r="D3" s="60">
        <f>RelationTable[[#This Row],[No]]</f>
        <v>800801</v>
      </c>
      <c r="E3" s="60" t="s">
        <v>844</v>
      </c>
      <c r="F3" s="15" t="s">
        <v>96</v>
      </c>
      <c r="G3" s="60">
        <f>RelationTable[[#This Row],[No]]</f>
        <v>800801</v>
      </c>
      <c r="H3" s="60">
        <f>IF(RelationTable[[#This Row],[No]]="id","resource",VLOOKUP(RelationTable[Resource],CHOOSE({1,2},ResourceTable[Name],ResourceTable[No]),2,0))</f>
        <v>800501</v>
      </c>
      <c r="I3" s="60" t="s">
        <v>868</v>
      </c>
      <c r="J3" s="60" t="s">
        <v>869</v>
      </c>
      <c r="K3" s="60" t="s">
        <v>76</v>
      </c>
      <c r="L3" s="60" t="s">
        <v>870</v>
      </c>
      <c r="M3" s="68">
        <f>VLOOKUP(RelationTable[Relate Resource],CHOOSE({1,2},ResourceTable[Name],ResourceTable[No]),2,0)</f>
        <v>800502</v>
      </c>
      <c r="N3" s="69">
        <f>RelationTable[RELID]</f>
        <v>800801</v>
      </c>
      <c r="P3" s="62" t="str">
        <f>'Table Seed Map'!$A$9&amp;"-"&amp;COUNTA($Q$1:ResourceScopes[[#This Row],[Resource for Scope]])-1</f>
        <v>Resource Scopes-1</v>
      </c>
      <c r="Q3" s="63" t="s">
        <v>847</v>
      </c>
      <c r="R3" s="62" t="str">
        <f>ResourceScopes[[#This Row],[Resource for Scope]]&amp;"/"&amp;ResourceScopes[[#This Row],[Name]]</f>
        <v>PartnerTask/NewTasks</v>
      </c>
      <c r="S3" s="60">
        <f>IF(ResourceScopes[[#This Row],[Resource for Scope]]="","id",-1+COUNTA($Q$1:ResourceScopes[[#This Row],[Resource for Scope]])+VLOOKUP('Table Seed Map'!$A$9,SeedMap[],9,0))</f>
        <v>800701</v>
      </c>
      <c r="T3" s="60">
        <f>IFERROR(VLOOKUP(ResourceScopes[[#This Row],[Resource for Scope]],CHOOSE({1,2},ResourceTable[Name],ResourceTable[No]),2,0),"resource")</f>
        <v>800505</v>
      </c>
      <c r="U3" s="63" t="s">
        <v>885</v>
      </c>
      <c r="V3" s="63" t="s">
        <v>886</v>
      </c>
      <c r="W3" s="63" t="s">
        <v>887</v>
      </c>
    </row>
    <row r="4" spans="1:23" x14ac:dyDescent="0.25">
      <c r="A4" s="67" t="str">
        <f>Page&amp;"-"&amp;(COUNTA($E$1:RelationTable[[#This Row],[Resource]])-1)</f>
        <v>Resource Relations-2</v>
      </c>
      <c r="B4" s="64">
        <f>IF(RelationTable[[#This Row],[Resource]]="","id",COUNTA($E$2:RelationTable[[#This Row],[Resource]])+IF(ISNUMBER(VLOOKUP('Table Seed Map'!$A$10,SeedMap[],9,0)),VLOOKUP('Table Seed Map'!$A$10,SeedMap[],9,0),0))</f>
        <v>800802</v>
      </c>
      <c r="C4" s="60" t="str">
        <f>RelationTable[[#This Row],[Resource]]&amp;"/"&amp;RelationTable[[#This Row],[Method]]</f>
        <v>Partner/Tasks</v>
      </c>
      <c r="D4" s="60">
        <f>RelationTable[[#This Row],[No]]</f>
        <v>800802</v>
      </c>
      <c r="E4" s="60" t="s">
        <v>844</v>
      </c>
      <c r="F4" s="62" t="s">
        <v>846</v>
      </c>
      <c r="G4" s="60">
        <f>RelationTable[[#This Row],[No]]</f>
        <v>800802</v>
      </c>
      <c r="H4" s="60">
        <f>IF(RelationTable[[#This Row],[No]]="id","resource",VLOOKUP(RelationTable[Resource],CHOOSE({1,2},ResourceTable[Name],ResourceTable[No]),2,0))</f>
        <v>800501</v>
      </c>
      <c r="I4" s="60" t="s">
        <v>871</v>
      </c>
      <c r="J4" s="60" t="s">
        <v>872</v>
      </c>
      <c r="K4" s="60" t="s">
        <v>851</v>
      </c>
      <c r="L4" s="60" t="s">
        <v>870</v>
      </c>
      <c r="M4" s="68">
        <f>VLOOKUP(RelationTable[Relate Resource],CHOOSE({1,2},ResourceTable[Name],ResourceTable[No]),2,0)</f>
        <v>800504</v>
      </c>
      <c r="N4" s="69">
        <f>RelationTable[RELID]</f>
        <v>800802</v>
      </c>
      <c r="P4" s="62" t="str">
        <f>'Table Seed Map'!$A$9&amp;"-"&amp;COUNTA($Q$1:ResourceScopes[[#This Row],[Resource for Scope]])-1</f>
        <v>Resource Scopes-2</v>
      </c>
      <c r="Q4" s="63" t="s">
        <v>847</v>
      </c>
      <c r="R4" s="62" t="str">
        <f>ResourceScopes[[#This Row],[Resource for Scope]]&amp;"/"&amp;ResourceScopes[[#This Row],[Name]]</f>
        <v>PartnerTask/CompletedTasks</v>
      </c>
      <c r="S4" s="60">
        <f>IF(ResourceScopes[[#This Row],[Resource for Scope]]="","id",-1+COUNTA($Q$1:ResourceScopes[[#This Row],[Resource for Scope]])+VLOOKUP('Table Seed Map'!$A$9,SeedMap[],9,0))</f>
        <v>800702</v>
      </c>
      <c r="T4" s="60">
        <f>IFERROR(VLOOKUP(ResourceScopes[[#This Row],[Resource for Scope]],CHOOSE({1,2},ResourceTable[Name],ResourceTable[No]),2,0),"resource")</f>
        <v>800505</v>
      </c>
      <c r="U4" s="63" t="s">
        <v>890</v>
      </c>
      <c r="V4" s="63" t="s">
        <v>888</v>
      </c>
      <c r="W4" s="63" t="s">
        <v>822</v>
      </c>
    </row>
    <row r="5" spans="1:23" x14ac:dyDescent="0.25">
      <c r="A5" s="67" t="str">
        <f>Page&amp;"-"&amp;(COUNTA($E$1:RelationTable[[#This Row],[Resource]])-1)</f>
        <v>Resource Relations-3</v>
      </c>
      <c r="B5" s="64">
        <f>IF(RelationTable[[#This Row],[Resource]]="","id",COUNTA($E$2:RelationTable[[#This Row],[Resource]])+IF(ISNUMBER(VLOOKUP('Table Seed Map'!$A$10,SeedMap[],9,0)),VLOOKUP('Table Seed Map'!$A$10,SeedMap[],9,0),0))</f>
        <v>800803</v>
      </c>
      <c r="C5" s="60" t="str">
        <f>RelationTable[[#This Row],[Resource]]&amp;"/"&amp;RelationTable[[#This Row],[Method]]</f>
        <v>Group/Partners</v>
      </c>
      <c r="D5" s="60">
        <f>RelationTable[[#This Row],[No]]</f>
        <v>800803</v>
      </c>
      <c r="E5" s="60" t="s">
        <v>96</v>
      </c>
      <c r="F5" s="62" t="s">
        <v>844</v>
      </c>
      <c r="G5" s="60">
        <f>RelationTable[[#This Row],[No]]</f>
        <v>800803</v>
      </c>
      <c r="H5" s="60">
        <f>IF(RelationTable[[#This Row],[No]]="id","resource",VLOOKUP(RelationTable[Resource],CHOOSE({1,2},ResourceTable[Name],ResourceTable[No]),2,0))</f>
        <v>800502</v>
      </c>
      <c r="I5" s="60" t="s">
        <v>875</v>
      </c>
      <c r="J5" s="60" t="s">
        <v>876</v>
      </c>
      <c r="K5" s="60" t="s">
        <v>853</v>
      </c>
      <c r="L5" s="60" t="s">
        <v>870</v>
      </c>
      <c r="M5" s="68">
        <f>VLOOKUP(RelationTable[Relate Resource],CHOOSE({1,2},ResourceTable[Name],ResourceTable[No]),2,0)</f>
        <v>800501</v>
      </c>
      <c r="N5" s="69">
        <f>RelationTable[RELID]</f>
        <v>800803</v>
      </c>
      <c r="P5" s="62" t="str">
        <f>'Table Seed Map'!$A$9&amp;"-"&amp;COUNTA($Q$1:ResourceScopes[[#This Row],[Resource for Scope]])-1</f>
        <v>Resource Scopes-3</v>
      </c>
      <c r="Q5" s="63" t="s">
        <v>847</v>
      </c>
      <c r="R5" s="62" t="str">
        <f>ResourceScopes[[#This Row],[Resource for Scope]]&amp;"/"&amp;ResourceScopes[[#This Row],[Name]]</f>
        <v>PartnerTask/DismissedTasks</v>
      </c>
      <c r="S5" s="60">
        <f>IF(ResourceScopes[[#This Row],[Resource for Scope]]="","id",-1+COUNTA($Q$1:ResourceScopes[[#This Row],[Resource for Scope]])+VLOOKUP('Table Seed Map'!$A$9,SeedMap[],9,0))</f>
        <v>800703</v>
      </c>
      <c r="T5" s="60">
        <f>IFERROR(VLOOKUP(ResourceScopes[[#This Row],[Resource for Scope]],CHOOSE({1,2},ResourceTable[Name],ResourceTable[No]),2,0),"resource")</f>
        <v>800505</v>
      </c>
      <c r="U5" s="63" t="s">
        <v>891</v>
      </c>
      <c r="V5" s="63" t="s">
        <v>889</v>
      </c>
      <c r="W5" s="63" t="s">
        <v>821</v>
      </c>
    </row>
    <row r="6" spans="1:23" x14ac:dyDescent="0.25">
      <c r="A6" s="67" t="str">
        <f>Page&amp;"-"&amp;(COUNTA($E$1:RelationTable[[#This Row],[Resource]])-1)</f>
        <v>Resource Relations-4</v>
      </c>
      <c r="B6" s="64">
        <f>IF(RelationTable[[#This Row],[Resource]]="","id",COUNTA($E$2:RelationTable[[#This Row],[Resource]])+IF(ISNUMBER(VLOOKUP('Table Seed Map'!$A$10,SeedMap[],9,0)),VLOOKUP('Table Seed Map'!$A$10,SeedMap[],9,0),0))</f>
        <v>800804</v>
      </c>
      <c r="C6" s="60" t="str">
        <f>RelationTable[[#This Row],[Resource]]&amp;"/"&amp;RelationTable[[#This Row],[Method]]</f>
        <v>Task/Main</v>
      </c>
      <c r="D6" s="60">
        <f>RelationTable[[#This Row],[No]]</f>
        <v>800804</v>
      </c>
      <c r="E6" s="60" t="s">
        <v>846</v>
      </c>
      <c r="F6" s="62" t="s">
        <v>846</v>
      </c>
      <c r="G6" s="60">
        <f>RelationTable[[#This Row],[No]]</f>
        <v>800804</v>
      </c>
      <c r="H6" s="60">
        <f>IF(RelationTable[[#This Row],[No]]="id","resource",VLOOKUP(RelationTable[Resource],CHOOSE({1,2},ResourceTable[Name],ResourceTable[No]),2,0))</f>
        <v>800504</v>
      </c>
      <c r="I6" s="60" t="s">
        <v>878</v>
      </c>
      <c r="J6" s="60" t="s">
        <v>879</v>
      </c>
      <c r="K6" s="60" t="s">
        <v>880</v>
      </c>
      <c r="L6" s="60" t="s">
        <v>881</v>
      </c>
      <c r="M6" s="68">
        <f>VLOOKUP(RelationTable[Relate Resource],CHOOSE({1,2},ResourceTable[Name],ResourceTable[No]),2,0)</f>
        <v>800504</v>
      </c>
      <c r="N6" s="69">
        <f>RelationTable[RELID]</f>
        <v>800804</v>
      </c>
      <c r="P6" s="62" t="str">
        <f>'Table Seed Map'!$A$9&amp;"-"&amp;COUNTA($Q$1:ResourceScopes[[#This Row],[Resource for Scope]])-1</f>
        <v>Resource Scopes-4</v>
      </c>
      <c r="Q6" s="63" t="s">
        <v>847</v>
      </c>
      <c r="R6" s="62" t="str">
        <f>ResourceScopes[[#This Row],[Resource for Scope]]&amp;"/"&amp;ResourceScopes[[#This Row],[Name]]</f>
        <v>PartnerTask/ReturnedTasks</v>
      </c>
      <c r="S6" s="60">
        <f>IF(ResourceScopes[[#This Row],[Resource for Scope]]="","id",-1+COUNTA($Q$1:ResourceScopes[[#This Row],[Resource for Scope]])+VLOOKUP('Table Seed Map'!$A$9,SeedMap[],9,0))</f>
        <v>800704</v>
      </c>
      <c r="T6" s="60">
        <f>IFERROR(VLOOKUP(ResourceScopes[[#This Row],[Resource for Scope]],CHOOSE({1,2},ResourceTable[Name],ResourceTable[No]),2,0),"resource")</f>
        <v>800505</v>
      </c>
      <c r="U6" s="63" t="s">
        <v>892</v>
      </c>
      <c r="V6" s="63" t="s">
        <v>893</v>
      </c>
      <c r="W6" s="63" t="s">
        <v>820</v>
      </c>
    </row>
    <row r="7" spans="1:23" x14ac:dyDescent="0.25">
      <c r="A7" s="67" t="str">
        <f>Page&amp;"-"&amp;(COUNTA($E$1:RelationTable[[#This Row],[Resource]])-1)</f>
        <v>Resource Relations-5</v>
      </c>
      <c r="B7" s="64">
        <f>IF(RelationTable[[#This Row],[Resource]]="","id",COUNTA($E$2:RelationTable[[#This Row],[Resource]])+IF(ISNUMBER(VLOOKUP('Table Seed Map'!$A$10,SeedMap[],9,0)),VLOOKUP('Table Seed Map'!$A$10,SeedMap[],9,0),0))</f>
        <v>800805</v>
      </c>
      <c r="C7" s="60" t="str">
        <f>RelationTable[[#This Row],[Resource]]&amp;"/"&amp;RelationTable[[#This Row],[Method]]</f>
        <v>Task/Tasks</v>
      </c>
      <c r="D7" s="60">
        <f>RelationTable[[#This Row],[No]]</f>
        <v>800805</v>
      </c>
      <c r="E7" s="60" t="s">
        <v>846</v>
      </c>
      <c r="F7" s="62" t="s">
        <v>846</v>
      </c>
      <c r="G7" s="60">
        <f>RelationTable[[#This Row],[No]]</f>
        <v>800805</v>
      </c>
      <c r="H7" s="60">
        <f>IF(RelationTable[[#This Row],[No]]="id","resource",VLOOKUP(RelationTable[Resource],CHOOSE({1,2},ResourceTable[Name],ResourceTable[No]),2,0))</f>
        <v>800504</v>
      </c>
      <c r="I7" s="60" t="s">
        <v>882</v>
      </c>
      <c r="J7" s="60" t="s">
        <v>883</v>
      </c>
      <c r="K7" s="60" t="s">
        <v>851</v>
      </c>
      <c r="L7" s="60" t="s">
        <v>873</v>
      </c>
      <c r="M7" s="68">
        <f>VLOOKUP(RelationTable[Relate Resource],CHOOSE({1,2},ResourceTable[Name],ResourceTable[No]),2,0)</f>
        <v>800504</v>
      </c>
      <c r="N7" s="69">
        <f>RelationTable[RELID]</f>
        <v>800805</v>
      </c>
      <c r="P7" s="62" t="str">
        <f>'Table Seed Map'!$A$9&amp;"-"&amp;COUNTA($Q$1:ResourceScopes[[#This Row],[Resource for Scope]])-1</f>
        <v>Resource Scopes-5</v>
      </c>
      <c r="Q7" s="63" t="s">
        <v>847</v>
      </c>
      <c r="R7" s="62" t="str">
        <f>ResourceScopes[[#This Row],[Resource for Scope]]&amp;"/"&amp;ResourceScopes[[#This Row],[Name]]</f>
        <v>PartnerTask/RecentlyUpdated</v>
      </c>
      <c r="S7" s="60">
        <f>IF(ResourceScopes[[#This Row],[Resource for Scope]]="","id",-1+COUNTA($Q$1:ResourceScopes[[#This Row],[Resource for Scope]])+VLOOKUP('Table Seed Map'!$A$9,SeedMap[],9,0))</f>
        <v>800705</v>
      </c>
      <c r="T7" s="60">
        <f>IFERROR(VLOOKUP(ResourceScopes[[#This Row],[Resource for Scope]],CHOOSE({1,2},ResourceTable[Name],ResourceTable[No]),2,0),"resource")</f>
        <v>800505</v>
      </c>
      <c r="U7" s="63" t="s">
        <v>1063</v>
      </c>
      <c r="V7" s="63" t="s">
        <v>1064</v>
      </c>
      <c r="W7" s="63" t="s">
        <v>1065</v>
      </c>
    </row>
    <row r="8" spans="1:23" x14ac:dyDescent="0.25">
      <c r="A8" s="67" t="str">
        <f>Page&amp;"-"&amp;(COUNTA($E$1:RelationTable[[#This Row],[Resource]])-1)</f>
        <v>Resource Relations-6</v>
      </c>
      <c r="B8" s="64">
        <f>IF(RelationTable[[#This Row],[Resource]]="","id",COUNTA($E$2:RelationTable[[#This Row],[Resource]])+IF(ISNUMBER(VLOOKUP('Table Seed Map'!$A$10,SeedMap[],9,0)),VLOOKUP('Table Seed Map'!$A$10,SeedMap[],9,0),0))</f>
        <v>800806</v>
      </c>
      <c r="C8" s="60" t="str">
        <f>RelationTable[[#This Row],[Resource]]&amp;"/"&amp;RelationTable[[#This Row],[Method]]</f>
        <v>Task/Partners</v>
      </c>
      <c r="D8" s="60">
        <f>RelationTable[[#This Row],[No]]</f>
        <v>800806</v>
      </c>
      <c r="E8" s="60" t="s">
        <v>846</v>
      </c>
      <c r="F8" s="62" t="s">
        <v>844</v>
      </c>
      <c r="G8" s="60">
        <f>RelationTable[[#This Row],[No]]</f>
        <v>800806</v>
      </c>
      <c r="H8" s="60">
        <f>IF(RelationTable[[#This Row],[No]]="id","resource",VLOOKUP(RelationTable[Resource],CHOOSE({1,2},ResourceTable[Name],ResourceTable[No]),2,0))</f>
        <v>800504</v>
      </c>
      <c r="I8" s="60" t="s">
        <v>980</v>
      </c>
      <c r="J8" s="60" t="s">
        <v>981</v>
      </c>
      <c r="K8" s="60" t="s">
        <v>853</v>
      </c>
      <c r="L8" s="60" t="s">
        <v>870</v>
      </c>
      <c r="M8" s="68">
        <f>VLOOKUP(RelationTable[Relate Resource],CHOOSE({1,2},ResourceTable[Name],ResourceTable[No]),2,0)</f>
        <v>800501</v>
      </c>
      <c r="N8" s="69">
        <f>RelationTable[RELID]</f>
        <v>800806</v>
      </c>
      <c r="P8" s="62" t="str">
        <f>'Table Seed Map'!$A$9&amp;"-"&amp;COUNTA($Q$1:ResourceScopes[[#This Row],[Resource for Scope]])-1</f>
        <v>Resource Scopes-6</v>
      </c>
      <c r="Q8" s="63" t="s">
        <v>846</v>
      </c>
      <c r="R8" s="62" t="str">
        <f>ResourceScopes[[#This Row],[Resource for Scope]]&amp;"/"&amp;ResourceScopes[[#This Row],[Name]]</f>
        <v>Task/RecentlyCompleted</v>
      </c>
      <c r="S8" s="60">
        <f>IF(ResourceScopes[[#This Row],[Resource for Scope]]="","id",-1+COUNTA($Q$1:ResourceScopes[[#This Row],[Resource for Scope]])+VLOOKUP('Table Seed Map'!$A$9,SeedMap[],9,0))</f>
        <v>800706</v>
      </c>
      <c r="T8" s="60">
        <f>IFERROR(VLOOKUP(ResourceScopes[[#This Row],[Resource for Scope]],CHOOSE({1,2},ResourceTable[Name],ResourceTable[No]),2,0),"resource")</f>
        <v>800504</v>
      </c>
      <c r="U8" s="63" t="s">
        <v>1068</v>
      </c>
      <c r="V8" s="63" t="s">
        <v>1069</v>
      </c>
      <c r="W8" s="63" t="s">
        <v>1067</v>
      </c>
    </row>
    <row r="9" spans="1:23" x14ac:dyDescent="0.25">
      <c r="A9" s="67" t="str">
        <f>Page&amp;"-"&amp;(COUNTA($E$1:RelationTable[[#This Row],[Resource]])-1)</f>
        <v>Resource Relations-7</v>
      </c>
      <c r="B9" s="64">
        <f>IF(RelationTable[[#This Row],[Resource]]="","id",COUNTA($E$2:RelationTable[[#This Row],[Resource]])+IF(ISNUMBER(VLOOKUP('Table Seed Map'!$A$10,SeedMap[],9,0)),VLOOKUP('Table Seed Map'!$A$10,SeedMap[],9,0),0))</f>
        <v>800807</v>
      </c>
      <c r="C9" s="60" t="str">
        <f>RelationTable[[#This Row],[Resource]]&amp;"/"&amp;RelationTable[[#This Row],[Method]]</f>
        <v>Task/Progress</v>
      </c>
      <c r="D9" s="60">
        <f>RelationTable[[#This Row],[No]]</f>
        <v>800807</v>
      </c>
      <c r="E9" s="60" t="s">
        <v>846</v>
      </c>
      <c r="F9" s="62" t="s">
        <v>847</v>
      </c>
      <c r="G9" s="60">
        <f>RelationTable[[#This Row],[No]]</f>
        <v>800807</v>
      </c>
      <c r="H9" s="60">
        <f>IF(RelationTable[[#This Row],[No]]="id","resource",VLOOKUP(RelationTable[Resource],CHOOSE({1,2},ResourceTable[Name],ResourceTable[No]),2,0))</f>
        <v>800504</v>
      </c>
      <c r="I9" s="60" t="s">
        <v>877</v>
      </c>
      <c r="J9" s="60" t="s">
        <v>982</v>
      </c>
      <c r="K9" s="60" t="s">
        <v>874</v>
      </c>
      <c r="L9" s="60" t="s">
        <v>873</v>
      </c>
      <c r="M9" s="68">
        <f>VLOOKUP(RelationTable[Relate Resource],CHOOSE({1,2},ResourceTable[Name],ResourceTable[No]),2,0)</f>
        <v>800505</v>
      </c>
      <c r="N9" s="69">
        <f>RelationTable[RELID]</f>
        <v>800807</v>
      </c>
    </row>
    <row r="10" spans="1:23" x14ac:dyDescent="0.25">
      <c r="A10" s="67" t="str">
        <f>Page&amp;"-"&amp;(COUNTA($E$1:RelationTable[[#This Row],[Resource]])-1)</f>
        <v>Resource Relations-8</v>
      </c>
      <c r="B10" s="64">
        <f>IF(RelationTable[[#This Row],[Resource]]="","id",COUNTA($E$2:RelationTable[[#This Row],[Resource]])+IF(ISNUMBER(VLOOKUP('Table Seed Map'!$A$10,SeedMap[],9,0)),VLOOKUP('Table Seed Map'!$A$10,SeedMap[],9,0),0))</f>
        <v>800808</v>
      </c>
      <c r="C10" s="60" t="str">
        <f>RelationTable[[#This Row],[Resource]]&amp;"/"&amp;RelationTable[[#This Row],[Method]]</f>
        <v>Partner/Progress</v>
      </c>
      <c r="D10" s="60">
        <f>RelationTable[[#This Row],[No]]</f>
        <v>800808</v>
      </c>
      <c r="E10" s="60" t="s">
        <v>844</v>
      </c>
      <c r="F10" s="62" t="s">
        <v>847</v>
      </c>
      <c r="G10" s="60">
        <f>RelationTable[[#This Row],[No]]</f>
        <v>800808</v>
      </c>
      <c r="H10" s="60">
        <f>IF(RelationTable[[#This Row],[No]]="id","resource",VLOOKUP(RelationTable[Resource],CHOOSE({1,2},ResourceTable[Name],ResourceTable[No]),2,0))</f>
        <v>800501</v>
      </c>
      <c r="I10" s="60" t="s">
        <v>983</v>
      </c>
      <c r="J10" s="60" t="s">
        <v>984</v>
      </c>
      <c r="K10" s="60" t="s">
        <v>874</v>
      </c>
      <c r="L10" s="60" t="s">
        <v>873</v>
      </c>
      <c r="M10" s="68">
        <f>VLOOKUP(RelationTable[Relate Resource],CHOOSE({1,2},ResourceTable[Name],ResourceTable[No]),2,0)</f>
        <v>800505</v>
      </c>
      <c r="N10" s="69">
        <f>RelationTable[RELID]</f>
        <v>800808</v>
      </c>
    </row>
    <row r="11" spans="1:23" x14ac:dyDescent="0.25">
      <c r="A11" s="84" t="str">
        <f>Page&amp;"-"&amp;(COUNTA($E$1:RelationTable[[#This Row],[Resource]])-1)</f>
        <v>Resource Relations-9</v>
      </c>
      <c r="B11" s="3">
        <f>IF(RelationTable[[#This Row],[Resource]]="","id",COUNTA($E$2:RelationTable[[#This Row],[Resource]])+IF(ISNUMBER(VLOOKUP('Table Seed Map'!$A$10,SeedMap[],9,0)),VLOOKUP('Table Seed Map'!$A$10,SeedMap[],9,0),0))</f>
        <v>800809</v>
      </c>
      <c r="C11" s="15" t="str">
        <f>RelationTable[[#This Row],[Resource]]&amp;"/"&amp;RelationTable[[#This Row],[Method]]</f>
        <v>PartnerTask/Task</v>
      </c>
      <c r="D11" s="15">
        <f>RelationTable[[#This Row],[No]]</f>
        <v>800809</v>
      </c>
      <c r="E11" s="15" t="s">
        <v>847</v>
      </c>
      <c r="F11" s="6" t="s">
        <v>846</v>
      </c>
      <c r="G11" s="15">
        <f>RelationTable[[#This Row],[No]]</f>
        <v>800809</v>
      </c>
      <c r="H11" s="15">
        <f>IF(RelationTable[[#This Row],[No]]="id","resource",VLOOKUP(RelationTable[Resource],CHOOSE({1,2},ResourceTable[Name],ResourceTable[No]),2,0))</f>
        <v>800505</v>
      </c>
      <c r="I11" s="15" t="s">
        <v>994</v>
      </c>
      <c r="J11" s="15" t="s">
        <v>995</v>
      </c>
      <c r="K11" s="15" t="s">
        <v>846</v>
      </c>
      <c r="L11" s="15" t="s">
        <v>881</v>
      </c>
      <c r="M11" s="36">
        <f>VLOOKUP(RelationTable[Relate Resource],CHOOSE({1,2},ResourceTable[Name],ResourceTable[No]),2,0)</f>
        <v>800504</v>
      </c>
      <c r="N11" s="53">
        <f>RelationTable[RELID]</f>
        <v>800809</v>
      </c>
    </row>
    <row r="12" spans="1:23" x14ac:dyDescent="0.25">
      <c r="A12" s="67" t="str">
        <f>Page&amp;"-"&amp;(COUNTA($E$1:RelationTable[[#This Row],[Resource]])-1)</f>
        <v>Resource Relations-10</v>
      </c>
      <c r="B12" s="64">
        <f>IF(RelationTable[[#This Row],[Resource]]="","id",COUNTA($E$2:RelationTable[[#This Row],[Resource]])+IF(ISNUMBER(VLOOKUP('Table Seed Map'!$A$10,SeedMap[],9,0)),VLOOKUP('Table Seed Map'!$A$10,SeedMap[],9,0),0))</f>
        <v>800810</v>
      </c>
      <c r="C12" s="60" t="str">
        <f>RelationTable[[#This Row],[Resource]]&amp;"/"&amp;RelationTable[[#This Row],[Method]]</f>
        <v>PartnerTask/Partner</v>
      </c>
      <c r="D12" s="60">
        <f>RelationTable[[#This Row],[No]]</f>
        <v>800810</v>
      </c>
      <c r="E12" s="60" t="s">
        <v>847</v>
      </c>
      <c r="F12" s="62" t="s">
        <v>844</v>
      </c>
      <c r="G12" s="60">
        <f>RelationTable[[#This Row],[No]]</f>
        <v>800810</v>
      </c>
      <c r="H12" s="60">
        <f>IF(RelationTable[[#This Row],[No]]="id","resource",VLOOKUP(RelationTable[Resource],CHOOSE({1,2},ResourceTable[Name],ResourceTable[No]),2,0))</f>
        <v>800505</v>
      </c>
      <c r="I12" s="60" t="s">
        <v>1070</v>
      </c>
      <c r="J12" s="60" t="s">
        <v>1071</v>
      </c>
      <c r="K12" s="15" t="s">
        <v>844</v>
      </c>
      <c r="L12" s="15" t="s">
        <v>881</v>
      </c>
      <c r="M12" s="68">
        <f>VLOOKUP(RelationTable[Relate Resource],CHOOSE({1,2},ResourceTable[Name],ResourceTable[No]),2,0)</f>
        <v>800501</v>
      </c>
      <c r="N12" s="69">
        <f>RelationTable[RELID]</f>
        <v>800810</v>
      </c>
    </row>
  </sheetData>
  <dataValidations count="1">
    <dataValidation type="list" allowBlank="1" showInputMessage="1" showErrorMessage="1" sqref="Q2:Q8 E2:F12">
      <formula1>Resources</formula1>
    </dataValidation>
  </dataValidations>
  <pageMargins left="0.7" right="0.7" top="0.75" bottom="0.75" header="0.3" footer="0.3"/>
  <pageSetup paperSize="9" orientation="portrait" horizontalDpi="4294967293" verticalDpi="1200" r:id="rId1"/>
  <tableParts count="2"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22"/>
  <sheetViews>
    <sheetView topLeftCell="C13" workbookViewId="0">
      <selection activeCell="G22" sqref="G22"/>
    </sheetView>
  </sheetViews>
  <sheetFormatPr defaultRowHeight="15" x14ac:dyDescent="0.25"/>
  <cols>
    <col min="1" max="1" width="18.85546875" hidden="1" customWidth="1"/>
    <col min="2" max="2" width="18.85546875" style="20" hidden="1" customWidth="1"/>
    <col min="3" max="3" width="22.140625" customWidth="1"/>
    <col min="4" max="4" width="13.85546875" hidden="1" customWidth="1"/>
    <col min="5" max="5" width="9.5703125" hidden="1" customWidth="1"/>
    <col min="6" max="6" width="20.28515625" bestFit="1" customWidth="1"/>
    <col min="7" max="7" width="32" bestFit="1" customWidth="1"/>
    <col min="8" max="8" width="13.5703125" bestFit="1" customWidth="1"/>
    <col min="9" max="9" width="11.140625" hidden="1" customWidth="1"/>
    <col min="10" max="10" width="14.7109375" customWidth="1"/>
    <col min="11" max="11" width="14.7109375" style="20" hidden="1" customWidth="1"/>
    <col min="12" max="12" width="14.7109375" style="20" customWidth="1"/>
    <col min="13" max="13" width="14.7109375" style="20" hidden="1" customWidth="1"/>
    <col min="14" max="14" width="14.7109375" hidden="1" customWidth="1"/>
    <col min="15" max="15" width="14.7109375" style="20" hidden="1" customWidth="1"/>
    <col min="16" max="16" width="14.85546875" hidden="1" customWidth="1"/>
    <col min="17" max="17" width="12" bestFit="1" customWidth="1"/>
    <col min="18" max="19" width="7.140625" hidden="1" customWidth="1"/>
    <col min="20" max="20" width="7.140625" style="20" hidden="1" customWidth="1"/>
    <col min="21" max="22" width="7.140625" hidden="1" customWidth="1"/>
    <col min="23" max="23" width="30.7109375" bestFit="1" customWidth="1"/>
    <col min="24" max="24" width="29.42578125" style="20" bestFit="1" customWidth="1"/>
    <col min="25" max="27" width="29.42578125" style="20" hidden="1" customWidth="1"/>
    <col min="28" max="28" width="7.5703125" style="20" customWidth="1"/>
    <col min="29" max="29" width="12" style="20" customWidth="1"/>
    <col min="30" max="30" width="27.28515625" style="20" bestFit="1" customWidth="1"/>
    <col min="31" max="31" width="14.140625" hidden="1" customWidth="1"/>
    <col min="32" max="33" width="22.85546875" customWidth="1"/>
    <col min="34" max="35" width="16.28515625" hidden="1" customWidth="1"/>
    <col min="36" max="36" width="21.140625" hidden="1" customWidth="1"/>
    <col min="37" max="37" width="9.140625" hidden="1" customWidth="1"/>
    <col min="38" max="38" width="27.140625" hidden="1" customWidth="1"/>
    <col min="39" max="39" width="17.7109375" hidden="1" customWidth="1"/>
    <col min="40" max="41" width="12" hidden="1" customWidth="1"/>
    <col min="42" max="42" width="11.28515625" customWidth="1"/>
    <col min="43" max="43" width="17.140625" bestFit="1" customWidth="1"/>
    <col min="44" max="46" width="0" hidden="1" customWidth="1"/>
    <col min="47" max="48" width="13.5703125" customWidth="1"/>
  </cols>
  <sheetData>
    <row r="1" spans="1:48" x14ac:dyDescent="0.25">
      <c r="A1" s="1" t="s">
        <v>344</v>
      </c>
      <c r="B1" s="1" t="s">
        <v>337</v>
      </c>
      <c r="C1" s="1" t="s">
        <v>100</v>
      </c>
      <c r="D1" s="1" t="s">
        <v>99</v>
      </c>
      <c r="E1" s="1" t="s">
        <v>86</v>
      </c>
      <c r="F1" s="1" t="s">
        <v>1</v>
      </c>
      <c r="G1" s="1" t="s">
        <v>102</v>
      </c>
      <c r="H1" s="1" t="s">
        <v>97</v>
      </c>
      <c r="I1" s="1" t="s">
        <v>14</v>
      </c>
      <c r="J1" s="1" t="s">
        <v>115</v>
      </c>
      <c r="K1" s="1" t="s">
        <v>1057</v>
      </c>
      <c r="L1" s="1" t="s">
        <v>1058</v>
      </c>
      <c r="M1" s="1" t="s">
        <v>1059</v>
      </c>
      <c r="N1" s="1" t="s">
        <v>374</v>
      </c>
      <c r="O1" s="1" t="s">
        <v>375</v>
      </c>
      <c r="P1" s="1" t="s">
        <v>325</v>
      </c>
      <c r="Q1" s="1" t="s">
        <v>271</v>
      </c>
      <c r="R1" s="1" t="s">
        <v>326</v>
      </c>
      <c r="S1" s="1" t="s">
        <v>327</v>
      </c>
      <c r="T1" s="1" t="s">
        <v>463</v>
      </c>
      <c r="U1" s="1" t="s">
        <v>464</v>
      </c>
      <c r="V1" s="1" t="s">
        <v>465</v>
      </c>
      <c r="W1" s="1" t="s">
        <v>466</v>
      </c>
      <c r="X1" s="1" t="s">
        <v>467</v>
      </c>
      <c r="Y1" s="1" t="s">
        <v>468</v>
      </c>
      <c r="Z1" s="1" t="s">
        <v>469</v>
      </c>
      <c r="AA1" s="1" t="s">
        <v>470</v>
      </c>
      <c r="AB1" s="1" t="s">
        <v>454</v>
      </c>
      <c r="AC1"/>
      <c r="AD1" s="1" t="s">
        <v>376</v>
      </c>
      <c r="AE1" s="1" t="s">
        <v>328</v>
      </c>
      <c r="AF1" s="1" t="s">
        <v>455</v>
      </c>
      <c r="AG1" s="1" t="s">
        <v>199</v>
      </c>
      <c r="AH1" s="1" t="s">
        <v>377</v>
      </c>
      <c r="AI1" s="1" t="s">
        <v>379</v>
      </c>
      <c r="AJ1" s="1" t="s">
        <v>380</v>
      </c>
      <c r="AK1" s="1" t="s">
        <v>122</v>
      </c>
      <c r="AL1" s="1" t="s">
        <v>378</v>
      </c>
      <c r="AM1" s="1" t="s">
        <v>382</v>
      </c>
      <c r="AN1" s="1" t="s">
        <v>381</v>
      </c>
      <c r="AO1" s="1" t="s">
        <v>130</v>
      </c>
      <c r="AQ1" s="1" t="s">
        <v>449</v>
      </c>
      <c r="AR1" s="1" t="s">
        <v>344</v>
      </c>
      <c r="AS1" s="1" t="s">
        <v>99</v>
      </c>
      <c r="AT1" s="1" t="s">
        <v>328</v>
      </c>
      <c r="AU1" s="1" t="s">
        <v>1</v>
      </c>
      <c r="AV1" s="1" t="s">
        <v>276</v>
      </c>
    </row>
    <row r="2" spans="1:48" x14ac:dyDescent="0.25">
      <c r="A2" s="37" t="str">
        <f>'Table Seed Map'!$A$34&amp;"-"&amp;(COUNTA($E$1:ResourceAction[[#This Row],[Resource]])-2)</f>
        <v>Resource Actions-0</v>
      </c>
      <c r="B2" s="37" t="str">
        <f>ResourceAction[[#This Row],[Resource Name]]&amp;"/"&amp;ResourceAction[[#This Row],[Name]]</f>
        <v>/name</v>
      </c>
      <c r="C2" s="35"/>
      <c r="D2" s="37" t="str">
        <f>IF(ResourceAction[[#This Row],[Resource Name]]="","id",COUNTA($C$1:ResourceAction[[#This Row],[Resource Name]])-1+IF(VLOOKUP('Table Seed Map'!$A$34,SeedMap[],9,0),VLOOKUP('Table Seed Map'!$A$34,SeedMap[],9,0),0))</f>
        <v>id</v>
      </c>
      <c r="E2" s="37" t="str">
        <f>IFERROR(VLOOKUP(ResourceAction[[#This Row],[Resource Name]],ResourceTable[[RName]:[No]],3,0),"resource")</f>
        <v>resource</v>
      </c>
      <c r="F2" s="37" t="s">
        <v>23</v>
      </c>
      <c r="G2" s="37" t="s">
        <v>24</v>
      </c>
      <c r="H2" s="37" t="s">
        <v>25</v>
      </c>
      <c r="I2" s="37" t="s">
        <v>35</v>
      </c>
      <c r="J2" s="37" t="s">
        <v>114</v>
      </c>
      <c r="K2" s="37" t="s">
        <v>1057</v>
      </c>
      <c r="L2" s="37" t="s">
        <v>1058</v>
      </c>
      <c r="M2" s="37" t="s">
        <v>1059</v>
      </c>
      <c r="N2" s="39" t="str">
        <f>'Table Seed Map'!$A$35&amp;"-"&amp;(COUNTA($E$1:ResourceAction[[#This Row],[Resource]])-2)</f>
        <v>Action Method-0</v>
      </c>
      <c r="O2" s="37" t="str">
        <f>IF(ResourceAction[[#This Row],[No]]="id","id",-2+COUNTA($E$1:ResourceAction[[#This Row],[Resource]])+IF(ISNUMBER(VLOOKUP('Table Seed Map'!$A$35,SeedMap[],9,0)),VLOOKUP('Table Seed Map'!$A$35,SeedMap[],9,0),0))</f>
        <v>id</v>
      </c>
      <c r="P2" s="37" t="str">
        <f>IF(ResourceAction[[#This Row],[No]]="id","resource_action",ResourceAction[[#This Row],[No]])</f>
        <v>resource_action</v>
      </c>
      <c r="Q2" s="48" t="s">
        <v>35</v>
      </c>
      <c r="R2" s="49" t="str">
        <f>IF(ResourceAction[[#This Row],[Resource Name]]="","idn1",IF(ResourceAction[[#This Row],[IDN1]]="","",VLOOKUP(ResourceAction[[#This Row],[IDN1]],IDNMaps[[Display]:[ID]],2,0)))</f>
        <v>idn1</v>
      </c>
      <c r="S2" s="49" t="str">
        <f>IF(ResourceAction[[#This Row],[Resource Name]]="","idn2",IF(ResourceAction[[#This Row],[IDN2]]="","",VLOOKUP(ResourceAction[[#This Row],[IDN2]],IDNMaps[[Display]:[ID]],2,0)))</f>
        <v>idn2</v>
      </c>
      <c r="T2" s="49" t="str">
        <f>IF(ResourceAction[[#This Row],[Resource Name]]="","idn3",IF(ResourceAction[[#This Row],[IDN3]]="","",VLOOKUP(ResourceAction[[#This Row],[IDN3]],IDNMaps[[Display]:[ID]],2,0)))</f>
        <v>idn3</v>
      </c>
      <c r="U2" s="49" t="str">
        <f>IF(ResourceAction[[#This Row],[Resource Name]]="","idn4",IF(ResourceAction[[#This Row],[IDN4]]="","",VLOOKUP(ResourceAction[[#This Row],[IDN4]],IDNMaps[[Display]:[ID]],2,0)))</f>
        <v>idn4</v>
      </c>
      <c r="V2" s="49" t="str">
        <f>IF(ResourceAction[[#This Row],[Resource Name]]="","idn5",IF(ResourceAction[[#This Row],[IDN5]]="","",VLOOKUP(ResourceAction[[#This Row],[IDN5]],IDNMaps[[Display]:[ID]],2,0)))</f>
        <v>idn5</v>
      </c>
      <c r="W2" s="57"/>
      <c r="X2" s="57"/>
      <c r="Y2" s="57"/>
      <c r="Z2" s="57"/>
      <c r="AA2" s="57"/>
      <c r="AB2" s="54" t="str">
        <f>ResourceAction[No]</f>
        <v>id</v>
      </c>
      <c r="AC2"/>
      <c r="AD2" s="1"/>
      <c r="AE2" s="15" t="s">
        <v>45</v>
      </c>
      <c r="AF2" s="15"/>
      <c r="AG2" s="15"/>
      <c r="AH2" s="15" t="str">
        <f>'Table Seed Map'!$A$37&amp;"-"&amp;-1+COUNTA($AF$1:ActionListNData[[#This Row],[Resource List]])</f>
        <v>Action List-0</v>
      </c>
      <c r="AI2" s="15" t="str">
        <f>IF(ActionListNData[[#This Row],[Action Name]]="","id",-1+COUNTA($AF$1:ActionListNData[[#This Row],[Resource List]])+IF(ISNUMBER(VLOOKUP('Table Seed Map'!$A$37,SeedMap[],9,0)),VLOOKUP('Table Seed Map'!$A$37,SeedMap[],9,0),0))</f>
        <v>id</v>
      </c>
      <c r="AJ2" s="15" t="str">
        <f>ActionListNData[[#This Row],[Action]]</f>
        <v>resource_action</v>
      </c>
      <c r="AK2" s="15" t="str">
        <f>IF(ActionListNData[[#This Row],[Action Name]]="","resource_list",IFERROR(VLOOKUP(ActionListNData[[#This Row],[Resource List]],ResourceList[[ListDisplayName]:[No]],2,0),""))</f>
        <v>resource_list</v>
      </c>
      <c r="AL2" s="15" t="str">
        <f>'Table Seed Map'!$A$38&amp;"-"&amp;-1+COUNTA($AG$1:ActionListNData[[#This Row],[Resource Data]])</f>
        <v>Action Data-0</v>
      </c>
      <c r="AM2" s="15" t="str">
        <f>IF(ActionListNData[[#This Row],[Action Name]]="","id",-1+COUNTA($AG$1:ActionListNData[[#This Row],[Resource Data]])+IF(ISNUMBER(VLOOKUP('Table Seed Map'!$A$38,SeedMap[],9,0)),VLOOKUP('Table Seed Map'!$A$38,SeedMap[],9,0),0))</f>
        <v>id</v>
      </c>
      <c r="AN2" s="15" t="str">
        <f>ActionListNData[[#This Row],[Action]]</f>
        <v>resource_action</v>
      </c>
      <c r="AO2" s="15" t="str">
        <f>IF(ActionListNData[[#This Row],[Action Name]]="","resource_data",IFERROR(VLOOKUP(ActionListNData[[#This Row],[Resource Data]],ResourceData[[DataDisplayName]:[No]],2,0),""))</f>
        <v>resource_data</v>
      </c>
      <c r="AQ2" s="1"/>
      <c r="AR2" s="6" t="str">
        <f>'Table Seed Map'!$A$36&amp;"-"&amp;(COUNTA($AQ$2:ActionAttr[[#This Row],[Action Name for Attr]]))</f>
        <v>Action Attrs-0</v>
      </c>
      <c r="AS2" s="15" t="str">
        <f>IF(ActionAttr[[#This Row],[Action Name for Attr]]="","id",IFERROR($AS1+1,IF(ISNUMBER(VLOOKUP('Table Seed Map'!$A$36,SeedMap[],9,0)),VLOOKUP('Table Seed Map'!$A$36,SeedMap[],9,0)+1,1)))</f>
        <v>id</v>
      </c>
      <c r="AT2" s="37" t="str">
        <f>IF(ActionAttr[[#This Row],[Action Name for Attr]]="","resource_action",VLOOKUP(ActionAttr[[#This Row],[Action Name for Attr]],ResourceAction[[Display]:[No]],3,0))</f>
        <v>resource_action</v>
      </c>
      <c r="AU2" s="35" t="s">
        <v>23</v>
      </c>
      <c r="AV2" s="35" t="s">
        <v>44</v>
      </c>
    </row>
    <row r="3" spans="1:48" x14ac:dyDescent="0.25">
      <c r="A3" s="71" t="str">
        <f>'Table Seed Map'!$A$34&amp;"-"&amp;(COUNTA($E$1:ResourceAction[[#This Row],[Resource]])-2)</f>
        <v>Resource Actions-1</v>
      </c>
      <c r="B3" s="71" t="str">
        <f>ResourceAction[[#This Row],[Resource Name]]&amp;"/"&amp;ResourceAction[[#This Row],[Name]]</f>
        <v>Group/CreateFormAction</v>
      </c>
      <c r="C3" s="58" t="s">
        <v>96</v>
      </c>
      <c r="D3" s="71">
        <f>IF(ResourceAction[[#This Row],[Resource Name]]="","id",COUNTA($C$1:ResourceAction[[#This Row],[Resource Name]])-1+IF(VLOOKUP('Table Seed Map'!$A$34,SeedMap[],9,0),VLOOKUP('Table Seed Map'!$A$34,SeedMap[],9,0),0))</f>
        <v>803201</v>
      </c>
      <c r="E3" s="71">
        <f>IFERROR(VLOOKUP(ResourceAction[[#This Row],[Resource Name]],ResourceTable[[RName]:[No]],3,0),"resource")</f>
        <v>800502</v>
      </c>
      <c r="F3" s="71" t="s">
        <v>908</v>
      </c>
      <c r="G3" s="71" t="s">
        <v>909</v>
      </c>
      <c r="H3" s="71"/>
      <c r="I3" s="71"/>
      <c r="J3" s="71" t="s">
        <v>540</v>
      </c>
      <c r="K3" s="71"/>
      <c r="L3" s="71"/>
      <c r="M3" s="71"/>
      <c r="N3" s="70" t="str">
        <f>'Table Seed Map'!$A$35&amp;"-"&amp;(COUNTA($E$1:ResourceAction[[#This Row],[Resource]])-2)</f>
        <v>Action Method-1</v>
      </c>
      <c r="O3" s="71">
        <f>IF(ResourceAction[[#This Row],[No]]="id","id",-2+COUNTA($E$1:ResourceAction[[#This Row],[Resource]])+IF(ISNUMBER(VLOOKUP('Table Seed Map'!$A$35,SeedMap[],9,0)),VLOOKUP('Table Seed Map'!$A$35,SeedMap[],9,0),0))</f>
        <v>803301</v>
      </c>
      <c r="P3" s="71">
        <f>IF(ResourceAction[[#This Row],[No]]="id","resource_action",ResourceAction[[#This Row],[No]])</f>
        <v>803201</v>
      </c>
      <c r="Q3" s="81" t="s">
        <v>121</v>
      </c>
      <c r="R3" s="82">
        <f ca="1">IF(ResourceAction[[#This Row],[Resource Name]]="","idn1",IF(ResourceAction[[#This Row],[IDN1]]="","",VLOOKUP(ResourceAction[[#This Row],[IDN1]],IDNMaps[[Display]:[ID]],2,0)))</f>
        <v>800901</v>
      </c>
      <c r="S3" s="82" t="str">
        <f>IF(ResourceAction[[#This Row],[Resource Name]]="","idn2",IF(ResourceAction[[#This Row],[IDN2]]="","",VLOOKUP(ResourceAction[[#This Row],[IDN2]],IDNMaps[[Display]:[ID]],2,0)))</f>
        <v/>
      </c>
      <c r="T3" s="82" t="str">
        <f>IF(ResourceAction[[#This Row],[Resource Name]]="","idn3",IF(ResourceAction[[#This Row],[IDN3]]="","",VLOOKUP(ResourceAction[[#This Row],[IDN3]],IDNMaps[[Display]:[ID]],2,0)))</f>
        <v/>
      </c>
      <c r="U3" s="82" t="str">
        <f>IF(ResourceAction[[#This Row],[Resource Name]]="","idn4",IF(ResourceAction[[#This Row],[IDN4]]="","",VLOOKUP(ResourceAction[[#This Row],[IDN4]],IDNMaps[[Display]:[ID]],2,0)))</f>
        <v/>
      </c>
      <c r="V3" s="82" t="str">
        <f>IF(ResourceAction[[#This Row],[Resource Name]]="","idn5",IF(ResourceAction[[#This Row],[IDN5]]="","",VLOOKUP(ResourceAction[[#This Row],[IDN5]],IDNMaps[[Display]:[ID]],2,0)))</f>
        <v/>
      </c>
      <c r="W3" s="83" t="s">
        <v>910</v>
      </c>
      <c r="X3" s="83"/>
      <c r="Y3" s="83"/>
      <c r="Z3" s="83"/>
      <c r="AA3" s="83"/>
      <c r="AB3" s="78">
        <f>ResourceAction[No]</f>
        <v>803201</v>
      </c>
      <c r="AC3"/>
      <c r="AD3" s="63" t="s">
        <v>948</v>
      </c>
      <c r="AE3" s="60">
        <f>VLOOKUP(ActionListNData[[#This Row],[Action Name]],ResourceAction[[Display]:[No]],3,0)</f>
        <v>803205</v>
      </c>
      <c r="AF3" s="15" t="s">
        <v>934</v>
      </c>
      <c r="AG3" s="60"/>
      <c r="AH3" s="60" t="str">
        <f>'Table Seed Map'!$A$37&amp;"-"&amp;-1+COUNTA($AF$1:ActionListNData[[#This Row],[Resource List]])</f>
        <v>Action List-1</v>
      </c>
      <c r="AI3" s="60">
        <f>IF(ActionListNData[[#This Row],[Action Name]]="","id",-1+COUNTA($AF$1:ActionListNData[[#This Row],[Resource List]])+IF(ISNUMBER(VLOOKUP('Table Seed Map'!$A$37,SeedMap[],9,0)),VLOOKUP('Table Seed Map'!$A$37,SeedMap[],9,0),0))</f>
        <v>803501</v>
      </c>
      <c r="AJ3" s="60">
        <f>ActionListNData[[#This Row],[Action]]</f>
        <v>803205</v>
      </c>
      <c r="AK3" s="60">
        <f>IF(ActionListNData[[#This Row],[Action Name]]="","resource_list",IFERROR(VLOOKUP(ActionListNData[[#This Row],[Resource List]],ResourceList[[ListDisplayName]:[No]],2,0),""))</f>
        <v>802202</v>
      </c>
      <c r="AL3" s="60" t="str">
        <f>'Table Seed Map'!$A$38&amp;"-"&amp;-1+COUNTA($AG$1:ActionListNData[[#This Row],[Resource Data]])</f>
        <v>Action Data-0</v>
      </c>
      <c r="AM3" s="60">
        <f>IF(ActionListNData[[#This Row],[Action Name]]="","id",-1+COUNTA($AG$1:ActionListNData[[#This Row],[Resource Data]])+IF(ISNUMBER(VLOOKUP('Table Seed Map'!$A$38,SeedMap[],9,0)),VLOOKUP('Table Seed Map'!$A$38,SeedMap[],9,0),0))</f>
        <v>803600</v>
      </c>
      <c r="AN3" s="60">
        <f>ActionListNData[[#This Row],[Action]]</f>
        <v>803205</v>
      </c>
      <c r="AO3" s="60" t="str">
        <f>IF(ActionListNData[[#This Row],[Action Name]]="","resource_data",IFERROR(VLOOKUP(ActionListNData[[#This Row],[Resource Data]],ResourceData[[DataDisplayName]:[No]],2,0),""))</f>
        <v/>
      </c>
    </row>
    <row r="4" spans="1:48" x14ac:dyDescent="0.25">
      <c r="A4" s="71" t="str">
        <f>'Table Seed Map'!$A$34&amp;"-"&amp;(COUNTA($E$1:ResourceAction[[#This Row],[Resource]])-2)</f>
        <v>Resource Actions-2</v>
      </c>
      <c r="B4" s="71" t="str">
        <f>ResourceAction[[#This Row],[Resource Name]]&amp;"/"&amp;ResourceAction[[#This Row],[Name]]</f>
        <v>Group/ListGroupsAction</v>
      </c>
      <c r="C4" s="58" t="s">
        <v>96</v>
      </c>
      <c r="D4" s="71">
        <f>IF(ResourceAction[[#This Row],[Resource Name]]="","id",COUNTA($C$1:ResourceAction[[#This Row],[Resource Name]])-1+IF(VLOOKUP('Table Seed Map'!$A$34,SeedMap[],9,0),VLOOKUP('Table Seed Map'!$A$34,SeedMap[],9,0),0))</f>
        <v>803202</v>
      </c>
      <c r="E4" s="71">
        <f>IFERROR(VLOOKUP(ResourceAction[[#This Row],[Resource Name]],ResourceTable[[RName]:[No]],3,0),"resource")</f>
        <v>800502</v>
      </c>
      <c r="F4" s="71" t="s">
        <v>914</v>
      </c>
      <c r="G4" s="71" t="s">
        <v>930</v>
      </c>
      <c r="H4" s="71"/>
      <c r="I4" s="71"/>
      <c r="J4" s="71" t="s">
        <v>915</v>
      </c>
      <c r="K4" s="71"/>
      <c r="L4" s="71"/>
      <c r="M4" s="71"/>
      <c r="N4" s="70" t="str">
        <f>'Table Seed Map'!$A$35&amp;"-"&amp;(COUNTA($E$1:ResourceAction[[#This Row],[Resource]])-2)</f>
        <v>Action Method-2</v>
      </c>
      <c r="O4" s="71">
        <f>IF(ResourceAction[[#This Row],[No]]="id","id",-2+COUNTA($E$1:ResourceAction[[#This Row],[Resource]])+IF(ISNUMBER(VLOOKUP('Table Seed Map'!$A$35,SeedMap[],9,0)),VLOOKUP('Table Seed Map'!$A$35,SeedMap[],9,0),0))</f>
        <v>803302</v>
      </c>
      <c r="P4" s="71">
        <f>IF(ResourceAction[[#This Row],[No]]="id","resource_action",ResourceAction[[#This Row],[No]])</f>
        <v>803202</v>
      </c>
      <c r="Q4" s="81" t="s">
        <v>122</v>
      </c>
      <c r="R4" s="82">
        <f ca="1">IF(ResourceAction[[#This Row],[Resource Name]]="","idn1",IF(ResourceAction[[#This Row],[IDN1]]="","",VLOOKUP(ResourceAction[[#This Row],[IDN1]],IDNMaps[[Display]:[ID]],2,0)))</f>
        <v>802201</v>
      </c>
      <c r="S4" s="82" t="str">
        <f>IF(ResourceAction[[#This Row],[Resource Name]]="","idn2",IF(ResourceAction[[#This Row],[IDN2]]="","",VLOOKUP(ResourceAction[[#This Row],[IDN2]],IDNMaps[[Display]:[ID]],2,0)))</f>
        <v/>
      </c>
      <c r="T4" s="82" t="str">
        <f>IF(ResourceAction[[#This Row],[Resource Name]]="","idn3",IF(ResourceAction[[#This Row],[IDN3]]="","",VLOOKUP(ResourceAction[[#This Row],[IDN3]],IDNMaps[[Display]:[ID]],2,0)))</f>
        <v/>
      </c>
      <c r="U4" s="82" t="str">
        <f>IF(ResourceAction[[#This Row],[Resource Name]]="","idn4",IF(ResourceAction[[#This Row],[IDN4]]="","",VLOOKUP(ResourceAction[[#This Row],[IDN4]],IDNMaps[[Display]:[ID]],2,0)))</f>
        <v/>
      </c>
      <c r="V4" s="82" t="str">
        <f>IF(ResourceAction[[#This Row],[Resource Name]]="","idn5",IF(ResourceAction[[#This Row],[IDN5]]="","",VLOOKUP(ResourceAction[[#This Row],[IDN5]],IDNMaps[[Display]:[ID]],2,0)))</f>
        <v/>
      </c>
      <c r="W4" s="83" t="s">
        <v>916</v>
      </c>
      <c r="X4" s="83"/>
      <c r="Y4" s="83"/>
      <c r="Z4" s="83"/>
      <c r="AA4" s="83"/>
      <c r="AB4" s="78">
        <f>ResourceAction[No]</f>
        <v>803202</v>
      </c>
      <c r="AC4"/>
      <c r="AD4" s="63" t="s">
        <v>953</v>
      </c>
      <c r="AE4" s="60">
        <f>VLOOKUP(ActionListNData[[#This Row],[Action Name]],ResourceAction[[Display]:[No]],3,0)</f>
        <v>803206</v>
      </c>
      <c r="AF4" s="15" t="s">
        <v>913</v>
      </c>
      <c r="AG4" s="60"/>
      <c r="AH4" s="60" t="str">
        <f>'Table Seed Map'!$A$37&amp;"-"&amp;-1+COUNTA($AF$1:ActionListNData[[#This Row],[Resource List]])</f>
        <v>Action List-2</v>
      </c>
      <c r="AI4" s="60">
        <f>IF(ActionListNData[[#This Row],[Action Name]]="","id",-1+COUNTA($AF$1:ActionListNData[[#This Row],[Resource List]])+IF(ISNUMBER(VLOOKUP('Table Seed Map'!$A$37,SeedMap[],9,0)),VLOOKUP('Table Seed Map'!$A$37,SeedMap[],9,0),0))</f>
        <v>803502</v>
      </c>
      <c r="AJ4" s="60">
        <f>ActionListNData[[#This Row],[Action]]</f>
        <v>803206</v>
      </c>
      <c r="AK4" s="60">
        <f>IF(ActionListNData[[#This Row],[Action Name]]="","resource_list",IFERROR(VLOOKUP(ActionListNData[[#This Row],[Resource List]],ResourceList[[ListDisplayName]:[No]],2,0),""))</f>
        <v>802201</v>
      </c>
      <c r="AL4" s="60" t="str">
        <f>'Table Seed Map'!$A$38&amp;"-"&amp;-1+COUNTA($AG$1:ActionListNData[[#This Row],[Resource Data]])</f>
        <v>Action Data-0</v>
      </c>
      <c r="AM4" s="60">
        <f>IF(ActionListNData[[#This Row],[Action Name]]="","id",-1+COUNTA($AG$1:ActionListNData[[#This Row],[Resource Data]])+IF(ISNUMBER(VLOOKUP('Table Seed Map'!$A$38,SeedMap[],9,0)),VLOOKUP('Table Seed Map'!$A$38,SeedMap[],9,0),0))</f>
        <v>803600</v>
      </c>
      <c r="AN4" s="60">
        <f>ActionListNData[[#This Row],[Action]]</f>
        <v>803206</v>
      </c>
      <c r="AO4" s="60" t="str">
        <f>IF(ActionListNData[[#This Row],[Action Name]]="","resource_data",IFERROR(VLOOKUP(ActionListNData[[#This Row],[Resource Data]],ResourceData[[DataDisplayName]:[No]],2,0),""))</f>
        <v/>
      </c>
    </row>
    <row r="5" spans="1:48" x14ac:dyDescent="0.25">
      <c r="A5" s="71" t="str">
        <f>'Table Seed Map'!$A$34&amp;"-"&amp;(COUNTA($E$1:ResourceAction[[#This Row],[Resource]])-2)</f>
        <v>Resource Actions-3</v>
      </c>
      <c r="B5" s="71" t="str">
        <f>ResourceAction[[#This Row],[Resource Name]]&amp;"/"&amp;ResourceAction[[#This Row],[Name]]</f>
        <v>Partner/CreatePartnerAction</v>
      </c>
      <c r="C5" s="58" t="s">
        <v>844</v>
      </c>
      <c r="D5" s="71">
        <f>IF(ResourceAction[[#This Row],[Resource Name]]="","id",COUNTA($C$1:ResourceAction[[#This Row],[Resource Name]])-1+IF(VLOOKUP('Table Seed Map'!$A$34,SeedMap[],9,0),VLOOKUP('Table Seed Map'!$A$34,SeedMap[],9,0),0))</f>
        <v>803203</v>
      </c>
      <c r="E5" s="71">
        <f>IFERROR(VLOOKUP(ResourceAction[[#This Row],[Resource Name]],ResourceTable[[RName]:[No]],3,0),"resource")</f>
        <v>800501</v>
      </c>
      <c r="F5" s="71" t="s">
        <v>925</v>
      </c>
      <c r="G5" s="71" t="s">
        <v>926</v>
      </c>
      <c r="H5" s="71"/>
      <c r="I5" s="71"/>
      <c r="J5" s="71" t="s">
        <v>927</v>
      </c>
      <c r="K5" s="71"/>
      <c r="L5" s="71"/>
      <c r="M5" s="71"/>
      <c r="N5" s="70" t="str">
        <f>'Table Seed Map'!$A$35&amp;"-"&amp;(COUNTA($E$1:ResourceAction[[#This Row],[Resource]])-2)</f>
        <v>Action Method-3</v>
      </c>
      <c r="O5" s="71">
        <f>IF(ResourceAction[[#This Row],[No]]="id","id",-2+COUNTA($E$1:ResourceAction[[#This Row],[Resource]])+IF(ISNUMBER(VLOOKUP('Table Seed Map'!$A$35,SeedMap[],9,0)),VLOOKUP('Table Seed Map'!$A$35,SeedMap[],9,0),0))</f>
        <v>803303</v>
      </c>
      <c r="P5" s="71">
        <f>IF(ResourceAction[[#This Row],[No]]="id","resource_action",ResourceAction[[#This Row],[No]])</f>
        <v>803203</v>
      </c>
      <c r="Q5" s="81" t="s">
        <v>121</v>
      </c>
      <c r="R5" s="82">
        <f ca="1">IF(ResourceAction[[#This Row],[Resource Name]]="","idn1",IF(ResourceAction[[#This Row],[IDN1]]="","",VLOOKUP(ResourceAction[[#This Row],[IDN1]],IDNMaps[[Display]:[ID]],2,0)))</f>
        <v>800902</v>
      </c>
      <c r="S5" s="82" t="str">
        <f>IF(ResourceAction[[#This Row],[Resource Name]]="","idn2",IF(ResourceAction[[#This Row],[IDN2]]="","",VLOOKUP(ResourceAction[[#This Row],[IDN2]],IDNMaps[[Display]:[ID]],2,0)))</f>
        <v/>
      </c>
      <c r="T5" s="82" t="str">
        <f>IF(ResourceAction[[#This Row],[Resource Name]]="","idn3",IF(ResourceAction[[#This Row],[IDN3]]="","",VLOOKUP(ResourceAction[[#This Row],[IDN3]],IDNMaps[[Display]:[ID]],2,0)))</f>
        <v/>
      </c>
      <c r="U5" s="82" t="str">
        <f>IF(ResourceAction[[#This Row],[Resource Name]]="","idn4",IF(ResourceAction[[#This Row],[IDN4]]="","",VLOOKUP(ResourceAction[[#This Row],[IDN4]],IDNMaps[[Display]:[ID]],2,0)))</f>
        <v/>
      </c>
      <c r="V5" s="82" t="str">
        <f>IF(ResourceAction[[#This Row],[Resource Name]]="","idn5",IF(ResourceAction[[#This Row],[IDN5]]="","",VLOOKUP(ResourceAction[[#This Row],[IDN5]],IDNMaps[[Display]:[ID]],2,0)))</f>
        <v/>
      </c>
      <c r="W5" s="83" t="s">
        <v>928</v>
      </c>
      <c r="X5" s="83"/>
      <c r="Y5" s="83"/>
      <c r="Z5" s="83"/>
      <c r="AA5" s="83"/>
      <c r="AB5" s="78">
        <f>ResourceAction[No]</f>
        <v>803203</v>
      </c>
      <c r="AC5"/>
      <c r="AD5" s="63" t="s">
        <v>988</v>
      </c>
      <c r="AE5" s="60">
        <f>VLOOKUP(ActionListNData[[#This Row],[Action Name]],ResourceAction[[Display]:[No]],3,0)</f>
        <v>803209</v>
      </c>
      <c r="AF5" s="15" t="s">
        <v>962</v>
      </c>
      <c r="AG5" s="60"/>
      <c r="AH5" s="60" t="str">
        <f>'Table Seed Map'!$A$37&amp;"-"&amp;-1+COUNTA($AF$1:ActionListNData[[#This Row],[Resource List]])</f>
        <v>Action List-3</v>
      </c>
      <c r="AI5" s="60">
        <f>IF(ActionListNData[[#This Row],[Action Name]]="","id",-1+COUNTA($AF$1:ActionListNData[[#This Row],[Resource List]])+IF(ISNUMBER(VLOOKUP('Table Seed Map'!$A$37,SeedMap[],9,0)),VLOOKUP('Table Seed Map'!$A$37,SeedMap[],9,0),0))</f>
        <v>803503</v>
      </c>
      <c r="AJ5" s="60">
        <f>ActionListNData[[#This Row],[Action]]</f>
        <v>803209</v>
      </c>
      <c r="AK5" s="60">
        <f>IF(ActionListNData[[#This Row],[Action Name]]="","resource_list",IFERROR(VLOOKUP(ActionListNData[[#This Row],[Resource List]],ResourceList[[ListDisplayName]:[No]],2,0),""))</f>
        <v>802203</v>
      </c>
      <c r="AL5" s="60" t="str">
        <f>'Table Seed Map'!$A$38&amp;"-"&amp;-1+COUNTA($AG$1:ActionListNData[[#This Row],[Resource Data]])</f>
        <v>Action Data-0</v>
      </c>
      <c r="AM5" s="60">
        <f>IF(ActionListNData[[#This Row],[Action Name]]="","id",-1+COUNTA($AG$1:ActionListNData[[#This Row],[Resource Data]])+IF(ISNUMBER(VLOOKUP('Table Seed Map'!$A$38,SeedMap[],9,0)),VLOOKUP('Table Seed Map'!$A$38,SeedMap[],9,0),0))</f>
        <v>803600</v>
      </c>
      <c r="AN5" s="60">
        <f>ActionListNData[[#This Row],[Action]]</f>
        <v>803209</v>
      </c>
      <c r="AO5" s="60" t="str">
        <f>IF(ActionListNData[[#This Row],[Action Name]]="","resource_data",IFERROR(VLOOKUP(ActionListNData[[#This Row],[Resource Data]],ResourceData[[DataDisplayName]:[No]],2,0),""))</f>
        <v/>
      </c>
    </row>
    <row r="6" spans="1:48" x14ac:dyDescent="0.25">
      <c r="A6" s="71" t="str">
        <f>'Table Seed Map'!$A$34&amp;"-"&amp;(COUNTA($E$1:ResourceAction[[#This Row],[Resource]])-2)</f>
        <v>Resource Actions-4</v>
      </c>
      <c r="B6" s="71" t="str">
        <f>ResourceAction[[#This Row],[Resource Name]]&amp;"/"&amp;ResourceAction[[#This Row],[Name]]</f>
        <v>Partner/ListPartnerAction</v>
      </c>
      <c r="C6" s="58" t="s">
        <v>844</v>
      </c>
      <c r="D6" s="71">
        <f>IF(ResourceAction[[#This Row],[Resource Name]]="","id",COUNTA($C$1:ResourceAction[[#This Row],[Resource Name]])-1+IF(VLOOKUP('Table Seed Map'!$A$34,SeedMap[],9,0),VLOOKUP('Table Seed Map'!$A$34,SeedMap[],9,0),0))</f>
        <v>803204</v>
      </c>
      <c r="E6" s="71">
        <f>IFERROR(VLOOKUP(ResourceAction[[#This Row],[Resource Name]],ResourceTable[[RName]:[No]],3,0),"resource")</f>
        <v>800501</v>
      </c>
      <c r="F6" s="71" t="s">
        <v>929</v>
      </c>
      <c r="G6" s="71" t="s">
        <v>931</v>
      </c>
      <c r="H6" s="71"/>
      <c r="I6" s="71"/>
      <c r="J6" s="71" t="s">
        <v>915</v>
      </c>
      <c r="K6" s="71"/>
      <c r="L6" s="71"/>
      <c r="M6" s="71"/>
      <c r="N6" s="70" t="str">
        <f>'Table Seed Map'!$A$35&amp;"-"&amp;(COUNTA($E$1:ResourceAction[[#This Row],[Resource]])-2)</f>
        <v>Action Method-4</v>
      </c>
      <c r="O6" s="71">
        <f>IF(ResourceAction[[#This Row],[No]]="id","id",-2+COUNTA($E$1:ResourceAction[[#This Row],[Resource]])+IF(ISNUMBER(VLOOKUP('Table Seed Map'!$A$35,SeedMap[],9,0)),VLOOKUP('Table Seed Map'!$A$35,SeedMap[],9,0),0))</f>
        <v>803304</v>
      </c>
      <c r="P6" s="71">
        <f>IF(ResourceAction[[#This Row],[No]]="id","resource_action",ResourceAction[[#This Row],[No]])</f>
        <v>803204</v>
      </c>
      <c r="Q6" s="81" t="s">
        <v>122</v>
      </c>
      <c r="R6" s="82">
        <f ca="1">IF(ResourceAction[[#This Row],[Resource Name]]="","idn1",IF(ResourceAction[[#This Row],[IDN1]]="","",VLOOKUP(ResourceAction[[#This Row],[IDN1]],IDNMaps[[Display]:[ID]],2,0)))</f>
        <v>802202</v>
      </c>
      <c r="S6" s="82" t="str">
        <f>IF(ResourceAction[[#This Row],[Resource Name]]="","idn2",IF(ResourceAction[[#This Row],[IDN2]]="","",VLOOKUP(ResourceAction[[#This Row],[IDN2]],IDNMaps[[Display]:[ID]],2,0)))</f>
        <v/>
      </c>
      <c r="T6" s="82" t="str">
        <f>IF(ResourceAction[[#This Row],[Resource Name]]="","idn3",IF(ResourceAction[[#This Row],[IDN3]]="","",VLOOKUP(ResourceAction[[#This Row],[IDN3]],IDNMaps[[Display]:[ID]],2,0)))</f>
        <v/>
      </c>
      <c r="U6" s="82" t="str">
        <f>IF(ResourceAction[[#This Row],[Resource Name]]="","idn4",IF(ResourceAction[[#This Row],[IDN4]]="","",VLOOKUP(ResourceAction[[#This Row],[IDN4]],IDNMaps[[Display]:[ID]],2,0)))</f>
        <v/>
      </c>
      <c r="V6" s="82" t="str">
        <f>IF(ResourceAction[[#This Row],[Resource Name]]="","idn5",IF(ResourceAction[[#This Row],[IDN5]]="","",VLOOKUP(ResourceAction[[#This Row],[IDN5]],IDNMaps[[Display]:[ID]],2,0)))</f>
        <v/>
      </c>
      <c r="W6" s="83" t="s">
        <v>935</v>
      </c>
      <c r="X6" s="83"/>
      <c r="Y6" s="83"/>
      <c r="Z6" s="83"/>
      <c r="AA6" s="83"/>
      <c r="AB6" s="78">
        <f>ResourceAction[No]</f>
        <v>803204</v>
      </c>
      <c r="AC6"/>
      <c r="AD6" s="1" t="s">
        <v>1038</v>
      </c>
      <c r="AE6" s="15">
        <f>VLOOKUP(ActionListNData[[#This Row],[Action Name]],ResourceAction[[Display]:[No]],3,0)</f>
        <v>803215</v>
      </c>
      <c r="AF6" s="15" t="s">
        <v>992</v>
      </c>
      <c r="AG6" s="15"/>
      <c r="AH6" s="15" t="str">
        <f>'Table Seed Map'!$A$37&amp;"-"&amp;-1+COUNTA($AF$1:ActionListNData[[#This Row],[Resource List]])</f>
        <v>Action List-4</v>
      </c>
      <c r="AI6" s="15">
        <f>IF(ActionListNData[[#This Row],[Action Name]]="","id",-1+COUNTA($AF$1:ActionListNData[[#This Row],[Resource List]])+IF(ISNUMBER(VLOOKUP('Table Seed Map'!$A$37,SeedMap[],9,0)),VLOOKUP('Table Seed Map'!$A$37,SeedMap[],9,0),0))</f>
        <v>803504</v>
      </c>
      <c r="AJ6" s="15">
        <f>ActionListNData[[#This Row],[Action]]</f>
        <v>803215</v>
      </c>
      <c r="AK6" s="15">
        <f>IF(ActionListNData[[#This Row],[Action Name]]="","resource_list",IFERROR(VLOOKUP(ActionListNData[[#This Row],[Resource List]],ResourceList[[ListDisplayName]:[No]],2,0),""))</f>
        <v>802204</v>
      </c>
      <c r="AL6" s="15" t="str">
        <f>'Table Seed Map'!$A$38&amp;"-"&amp;-1+COUNTA($AG$1:ActionListNData[[#This Row],[Resource Data]])</f>
        <v>Action Data-0</v>
      </c>
      <c r="AM6" s="15">
        <f>IF(ActionListNData[[#This Row],[Action Name]]="","id",-1+COUNTA($AG$1:ActionListNData[[#This Row],[Resource Data]])+IF(ISNUMBER(VLOOKUP('Table Seed Map'!$A$38,SeedMap[],9,0)),VLOOKUP('Table Seed Map'!$A$38,SeedMap[],9,0),0))</f>
        <v>803600</v>
      </c>
      <c r="AN6" s="15">
        <f>ActionListNData[[#This Row],[Action]]</f>
        <v>803215</v>
      </c>
      <c r="AO6" s="15" t="str">
        <f>IF(ActionListNData[[#This Row],[Action Name]]="","resource_data",IFERROR(VLOOKUP(ActionListNData[[#This Row],[Resource Data]],ResourceData[[DataDisplayName]:[No]],2,0),""))</f>
        <v/>
      </c>
    </row>
    <row r="7" spans="1:48" x14ac:dyDescent="0.25">
      <c r="A7" s="71" t="str">
        <f>'Table Seed Map'!$A$34&amp;"-"&amp;(COUNTA($E$1:ResourceAction[[#This Row],[Resource]])-2)</f>
        <v>Resource Actions-5</v>
      </c>
      <c r="B7" s="71" t="str">
        <f>ResourceAction[[#This Row],[Resource Name]]&amp;"/"&amp;ResourceAction[[#This Row],[Name]]</f>
        <v>Partner/ManagePartnerGroups</v>
      </c>
      <c r="C7" s="58" t="s">
        <v>844</v>
      </c>
      <c r="D7" s="71">
        <f>IF(ResourceAction[[#This Row],[Resource Name]]="","id",COUNTA($C$1:ResourceAction[[#This Row],[Resource Name]])-1+IF(VLOOKUP('Table Seed Map'!$A$34,SeedMap[],9,0),VLOOKUP('Table Seed Map'!$A$34,SeedMap[],9,0),0))</f>
        <v>803205</v>
      </c>
      <c r="E7" s="71">
        <f>IFERROR(VLOOKUP(ResourceAction[[#This Row],[Resource Name]],ResourceTable[[RName]:[No]],3,0),"resource")</f>
        <v>800501</v>
      </c>
      <c r="F7" s="71" t="s">
        <v>943</v>
      </c>
      <c r="G7" s="71" t="s">
        <v>944</v>
      </c>
      <c r="H7" s="71" t="s">
        <v>945</v>
      </c>
      <c r="I7" s="71"/>
      <c r="J7" s="71"/>
      <c r="K7" s="71"/>
      <c r="L7" s="71"/>
      <c r="M7" s="71"/>
      <c r="N7" s="70" t="str">
        <f>'Table Seed Map'!$A$35&amp;"-"&amp;(COUNTA($E$1:ResourceAction[[#This Row],[Resource]])-2)</f>
        <v>Action Method-5</v>
      </c>
      <c r="O7" s="71">
        <f>IF(ResourceAction[[#This Row],[No]]="id","id",-2+COUNTA($E$1:ResourceAction[[#This Row],[Resource]])+IF(ISNUMBER(VLOOKUP('Table Seed Map'!$A$35,SeedMap[],9,0)),VLOOKUP('Table Seed Map'!$A$35,SeedMap[],9,0),0))</f>
        <v>803305</v>
      </c>
      <c r="P7" s="71">
        <f>IF(ResourceAction[[#This Row],[No]]="id","resource_action",ResourceAction[[#This Row],[No]])</f>
        <v>803205</v>
      </c>
      <c r="Q7" s="81" t="s">
        <v>946</v>
      </c>
      <c r="R7" s="82">
        <f ca="1">IF(ResourceAction[[#This Row],[Resource Name]]="","idn1",IF(ResourceAction[[#This Row],[IDN1]]="","",VLOOKUP(ResourceAction[[#This Row],[IDN1]],IDNMaps[[Display]:[ID]],2,0)))</f>
        <v>800801</v>
      </c>
      <c r="S7" s="82">
        <f ca="1">IF(ResourceAction[[#This Row],[Resource Name]]="","idn2",IF(ResourceAction[[#This Row],[IDN2]]="","",VLOOKUP(ResourceAction[[#This Row],[IDN2]],IDNMaps[[Display]:[ID]],2,0)))</f>
        <v>802201</v>
      </c>
      <c r="T7" s="82" t="str">
        <f>IF(ResourceAction[[#This Row],[Resource Name]]="","idn3",IF(ResourceAction[[#This Row],[IDN3]]="","",VLOOKUP(ResourceAction[[#This Row],[IDN3]],IDNMaps[[Display]:[ID]],2,0)))</f>
        <v/>
      </c>
      <c r="U7" s="82" t="str">
        <f>IF(ResourceAction[[#This Row],[Resource Name]]="","idn4",IF(ResourceAction[[#This Row],[IDN4]]="","",VLOOKUP(ResourceAction[[#This Row],[IDN4]],IDNMaps[[Display]:[ID]],2,0)))</f>
        <v/>
      </c>
      <c r="V7" s="82" t="str">
        <f>IF(ResourceAction[[#This Row],[Resource Name]]="","idn5",IF(ResourceAction[[#This Row],[IDN5]]="","",VLOOKUP(ResourceAction[[#This Row],[IDN5]],IDNMaps[[Display]:[ID]],2,0)))</f>
        <v/>
      </c>
      <c r="W7" s="83" t="s">
        <v>947</v>
      </c>
      <c r="X7" s="83" t="s">
        <v>916</v>
      </c>
      <c r="Y7" s="83"/>
      <c r="Z7" s="83"/>
      <c r="AA7" s="83"/>
      <c r="AB7" s="78">
        <f>ResourceAction[No]</f>
        <v>803205</v>
      </c>
      <c r="AC7"/>
      <c r="AD7" s="63" t="s">
        <v>1056</v>
      </c>
      <c r="AE7" s="60">
        <f>VLOOKUP(ActionListNData[[#This Row],[Action Name]],ResourceAction[[Display]:[No]],3,0)</f>
        <v>803216</v>
      </c>
      <c r="AF7" s="15" t="s">
        <v>992</v>
      </c>
      <c r="AG7" s="60"/>
      <c r="AH7" s="60" t="str">
        <f>'Table Seed Map'!$A$37&amp;"-"&amp;-1+COUNTA($AF$1:ActionListNData[[#This Row],[Resource List]])</f>
        <v>Action List-5</v>
      </c>
      <c r="AI7" s="60">
        <f>IF(ActionListNData[[#This Row],[Action Name]]="","id",-1+COUNTA($AF$1:ActionListNData[[#This Row],[Resource List]])+IF(ISNUMBER(VLOOKUP('Table Seed Map'!$A$37,SeedMap[],9,0)),VLOOKUP('Table Seed Map'!$A$37,SeedMap[],9,0),0))</f>
        <v>803505</v>
      </c>
      <c r="AJ7" s="60">
        <f>ActionListNData[[#This Row],[Action]]</f>
        <v>803216</v>
      </c>
      <c r="AK7" s="60">
        <f>IF(ActionListNData[[#This Row],[Action Name]]="","resource_list",IFERROR(VLOOKUP(ActionListNData[[#This Row],[Resource List]],ResourceList[[ListDisplayName]:[No]],2,0),""))</f>
        <v>802204</v>
      </c>
      <c r="AL7" s="60" t="str">
        <f>'Table Seed Map'!$A$38&amp;"-"&amp;-1+COUNTA($AG$1:ActionListNData[[#This Row],[Resource Data]])</f>
        <v>Action Data-0</v>
      </c>
      <c r="AM7" s="60">
        <f>IF(ActionListNData[[#This Row],[Action Name]]="","id",-1+COUNTA($AG$1:ActionListNData[[#This Row],[Resource Data]])+IF(ISNUMBER(VLOOKUP('Table Seed Map'!$A$38,SeedMap[],9,0)),VLOOKUP('Table Seed Map'!$A$38,SeedMap[],9,0),0))</f>
        <v>803600</v>
      </c>
      <c r="AN7" s="60">
        <f>ActionListNData[[#This Row],[Action]]</f>
        <v>803216</v>
      </c>
      <c r="AO7" s="60" t="str">
        <f>IF(ActionListNData[[#This Row],[Action Name]]="","resource_data",IFERROR(VLOOKUP(ActionListNData[[#This Row],[Resource Data]],ResourceData[[DataDisplayName]:[No]],2,0),""))</f>
        <v/>
      </c>
    </row>
    <row r="8" spans="1:48" x14ac:dyDescent="0.25">
      <c r="A8" s="71" t="str">
        <f>'Table Seed Map'!$A$34&amp;"-"&amp;(COUNTA($E$1:ResourceAction[[#This Row],[Resource]])-2)</f>
        <v>Resource Actions-6</v>
      </c>
      <c r="B8" s="71" t="str">
        <f>ResourceAction[[#This Row],[Resource Name]]&amp;"/"&amp;ResourceAction[[#This Row],[Name]]</f>
        <v>Group/ManageGroupPartners</v>
      </c>
      <c r="C8" s="58" t="s">
        <v>96</v>
      </c>
      <c r="D8" s="71">
        <f>IF(ResourceAction[[#This Row],[Resource Name]]="","id",COUNTA($C$1:ResourceAction[[#This Row],[Resource Name]])-1+IF(VLOOKUP('Table Seed Map'!$A$34,SeedMap[],9,0),VLOOKUP('Table Seed Map'!$A$34,SeedMap[],9,0),0))</f>
        <v>803206</v>
      </c>
      <c r="E8" s="71">
        <f>IFERROR(VLOOKUP(ResourceAction[[#This Row],[Resource Name]],ResourceTable[[RName]:[No]],3,0),"resource")</f>
        <v>800502</v>
      </c>
      <c r="F8" s="71" t="s">
        <v>949</v>
      </c>
      <c r="G8" s="71" t="s">
        <v>950</v>
      </c>
      <c r="H8" s="71" t="s">
        <v>951</v>
      </c>
      <c r="I8" s="71"/>
      <c r="J8" s="71"/>
      <c r="K8" s="71"/>
      <c r="L8" s="71"/>
      <c r="M8" s="71"/>
      <c r="N8" s="70" t="str">
        <f>'Table Seed Map'!$A$35&amp;"-"&amp;(COUNTA($E$1:ResourceAction[[#This Row],[Resource]])-2)</f>
        <v>Action Method-6</v>
      </c>
      <c r="O8" s="71">
        <f>IF(ResourceAction[[#This Row],[No]]="id","id",-2+COUNTA($E$1:ResourceAction[[#This Row],[Resource]])+IF(ISNUMBER(VLOOKUP('Table Seed Map'!$A$35,SeedMap[],9,0)),VLOOKUP('Table Seed Map'!$A$35,SeedMap[],9,0),0))</f>
        <v>803306</v>
      </c>
      <c r="P8" s="71">
        <f>IF(ResourceAction[[#This Row],[No]]="id","resource_action",ResourceAction[[#This Row],[No]])</f>
        <v>803206</v>
      </c>
      <c r="Q8" s="81" t="s">
        <v>946</v>
      </c>
      <c r="R8" s="82">
        <f ca="1">IF(ResourceAction[[#This Row],[Resource Name]]="","idn1",IF(ResourceAction[[#This Row],[IDN1]]="","",VLOOKUP(ResourceAction[[#This Row],[IDN1]],IDNMaps[[Display]:[ID]],2,0)))</f>
        <v>800803</v>
      </c>
      <c r="S8" s="82">
        <f ca="1">IF(ResourceAction[[#This Row],[Resource Name]]="","idn2",IF(ResourceAction[[#This Row],[IDN2]]="","",VLOOKUP(ResourceAction[[#This Row],[IDN2]],IDNMaps[[Display]:[ID]],2,0)))</f>
        <v>802202</v>
      </c>
      <c r="T8" s="82" t="str">
        <f>IF(ResourceAction[[#This Row],[Resource Name]]="","idn3",IF(ResourceAction[[#This Row],[IDN3]]="","",VLOOKUP(ResourceAction[[#This Row],[IDN3]],IDNMaps[[Display]:[ID]],2,0)))</f>
        <v/>
      </c>
      <c r="U8" s="82" t="str">
        <f>IF(ResourceAction[[#This Row],[Resource Name]]="","idn4",IF(ResourceAction[[#This Row],[IDN4]]="","",VLOOKUP(ResourceAction[[#This Row],[IDN4]],IDNMaps[[Display]:[ID]],2,0)))</f>
        <v/>
      </c>
      <c r="V8" s="82" t="str">
        <f>IF(ResourceAction[[#This Row],[Resource Name]]="","idn5",IF(ResourceAction[[#This Row],[IDN5]]="","",VLOOKUP(ResourceAction[[#This Row],[IDN5]],IDNMaps[[Display]:[ID]],2,0)))</f>
        <v/>
      </c>
      <c r="W8" s="83" t="s">
        <v>952</v>
      </c>
      <c r="X8" s="83" t="s">
        <v>935</v>
      </c>
      <c r="Y8" s="83"/>
      <c r="Z8" s="83"/>
      <c r="AA8" s="83"/>
      <c r="AB8" s="78">
        <f>ResourceAction[No]</f>
        <v>803206</v>
      </c>
      <c r="AC8"/>
      <c r="AD8" s="63" t="s">
        <v>1134</v>
      </c>
      <c r="AE8" s="60">
        <f>VLOOKUP(ActionListNData[[#This Row],[Action Name]],ResourceAction[[Display]:[No]],3,0)</f>
        <v>803217</v>
      </c>
      <c r="AF8" s="15" t="s">
        <v>1005</v>
      </c>
      <c r="AG8" s="60"/>
      <c r="AH8" s="60" t="str">
        <f>'Table Seed Map'!$A$37&amp;"-"&amp;-1+COUNTA($AF$1:ActionListNData[[#This Row],[Resource List]])</f>
        <v>Action List-6</v>
      </c>
      <c r="AI8" s="60">
        <f>IF(ActionListNData[[#This Row],[Action Name]]="","id",-1+COUNTA($AF$1:ActionListNData[[#This Row],[Resource List]])+IF(ISNUMBER(VLOOKUP('Table Seed Map'!$A$37,SeedMap[],9,0)),VLOOKUP('Table Seed Map'!$A$37,SeedMap[],9,0),0))</f>
        <v>803506</v>
      </c>
      <c r="AJ8" s="60">
        <f>ActionListNData[[#This Row],[Action]]</f>
        <v>803217</v>
      </c>
      <c r="AK8" s="60">
        <f>IF(ActionListNData[[#This Row],[Action Name]]="","resource_list",IFERROR(VLOOKUP(ActionListNData[[#This Row],[Resource List]],ResourceList[[ListDisplayName]:[No]],2,0),""))</f>
        <v>802207</v>
      </c>
      <c r="AL8" s="60" t="str">
        <f>'Table Seed Map'!$A$38&amp;"-"&amp;-1+COUNTA($AG$1:ActionListNData[[#This Row],[Resource Data]])</f>
        <v>Action Data-0</v>
      </c>
      <c r="AM8" s="60">
        <f>IF(ActionListNData[[#This Row],[Action Name]]="","id",-1+COUNTA($AG$1:ActionListNData[[#This Row],[Resource Data]])+IF(ISNUMBER(VLOOKUP('Table Seed Map'!$A$38,SeedMap[],9,0)),VLOOKUP('Table Seed Map'!$A$38,SeedMap[],9,0),0))</f>
        <v>803600</v>
      </c>
      <c r="AN8" s="60">
        <f>ActionListNData[[#This Row],[Action]]</f>
        <v>803217</v>
      </c>
      <c r="AO8" s="60" t="str">
        <f>IF(ActionListNData[[#This Row],[Action Name]]="","resource_data",IFERROR(VLOOKUP(ActionListNData[[#This Row],[Resource Data]],ResourceData[[DataDisplayName]:[No]],2,0),""))</f>
        <v/>
      </c>
    </row>
    <row r="9" spans="1:48" x14ac:dyDescent="0.25">
      <c r="A9" s="71" t="str">
        <f>'Table Seed Map'!$A$34&amp;"-"&amp;(COUNTA($E$1:ResourceAction[[#This Row],[Resource]])-2)</f>
        <v>Resource Actions-7</v>
      </c>
      <c r="B9" s="71" t="str">
        <f>ResourceAction[[#This Row],[Resource Name]]&amp;"/"&amp;ResourceAction[[#This Row],[Name]]</f>
        <v>Task/CreateTaskAction</v>
      </c>
      <c r="C9" s="58" t="s">
        <v>846</v>
      </c>
      <c r="D9" s="71">
        <f>IF(ResourceAction[[#This Row],[Resource Name]]="","id",COUNTA($C$1:ResourceAction[[#This Row],[Resource Name]])-1+IF(VLOOKUP('Table Seed Map'!$A$34,SeedMap[],9,0),VLOOKUP('Table Seed Map'!$A$34,SeedMap[],9,0),0))</f>
        <v>803207</v>
      </c>
      <c r="E9" s="71">
        <f>IFERROR(VLOOKUP(ResourceAction[[#This Row],[Resource Name]],ResourceTable[[RName]:[No]],3,0),"resource")</f>
        <v>800504</v>
      </c>
      <c r="F9" s="71" t="s">
        <v>963</v>
      </c>
      <c r="G9" s="71" t="s">
        <v>964</v>
      </c>
      <c r="H9" s="71"/>
      <c r="I9" s="71"/>
      <c r="J9" s="71" t="s">
        <v>965</v>
      </c>
      <c r="K9" s="71"/>
      <c r="L9" s="71"/>
      <c r="M9" s="71"/>
      <c r="N9" s="70" t="str">
        <f>'Table Seed Map'!$A$35&amp;"-"&amp;(COUNTA($E$1:ResourceAction[[#This Row],[Resource]])-2)</f>
        <v>Action Method-7</v>
      </c>
      <c r="O9" s="71">
        <f>IF(ResourceAction[[#This Row],[No]]="id","id",-2+COUNTA($E$1:ResourceAction[[#This Row],[Resource]])+IF(ISNUMBER(VLOOKUP('Table Seed Map'!$A$35,SeedMap[],9,0)),VLOOKUP('Table Seed Map'!$A$35,SeedMap[],9,0),0))</f>
        <v>803307</v>
      </c>
      <c r="P9" s="71">
        <f>IF(ResourceAction[[#This Row],[No]]="id","resource_action",ResourceAction[[#This Row],[No]])</f>
        <v>803207</v>
      </c>
      <c r="Q9" s="81" t="s">
        <v>121</v>
      </c>
      <c r="R9" s="82">
        <f ca="1">IF(ResourceAction[[#This Row],[Resource Name]]="","idn1",IF(ResourceAction[[#This Row],[IDN1]]="","",VLOOKUP(ResourceAction[[#This Row],[IDN1]],IDNMaps[[Display]:[ID]],2,0)))</f>
        <v>800903</v>
      </c>
      <c r="S9" s="82" t="str">
        <f>IF(ResourceAction[[#This Row],[Resource Name]]="","idn2",IF(ResourceAction[[#This Row],[IDN2]]="","",VLOOKUP(ResourceAction[[#This Row],[IDN2]],IDNMaps[[Display]:[ID]],2,0)))</f>
        <v/>
      </c>
      <c r="T9" s="82" t="str">
        <f>IF(ResourceAction[[#This Row],[Resource Name]]="","idn3",IF(ResourceAction[[#This Row],[IDN3]]="","",VLOOKUP(ResourceAction[[#This Row],[IDN3]],IDNMaps[[Display]:[ID]],2,0)))</f>
        <v/>
      </c>
      <c r="U9" s="82" t="str">
        <f>IF(ResourceAction[[#This Row],[Resource Name]]="","idn4",IF(ResourceAction[[#This Row],[IDN4]]="","",VLOOKUP(ResourceAction[[#This Row],[IDN4]],IDNMaps[[Display]:[ID]],2,0)))</f>
        <v/>
      </c>
      <c r="V9" s="82" t="str">
        <f>IF(ResourceAction[[#This Row],[Resource Name]]="","idn5",IF(ResourceAction[[#This Row],[IDN5]]="","",VLOOKUP(ResourceAction[[#This Row],[IDN5]],IDNMaps[[Display]:[ID]],2,0)))</f>
        <v/>
      </c>
      <c r="W9" s="83" t="s">
        <v>966</v>
      </c>
      <c r="X9" s="83"/>
      <c r="Y9" s="83"/>
      <c r="Z9" s="83"/>
      <c r="AA9" s="83"/>
      <c r="AB9" s="78">
        <f>ResourceAction[No]</f>
        <v>803207</v>
      </c>
      <c r="AC9"/>
      <c r="AD9" s="63" t="s">
        <v>1134</v>
      </c>
      <c r="AE9" s="60">
        <f>VLOOKUP(ActionListNData[[#This Row],[Action Name]],ResourceAction[[Display]:[No]],3,0)</f>
        <v>803217</v>
      </c>
      <c r="AF9" s="15" t="s">
        <v>1004</v>
      </c>
      <c r="AG9" s="60"/>
      <c r="AH9" s="60" t="str">
        <f>'Table Seed Map'!$A$37&amp;"-"&amp;-1+COUNTA($AF$1:ActionListNData[[#This Row],[Resource List]])</f>
        <v>Action List-7</v>
      </c>
      <c r="AI9" s="60">
        <f>IF(ActionListNData[[#This Row],[Action Name]]="","id",-1+COUNTA($AF$1:ActionListNData[[#This Row],[Resource List]])+IF(ISNUMBER(VLOOKUP('Table Seed Map'!$A$37,SeedMap[],9,0)),VLOOKUP('Table Seed Map'!$A$37,SeedMap[],9,0),0))</f>
        <v>803507</v>
      </c>
      <c r="AJ9" s="60">
        <f>ActionListNData[[#This Row],[Action]]</f>
        <v>803217</v>
      </c>
      <c r="AK9" s="60">
        <f>IF(ActionListNData[[#This Row],[Action Name]]="","resource_list",IFERROR(VLOOKUP(ActionListNData[[#This Row],[Resource List]],ResourceList[[ListDisplayName]:[No]],2,0),""))</f>
        <v>802206</v>
      </c>
      <c r="AL9" s="60" t="str">
        <f>'Table Seed Map'!$A$38&amp;"-"&amp;-1+COUNTA($AG$1:ActionListNData[[#This Row],[Resource Data]])</f>
        <v>Action Data-0</v>
      </c>
      <c r="AM9" s="60">
        <f>IF(ActionListNData[[#This Row],[Action Name]]="","id",-1+COUNTA($AG$1:ActionListNData[[#This Row],[Resource Data]])+IF(ISNUMBER(VLOOKUP('Table Seed Map'!$A$38,SeedMap[],9,0)),VLOOKUP('Table Seed Map'!$A$38,SeedMap[],9,0),0))</f>
        <v>803600</v>
      </c>
      <c r="AN9" s="60">
        <f>ActionListNData[[#This Row],[Action]]</f>
        <v>803217</v>
      </c>
      <c r="AO9" s="60" t="str">
        <f>IF(ActionListNData[[#This Row],[Action Name]]="","resource_data",IFERROR(VLOOKUP(ActionListNData[[#This Row],[Resource Data]],ResourceData[[DataDisplayName]:[No]],2,0),""))</f>
        <v/>
      </c>
    </row>
    <row r="10" spans="1:48" x14ac:dyDescent="0.25">
      <c r="A10" s="71" t="str">
        <f>'Table Seed Map'!$A$34&amp;"-"&amp;(COUNTA($E$1:ResourceAction[[#This Row],[Resource]])-2)</f>
        <v>Resource Actions-8</v>
      </c>
      <c r="B10" s="71" t="str">
        <f>ResourceAction[[#This Row],[Resource Name]]&amp;"/"&amp;ResourceAction[[#This Row],[Name]]</f>
        <v>Task/ListTaskAction</v>
      </c>
      <c r="C10" s="58" t="s">
        <v>846</v>
      </c>
      <c r="D10" s="71">
        <f>IF(ResourceAction[[#This Row],[Resource Name]]="","id",COUNTA($C$1:ResourceAction[[#This Row],[Resource Name]])-1+IF(VLOOKUP('Table Seed Map'!$A$34,SeedMap[],9,0),VLOOKUP('Table Seed Map'!$A$34,SeedMap[],9,0),0))</f>
        <v>803208</v>
      </c>
      <c r="E10" s="71">
        <f>IFERROR(VLOOKUP(ResourceAction[[#This Row],[Resource Name]],ResourceTable[[RName]:[No]],3,0),"resource")</f>
        <v>800504</v>
      </c>
      <c r="F10" s="71" t="s">
        <v>967</v>
      </c>
      <c r="G10" s="71" t="s">
        <v>968</v>
      </c>
      <c r="H10" s="71"/>
      <c r="I10" s="71"/>
      <c r="J10" s="71" t="s">
        <v>915</v>
      </c>
      <c r="K10" s="71"/>
      <c r="L10" s="71"/>
      <c r="M10" s="71"/>
      <c r="N10" s="70" t="str">
        <f>'Table Seed Map'!$A$35&amp;"-"&amp;(COUNTA($E$1:ResourceAction[[#This Row],[Resource]])-2)</f>
        <v>Action Method-8</v>
      </c>
      <c r="O10" s="71">
        <f>IF(ResourceAction[[#This Row],[No]]="id","id",-2+COUNTA($E$1:ResourceAction[[#This Row],[Resource]])+IF(ISNUMBER(VLOOKUP('Table Seed Map'!$A$35,SeedMap[],9,0)),VLOOKUP('Table Seed Map'!$A$35,SeedMap[],9,0),0))</f>
        <v>803308</v>
      </c>
      <c r="P10" s="71">
        <f>IF(ResourceAction[[#This Row],[No]]="id","resource_action",ResourceAction[[#This Row],[No]])</f>
        <v>803208</v>
      </c>
      <c r="Q10" s="81" t="s">
        <v>122</v>
      </c>
      <c r="R10" s="82">
        <f ca="1">IF(ResourceAction[[#This Row],[Resource Name]]="","idn1",IF(ResourceAction[[#This Row],[IDN1]]="","",VLOOKUP(ResourceAction[[#This Row],[IDN1]],IDNMaps[[Display]:[ID]],2,0)))</f>
        <v>802203</v>
      </c>
      <c r="S10" s="82" t="str">
        <f>IF(ResourceAction[[#This Row],[Resource Name]]="","idn2",IF(ResourceAction[[#This Row],[IDN2]]="","",VLOOKUP(ResourceAction[[#This Row],[IDN2]],IDNMaps[[Display]:[ID]],2,0)))</f>
        <v/>
      </c>
      <c r="T10" s="82" t="str">
        <f>IF(ResourceAction[[#This Row],[Resource Name]]="","idn3",IF(ResourceAction[[#This Row],[IDN3]]="","",VLOOKUP(ResourceAction[[#This Row],[IDN3]],IDNMaps[[Display]:[ID]],2,0)))</f>
        <v/>
      </c>
      <c r="U10" s="82" t="str">
        <f>IF(ResourceAction[[#This Row],[Resource Name]]="","idn4",IF(ResourceAction[[#This Row],[IDN4]]="","",VLOOKUP(ResourceAction[[#This Row],[IDN4]],IDNMaps[[Display]:[ID]],2,0)))</f>
        <v/>
      </c>
      <c r="V10" s="82" t="str">
        <f>IF(ResourceAction[[#This Row],[Resource Name]]="","idn5",IF(ResourceAction[[#This Row],[IDN5]]="","",VLOOKUP(ResourceAction[[#This Row],[IDN5]],IDNMaps[[Display]:[ID]],2,0)))</f>
        <v/>
      </c>
      <c r="W10" s="83" t="s">
        <v>969</v>
      </c>
      <c r="X10" s="83"/>
      <c r="Y10" s="83"/>
      <c r="Z10" s="83"/>
      <c r="AA10" s="83"/>
      <c r="AB10" s="78">
        <f>ResourceAction[No]</f>
        <v>803208</v>
      </c>
      <c r="AC10"/>
      <c r="AD10" s="63" t="s">
        <v>1134</v>
      </c>
      <c r="AE10" s="60">
        <f>VLOOKUP(ActionListNData[[#This Row],[Action Name]],ResourceAction[[Display]:[No]],3,0)</f>
        <v>803217</v>
      </c>
      <c r="AF10" s="15" t="s">
        <v>1003</v>
      </c>
      <c r="AG10" s="60"/>
      <c r="AH10" s="60" t="str">
        <f>'Table Seed Map'!$A$37&amp;"-"&amp;-1+COUNTA($AF$1:ActionListNData[[#This Row],[Resource List]])</f>
        <v>Action List-8</v>
      </c>
      <c r="AI10" s="60">
        <f>IF(ActionListNData[[#This Row],[Action Name]]="","id",-1+COUNTA($AF$1:ActionListNData[[#This Row],[Resource List]])+IF(ISNUMBER(VLOOKUP('Table Seed Map'!$A$37,SeedMap[],9,0)),VLOOKUP('Table Seed Map'!$A$37,SeedMap[],9,0),0))</f>
        <v>803508</v>
      </c>
      <c r="AJ10" s="60">
        <f>ActionListNData[[#This Row],[Action]]</f>
        <v>803217</v>
      </c>
      <c r="AK10" s="60">
        <f>IF(ActionListNData[[#This Row],[Action Name]]="","resource_list",IFERROR(VLOOKUP(ActionListNData[[#This Row],[Resource List]],ResourceList[[ListDisplayName]:[No]],2,0),""))</f>
        <v>802205</v>
      </c>
      <c r="AL10" s="60" t="str">
        <f>'Table Seed Map'!$A$38&amp;"-"&amp;-1+COUNTA($AG$1:ActionListNData[[#This Row],[Resource Data]])</f>
        <v>Action Data-0</v>
      </c>
      <c r="AM10" s="60">
        <f>IF(ActionListNData[[#This Row],[Action Name]]="","id",-1+COUNTA($AG$1:ActionListNData[[#This Row],[Resource Data]])+IF(ISNUMBER(VLOOKUP('Table Seed Map'!$A$38,SeedMap[],9,0)),VLOOKUP('Table Seed Map'!$A$38,SeedMap[],9,0),0))</f>
        <v>803600</v>
      </c>
      <c r="AN10" s="60">
        <f>ActionListNData[[#This Row],[Action]]</f>
        <v>803217</v>
      </c>
      <c r="AO10" s="60" t="str">
        <f>IF(ActionListNData[[#This Row],[Action Name]]="","resource_data",IFERROR(VLOOKUP(ActionListNData[[#This Row],[Resource Data]],ResourceData[[DataDisplayName]:[No]],2,0),""))</f>
        <v/>
      </c>
    </row>
    <row r="11" spans="1:48" x14ac:dyDescent="0.25">
      <c r="A11" s="71" t="str">
        <f>'Table Seed Map'!$A$34&amp;"-"&amp;(COUNTA($E$1:ResourceAction[[#This Row],[Resource]])-2)</f>
        <v>Resource Actions-9</v>
      </c>
      <c r="B11" s="71" t="str">
        <f>ResourceAction[[#This Row],[Resource Name]]&amp;"/"&amp;ResourceAction[[#This Row],[Name]]</f>
        <v>Task/ManageTaskPartners</v>
      </c>
      <c r="C11" s="58" t="s">
        <v>846</v>
      </c>
      <c r="D11" s="71">
        <f>IF(ResourceAction[[#This Row],[Resource Name]]="","id",COUNTA($C$1:ResourceAction[[#This Row],[Resource Name]])-1+IF(VLOOKUP('Table Seed Map'!$A$34,SeedMap[],9,0),VLOOKUP('Table Seed Map'!$A$34,SeedMap[],9,0),0))</f>
        <v>803209</v>
      </c>
      <c r="E11" s="71">
        <f>IFERROR(VLOOKUP(ResourceAction[[#This Row],[Resource Name]],ResourceTable[[RName]:[No]],3,0),"resource")</f>
        <v>800504</v>
      </c>
      <c r="F11" s="71" t="s">
        <v>985</v>
      </c>
      <c r="G11" s="71" t="s">
        <v>986</v>
      </c>
      <c r="H11" s="71" t="s">
        <v>951</v>
      </c>
      <c r="I11" s="71"/>
      <c r="J11" s="71"/>
      <c r="K11" s="71"/>
      <c r="L11" s="71"/>
      <c r="M11" s="71"/>
      <c r="N11" s="70" t="str">
        <f>'Table Seed Map'!$A$35&amp;"-"&amp;(COUNTA($E$1:ResourceAction[[#This Row],[Resource]])-2)</f>
        <v>Action Method-9</v>
      </c>
      <c r="O11" s="71">
        <f>IF(ResourceAction[[#This Row],[No]]="id","id",-2+COUNTA($E$1:ResourceAction[[#This Row],[Resource]])+IF(ISNUMBER(VLOOKUP('Table Seed Map'!$A$35,SeedMap[],9,0)),VLOOKUP('Table Seed Map'!$A$35,SeedMap[],9,0),0))</f>
        <v>803309</v>
      </c>
      <c r="P11" s="71">
        <f>IF(ResourceAction[[#This Row],[No]]="id","resource_action",ResourceAction[[#This Row],[No]])</f>
        <v>803209</v>
      </c>
      <c r="Q11" s="81" t="s">
        <v>946</v>
      </c>
      <c r="R11" s="82">
        <f ca="1">IF(ResourceAction[[#This Row],[Resource Name]]="","idn1",IF(ResourceAction[[#This Row],[IDN1]]="","",VLOOKUP(ResourceAction[[#This Row],[IDN1]],IDNMaps[[Display]:[ID]],2,0)))</f>
        <v>800806</v>
      </c>
      <c r="S11" s="82">
        <f ca="1">IF(ResourceAction[[#This Row],[Resource Name]]="","idn2",IF(ResourceAction[[#This Row],[IDN2]]="","",VLOOKUP(ResourceAction[[#This Row],[IDN2]],IDNMaps[[Display]:[ID]],2,0)))</f>
        <v>802202</v>
      </c>
      <c r="T11" s="82" t="str">
        <f>IF(ResourceAction[[#This Row],[Resource Name]]="","idn3",IF(ResourceAction[[#This Row],[IDN3]]="","",VLOOKUP(ResourceAction[[#This Row],[IDN3]],IDNMaps[[Display]:[ID]],2,0)))</f>
        <v/>
      </c>
      <c r="U11" s="82" t="str">
        <f>IF(ResourceAction[[#This Row],[Resource Name]]="","idn4",IF(ResourceAction[[#This Row],[IDN4]]="","",VLOOKUP(ResourceAction[[#This Row],[IDN4]],IDNMaps[[Display]:[ID]],2,0)))</f>
        <v/>
      </c>
      <c r="V11" s="82" t="str">
        <f>IF(ResourceAction[[#This Row],[Resource Name]]="","idn5",IF(ResourceAction[[#This Row],[IDN5]]="","",VLOOKUP(ResourceAction[[#This Row],[IDN5]],IDNMaps[[Display]:[ID]],2,0)))</f>
        <v/>
      </c>
      <c r="W11" s="83" t="s">
        <v>987</v>
      </c>
      <c r="X11" s="83" t="s">
        <v>935</v>
      </c>
      <c r="Y11" s="83"/>
      <c r="Z11" s="83"/>
      <c r="AA11" s="83"/>
      <c r="AB11" s="78">
        <f>ResourceAction[No]</f>
        <v>803209</v>
      </c>
      <c r="AC11"/>
      <c r="AD11" s="63" t="s">
        <v>1106</v>
      </c>
      <c r="AE11" s="60">
        <f>VLOOKUP(ActionListNData[[#This Row],[Action Name]],ResourceAction[[Display]:[No]],3,0)</f>
        <v>803210</v>
      </c>
      <c r="AF11" s="15" t="s">
        <v>962</v>
      </c>
      <c r="AG11" s="60"/>
      <c r="AH11" s="60" t="str">
        <f>'Table Seed Map'!$A$37&amp;"-"&amp;-1+COUNTA($AF$1:ActionListNData[[#This Row],[Resource List]])</f>
        <v>Action List-9</v>
      </c>
      <c r="AI11" s="60">
        <f>IF(ActionListNData[[#This Row],[Action Name]]="","id",-1+COUNTA($AF$1:ActionListNData[[#This Row],[Resource List]])+IF(ISNUMBER(VLOOKUP('Table Seed Map'!$A$37,SeedMap[],9,0)),VLOOKUP('Table Seed Map'!$A$37,SeedMap[],9,0),0))</f>
        <v>803509</v>
      </c>
      <c r="AJ11" s="60">
        <f>ActionListNData[[#This Row],[Action]]</f>
        <v>803210</v>
      </c>
      <c r="AK11" s="60">
        <f>IF(ActionListNData[[#This Row],[Action Name]]="","resource_list",IFERROR(VLOOKUP(ActionListNData[[#This Row],[Resource List]],ResourceList[[ListDisplayName]:[No]],2,0),""))</f>
        <v>802203</v>
      </c>
      <c r="AL11" s="60" t="str">
        <f>'Table Seed Map'!$A$38&amp;"-"&amp;-1+COUNTA($AG$1:ActionListNData[[#This Row],[Resource Data]])</f>
        <v>Action Data-0</v>
      </c>
      <c r="AM11" s="60">
        <f>IF(ActionListNData[[#This Row],[Action Name]]="","id",-1+COUNTA($AG$1:ActionListNData[[#This Row],[Resource Data]])+IF(ISNUMBER(VLOOKUP('Table Seed Map'!$A$38,SeedMap[],9,0)),VLOOKUP('Table Seed Map'!$A$38,SeedMap[],9,0),0))</f>
        <v>803600</v>
      </c>
      <c r="AN11" s="60">
        <f>ActionListNData[[#This Row],[Action]]</f>
        <v>803210</v>
      </c>
      <c r="AO11" s="60" t="str">
        <f>IF(ActionListNData[[#This Row],[Action Name]]="","resource_data",IFERROR(VLOOKUP(ActionListNData[[#This Row],[Resource Data]],ResourceData[[DataDisplayName]:[No]],2,0),""))</f>
        <v/>
      </c>
    </row>
    <row r="12" spans="1:48" x14ac:dyDescent="0.25">
      <c r="A12" s="71" t="str">
        <f>'Table Seed Map'!$A$34&amp;"-"&amp;(COUNTA($E$1:ResourceAction[[#This Row],[Resource]])-2)</f>
        <v>Resource Actions-10</v>
      </c>
      <c r="B12" s="71" t="str">
        <f>ResourceAction[[#This Row],[Resource Name]]&amp;"/"&amp;ResourceAction[[#This Row],[Name]]</f>
        <v>Task/TaskPartnerProgress</v>
      </c>
      <c r="C12" s="58" t="s">
        <v>846</v>
      </c>
      <c r="D12" s="71">
        <f>IF(ResourceAction[[#This Row],[Resource Name]]="","id",COUNTA($C$1:ResourceAction[[#This Row],[Resource Name]])-1+IF(VLOOKUP('Table Seed Map'!$A$34,SeedMap[],9,0),VLOOKUP('Table Seed Map'!$A$34,SeedMap[],9,0),0))</f>
        <v>803210</v>
      </c>
      <c r="E12" s="71">
        <f>IFERROR(VLOOKUP(ResourceAction[[#This Row],[Resource Name]],ResourceTable[[RName]:[No]],3,0),"resource")</f>
        <v>800504</v>
      </c>
      <c r="F12" s="71" t="s">
        <v>1099</v>
      </c>
      <c r="G12" s="71" t="s">
        <v>1100</v>
      </c>
      <c r="H12" s="71" t="s">
        <v>1101</v>
      </c>
      <c r="I12" s="71"/>
      <c r="J12" s="71"/>
      <c r="K12" s="71"/>
      <c r="L12" s="71"/>
      <c r="M12" s="71"/>
      <c r="N12" s="70" t="str">
        <f>'Table Seed Map'!$A$35&amp;"-"&amp;(COUNTA($E$1:ResourceAction[[#This Row],[Resource]])-2)</f>
        <v>Action Method-10</v>
      </c>
      <c r="O12" s="71">
        <f>IF(ResourceAction[[#This Row],[No]]="id","id",-2+COUNTA($E$1:ResourceAction[[#This Row],[Resource]])+IF(ISNUMBER(VLOOKUP('Table Seed Map'!$A$35,SeedMap[],9,0)),VLOOKUP('Table Seed Map'!$A$35,SeedMap[],9,0),0))</f>
        <v>803310</v>
      </c>
      <c r="P12" s="71">
        <f>IF(ResourceAction[[#This Row],[No]]="id","resource_action",ResourceAction[[#This Row],[No]])</f>
        <v>803210</v>
      </c>
      <c r="Q12" s="81" t="s">
        <v>1078</v>
      </c>
      <c r="R12" s="82">
        <f ca="1">IF(ResourceAction[[#This Row],[Resource Name]]="","idn1",IF(ResourceAction[[#This Row],[IDN1]]="","",VLOOKUP(ResourceAction[[#This Row],[IDN1]],IDNMaps[[Display]:[ID]],2,0)))</f>
        <v>800807</v>
      </c>
      <c r="S12" s="82">
        <f ca="1">IF(ResourceAction[[#This Row],[Resource Name]]="","idn2",IF(ResourceAction[[#This Row],[IDN2]]="","",VLOOKUP(ResourceAction[[#This Row],[IDN2]],IDNMaps[[Display]:[ID]],2,0)))</f>
        <v>802209</v>
      </c>
      <c r="T12" s="82" t="str">
        <f>IF(ResourceAction[[#This Row],[Resource Name]]="","idn3",IF(ResourceAction[[#This Row],[IDN3]]="","",VLOOKUP(ResourceAction[[#This Row],[IDN3]],IDNMaps[[Display]:[ID]],2,0)))</f>
        <v/>
      </c>
      <c r="U12" s="82" t="str">
        <f>IF(ResourceAction[[#This Row],[Resource Name]]="","idn4",IF(ResourceAction[[#This Row],[IDN4]]="","",VLOOKUP(ResourceAction[[#This Row],[IDN4]],IDNMaps[[Display]:[ID]],2,0)))</f>
        <v/>
      </c>
      <c r="V12" s="82" t="str">
        <f>IF(ResourceAction[[#This Row],[Resource Name]]="","idn5",IF(ResourceAction[[#This Row],[IDN5]]="","",VLOOKUP(ResourceAction[[#This Row],[IDN5]],IDNMaps[[Display]:[ID]],2,0)))</f>
        <v/>
      </c>
      <c r="W12" s="83" t="s">
        <v>1079</v>
      </c>
      <c r="X12" s="83" t="s">
        <v>1105</v>
      </c>
      <c r="Y12" s="83"/>
      <c r="Z12" s="83"/>
      <c r="AA12" s="83"/>
      <c r="AB12" s="78">
        <f>ResourceAction[No]</f>
        <v>803210</v>
      </c>
      <c r="AC12"/>
      <c r="AD12" s="63" t="s">
        <v>1107</v>
      </c>
      <c r="AE12" s="60">
        <f>VLOOKUP(ActionListNData[[#This Row],[Action Name]],ResourceAction[[Display]:[No]],3,0)</f>
        <v>803218</v>
      </c>
      <c r="AF12" s="60" t="s">
        <v>992</v>
      </c>
      <c r="AG12" s="60"/>
      <c r="AH12" s="60" t="str">
        <f>'Table Seed Map'!$A$37&amp;"-"&amp;-1+COUNTA($AF$1:ActionListNData[[#This Row],[Resource List]])</f>
        <v>Action List-10</v>
      </c>
      <c r="AI12" s="60">
        <f>IF(ActionListNData[[#This Row],[Action Name]]="","id",-1+COUNTA($AF$1:ActionListNData[[#This Row],[Resource List]])+IF(ISNUMBER(VLOOKUP('Table Seed Map'!$A$37,SeedMap[],9,0)),VLOOKUP('Table Seed Map'!$A$37,SeedMap[],9,0),0))</f>
        <v>803510</v>
      </c>
      <c r="AJ12" s="60">
        <f>ActionListNData[[#This Row],[Action]]</f>
        <v>803218</v>
      </c>
      <c r="AK12" s="60">
        <f>IF(ActionListNData[[#This Row],[Action Name]]="","resource_list",IFERROR(VLOOKUP(ActionListNData[[#This Row],[Resource List]],ResourceList[[ListDisplayName]:[No]],2,0),""))</f>
        <v>802204</v>
      </c>
      <c r="AL12" s="60" t="str">
        <f>'Table Seed Map'!$A$38&amp;"-"&amp;-1+COUNTA($AG$1:ActionListNData[[#This Row],[Resource Data]])</f>
        <v>Action Data-0</v>
      </c>
      <c r="AM12" s="60">
        <f>IF(ActionListNData[[#This Row],[Action Name]]="","id",-1+COUNTA($AG$1:ActionListNData[[#This Row],[Resource Data]])+IF(ISNUMBER(VLOOKUP('Table Seed Map'!$A$38,SeedMap[],9,0)),VLOOKUP('Table Seed Map'!$A$38,SeedMap[],9,0),0))</f>
        <v>803600</v>
      </c>
      <c r="AN12" s="60">
        <f>ActionListNData[[#This Row],[Action]]</f>
        <v>803218</v>
      </c>
      <c r="AO12" s="60" t="str">
        <f>IF(ActionListNData[[#This Row],[Action Name]]="","resource_data",IFERROR(VLOOKUP(ActionListNData[[#This Row],[Resource Data]],ResourceData[[DataDisplayName]:[No]],2,0),""))</f>
        <v/>
      </c>
    </row>
    <row r="13" spans="1:48" x14ac:dyDescent="0.25">
      <c r="A13" s="37" t="str">
        <f>'Table Seed Map'!$A$34&amp;"-"&amp;(COUNTA($E$1:ResourceAction[[#This Row],[Resource]])-2)</f>
        <v>Resource Actions-11</v>
      </c>
      <c r="B13" s="37" t="str">
        <f>ResourceAction[[#This Row],[Resource Name]]&amp;"/"&amp;ResourceAction[[#This Row],[Name]]</f>
        <v>PartnerTask/ListNewTasksAction</v>
      </c>
      <c r="C13" s="35" t="s">
        <v>847</v>
      </c>
      <c r="D13" s="37">
        <f>IF(ResourceAction[[#This Row],[Resource Name]]="","id",COUNTA($C$1:ResourceAction[[#This Row],[Resource Name]])-1+IF(VLOOKUP('Table Seed Map'!$A$34,SeedMap[],9,0),VLOOKUP('Table Seed Map'!$A$34,SeedMap[],9,0),0))</f>
        <v>803211</v>
      </c>
      <c r="E13" s="37">
        <f>IFERROR(VLOOKUP(ResourceAction[[#This Row],[Resource Name]],ResourceTable[[RName]:[No]],3,0),"resource")</f>
        <v>800505</v>
      </c>
      <c r="F13" s="37" t="s">
        <v>1017</v>
      </c>
      <c r="G13" s="37" t="s">
        <v>1006</v>
      </c>
      <c r="H13" s="37"/>
      <c r="I13" s="37"/>
      <c r="J13" s="37" t="s">
        <v>991</v>
      </c>
      <c r="K13" s="37"/>
      <c r="L13" s="37"/>
      <c r="M13" s="37"/>
      <c r="N13" s="39" t="str">
        <f>'Table Seed Map'!$A$35&amp;"-"&amp;(COUNTA($E$1:ResourceAction[[#This Row],[Resource]])-2)</f>
        <v>Action Method-11</v>
      </c>
      <c r="O13" s="37">
        <f>IF(ResourceAction[[#This Row],[No]]="id","id",-2+COUNTA($E$1:ResourceAction[[#This Row],[Resource]])+IF(ISNUMBER(VLOOKUP('Table Seed Map'!$A$35,SeedMap[],9,0)),VLOOKUP('Table Seed Map'!$A$35,SeedMap[],9,0),0))</f>
        <v>803311</v>
      </c>
      <c r="P13" s="37">
        <f>IF(ResourceAction[[#This Row],[No]]="id","resource_action",ResourceAction[[#This Row],[No]])</f>
        <v>803211</v>
      </c>
      <c r="Q13" s="48" t="s">
        <v>122</v>
      </c>
      <c r="R13" s="49">
        <f ca="1">IF(ResourceAction[[#This Row],[Resource Name]]="","idn1",IF(ResourceAction[[#This Row],[IDN1]]="","",VLOOKUP(ResourceAction[[#This Row],[IDN1]],IDNMaps[[Display]:[ID]],2,0)))</f>
        <v>802204</v>
      </c>
      <c r="S13" s="49" t="str">
        <f>IF(ResourceAction[[#This Row],[Resource Name]]="","idn2",IF(ResourceAction[[#This Row],[IDN2]]="","",VLOOKUP(ResourceAction[[#This Row],[IDN2]],IDNMaps[[Display]:[ID]],2,0)))</f>
        <v/>
      </c>
      <c r="T13" s="49" t="str">
        <f>IF(ResourceAction[[#This Row],[Resource Name]]="","idn3",IF(ResourceAction[[#This Row],[IDN3]]="","",VLOOKUP(ResourceAction[[#This Row],[IDN3]],IDNMaps[[Display]:[ID]],2,0)))</f>
        <v/>
      </c>
      <c r="U13" s="49" t="str">
        <f>IF(ResourceAction[[#This Row],[Resource Name]]="","idn4",IF(ResourceAction[[#This Row],[IDN4]]="","",VLOOKUP(ResourceAction[[#This Row],[IDN4]],IDNMaps[[Display]:[ID]],2,0)))</f>
        <v/>
      </c>
      <c r="V13" s="49" t="str">
        <f>IF(ResourceAction[[#This Row],[Resource Name]]="","idn5",IF(ResourceAction[[#This Row],[IDN5]]="","",VLOOKUP(ResourceAction[[#This Row],[IDN5]],IDNMaps[[Display]:[ID]],2,0)))</f>
        <v/>
      </c>
      <c r="W13" s="83" t="s">
        <v>1007</v>
      </c>
      <c r="X13" s="57"/>
      <c r="Y13" s="57"/>
      <c r="Z13" s="57"/>
      <c r="AA13" s="57"/>
      <c r="AB13" s="54">
        <f>ResourceAction[No]</f>
        <v>803211</v>
      </c>
      <c r="AD13" s="63" t="s">
        <v>1116</v>
      </c>
      <c r="AE13" s="60">
        <f>VLOOKUP(ActionListNData[[#This Row],[Action Name]],ResourceAction[[Display]:[No]],3,0)</f>
        <v>803219</v>
      </c>
      <c r="AF13" s="60" t="s">
        <v>934</v>
      </c>
      <c r="AG13" s="60"/>
      <c r="AH13" s="60" t="str">
        <f>'Table Seed Map'!$A$37&amp;"-"&amp;-1+COUNTA($AF$1:ActionListNData[[#This Row],[Resource List]])</f>
        <v>Action List-11</v>
      </c>
      <c r="AI13" s="60">
        <f>IF(ActionListNData[[#This Row],[Action Name]]="","id",-1+COUNTA($AF$1:ActionListNData[[#This Row],[Resource List]])+IF(ISNUMBER(VLOOKUP('Table Seed Map'!$A$37,SeedMap[],9,0)),VLOOKUP('Table Seed Map'!$A$37,SeedMap[],9,0),0))</f>
        <v>803511</v>
      </c>
      <c r="AJ13" s="60">
        <f>ActionListNData[[#This Row],[Action]]</f>
        <v>803219</v>
      </c>
      <c r="AK13" s="60">
        <f>IF(ActionListNData[[#This Row],[Action Name]]="","resource_list",IFERROR(VLOOKUP(ActionListNData[[#This Row],[Resource List]],ResourceList[[ListDisplayName]:[No]],2,0),""))</f>
        <v>802202</v>
      </c>
      <c r="AL13" s="60" t="str">
        <f>'Table Seed Map'!$A$38&amp;"-"&amp;-1+COUNTA($AG$1:ActionListNData[[#This Row],[Resource Data]])</f>
        <v>Action Data-0</v>
      </c>
      <c r="AM13" s="60">
        <f>IF(ActionListNData[[#This Row],[Action Name]]="","id",-1+COUNTA($AG$1:ActionListNData[[#This Row],[Resource Data]])+IF(ISNUMBER(VLOOKUP('Table Seed Map'!$A$38,SeedMap[],9,0)),VLOOKUP('Table Seed Map'!$A$38,SeedMap[],9,0),0))</f>
        <v>803600</v>
      </c>
      <c r="AN13" s="60">
        <f>ActionListNData[[#This Row],[Action]]</f>
        <v>803219</v>
      </c>
      <c r="AO13" s="60" t="str">
        <f>IF(ActionListNData[[#This Row],[Action Name]]="","resource_data",IFERROR(VLOOKUP(ActionListNData[[#This Row],[Resource Data]],ResourceData[[DataDisplayName]:[No]],2,0),""))</f>
        <v/>
      </c>
    </row>
    <row r="14" spans="1:48" x14ac:dyDescent="0.25">
      <c r="A14" s="37" t="str">
        <f>'Table Seed Map'!$A$34&amp;"-"&amp;(COUNTA($E$1:ResourceAction[[#This Row],[Resource]])-2)</f>
        <v>Resource Actions-12</v>
      </c>
      <c r="B14" s="37" t="str">
        <f>ResourceAction[[#This Row],[Resource Name]]&amp;"/"&amp;ResourceAction[[#This Row],[Name]]</f>
        <v>PartnerTask/ListCompletedTasksAction</v>
      </c>
      <c r="C14" s="35" t="s">
        <v>847</v>
      </c>
      <c r="D14" s="37">
        <f>IF(ResourceAction[[#This Row],[Resource Name]]="","id",COUNTA($C$1:ResourceAction[[#This Row],[Resource Name]])-1+IF(VLOOKUP('Table Seed Map'!$A$34,SeedMap[],9,0),VLOOKUP('Table Seed Map'!$A$34,SeedMap[],9,0),0))</f>
        <v>803212</v>
      </c>
      <c r="E14" s="37">
        <f>IFERROR(VLOOKUP(ResourceAction[[#This Row],[Resource Name]],ResourceTable[[RName]:[No]],3,0),"resource")</f>
        <v>800505</v>
      </c>
      <c r="F14" s="37" t="s">
        <v>1014</v>
      </c>
      <c r="G14" s="37" t="s">
        <v>1018</v>
      </c>
      <c r="H14" s="37"/>
      <c r="I14" s="37"/>
      <c r="J14" s="37" t="s">
        <v>1012</v>
      </c>
      <c r="K14" s="37"/>
      <c r="L14" s="37"/>
      <c r="M14" s="37"/>
      <c r="N14" s="39" t="str">
        <f>'Table Seed Map'!$A$35&amp;"-"&amp;(COUNTA($E$1:ResourceAction[[#This Row],[Resource]])-2)</f>
        <v>Action Method-12</v>
      </c>
      <c r="O14" s="37">
        <f>IF(ResourceAction[[#This Row],[No]]="id","id",-2+COUNTA($E$1:ResourceAction[[#This Row],[Resource]])+IF(ISNUMBER(VLOOKUP('Table Seed Map'!$A$35,SeedMap[],9,0)),VLOOKUP('Table Seed Map'!$A$35,SeedMap[],9,0),0))</f>
        <v>803312</v>
      </c>
      <c r="P14" s="37">
        <f>IF(ResourceAction[[#This Row],[No]]="id","resource_action",ResourceAction[[#This Row],[No]])</f>
        <v>803212</v>
      </c>
      <c r="Q14" s="48" t="s">
        <v>122</v>
      </c>
      <c r="R14" s="49">
        <f ca="1">IF(ResourceAction[[#This Row],[Resource Name]]="","idn1",IF(ResourceAction[[#This Row],[IDN1]]="","",VLOOKUP(ResourceAction[[#This Row],[IDN1]],IDNMaps[[Display]:[ID]],2,0)))</f>
        <v>802207</v>
      </c>
      <c r="S14" s="49" t="str">
        <f>IF(ResourceAction[[#This Row],[Resource Name]]="","idn2",IF(ResourceAction[[#This Row],[IDN2]]="","",VLOOKUP(ResourceAction[[#This Row],[IDN2]],IDNMaps[[Display]:[ID]],2,0)))</f>
        <v/>
      </c>
      <c r="T14" s="49" t="str">
        <f>IF(ResourceAction[[#This Row],[Resource Name]]="","idn3",IF(ResourceAction[[#This Row],[IDN3]]="","",VLOOKUP(ResourceAction[[#This Row],[IDN3]],IDNMaps[[Display]:[ID]],2,0)))</f>
        <v/>
      </c>
      <c r="U14" s="49" t="str">
        <f>IF(ResourceAction[[#This Row],[Resource Name]]="","idn4",IF(ResourceAction[[#This Row],[IDN4]]="","",VLOOKUP(ResourceAction[[#This Row],[IDN4]],IDNMaps[[Display]:[ID]],2,0)))</f>
        <v/>
      </c>
      <c r="V14" s="49" t="str">
        <f>IF(ResourceAction[[#This Row],[Resource Name]]="","idn5",IF(ResourceAction[[#This Row],[IDN5]]="","",VLOOKUP(ResourceAction[[#This Row],[IDN5]],IDNMaps[[Display]:[ID]],2,0)))</f>
        <v/>
      </c>
      <c r="W14" s="83" t="s">
        <v>1010</v>
      </c>
      <c r="X14" s="57"/>
      <c r="Y14" s="57"/>
      <c r="Z14" s="57"/>
      <c r="AA14" s="57"/>
      <c r="AB14" s="54">
        <f>ResourceAction[No]</f>
        <v>803212</v>
      </c>
      <c r="AD14" s="63" t="s">
        <v>1134</v>
      </c>
      <c r="AE14" s="60">
        <f>VLOOKUP(ActionListNData[[#This Row],[Action Name]],ResourceAction[[Display]:[No]],3,0)</f>
        <v>803217</v>
      </c>
      <c r="AF14" s="60" t="s">
        <v>1104</v>
      </c>
      <c r="AG14" s="60"/>
      <c r="AH14" s="60" t="str">
        <f>'Table Seed Map'!$A$37&amp;"-"&amp;-1+COUNTA($AF$1:ActionListNData[[#This Row],[Resource List]])</f>
        <v>Action List-12</v>
      </c>
      <c r="AI14" s="60">
        <f>IF(ActionListNData[[#This Row],[Action Name]]="","id",-1+COUNTA($AF$1:ActionListNData[[#This Row],[Resource List]])+IF(ISNUMBER(VLOOKUP('Table Seed Map'!$A$37,SeedMap[],9,0)),VLOOKUP('Table Seed Map'!$A$37,SeedMap[],9,0),0))</f>
        <v>803512</v>
      </c>
      <c r="AJ14" s="60">
        <f>ActionListNData[[#This Row],[Action]]</f>
        <v>803217</v>
      </c>
      <c r="AK14" s="60">
        <f>IF(ActionListNData[[#This Row],[Action Name]]="","resource_list",IFERROR(VLOOKUP(ActionListNData[[#This Row],[Resource List]],ResourceList[[ListDisplayName]:[No]],2,0),""))</f>
        <v>802209</v>
      </c>
      <c r="AL14" s="60" t="str">
        <f>'Table Seed Map'!$A$38&amp;"-"&amp;-1+COUNTA($AG$1:ActionListNData[[#This Row],[Resource Data]])</f>
        <v>Action Data-0</v>
      </c>
      <c r="AM14" s="60">
        <f>IF(ActionListNData[[#This Row],[Action Name]]="","id",-1+COUNTA($AG$1:ActionListNData[[#This Row],[Resource Data]])+IF(ISNUMBER(VLOOKUP('Table Seed Map'!$A$38,SeedMap[],9,0)),VLOOKUP('Table Seed Map'!$A$38,SeedMap[],9,0),0))</f>
        <v>803600</v>
      </c>
      <c r="AN14" s="60">
        <f>ActionListNData[[#This Row],[Action]]</f>
        <v>803217</v>
      </c>
      <c r="AO14" s="60" t="str">
        <f>IF(ActionListNData[[#This Row],[Action Name]]="","resource_data",IFERROR(VLOOKUP(ActionListNData[[#This Row],[Resource Data]],ResourceData[[DataDisplayName]:[No]],2,0),""))</f>
        <v/>
      </c>
    </row>
    <row r="15" spans="1:48" x14ac:dyDescent="0.25">
      <c r="A15" s="37" t="str">
        <f>'Table Seed Map'!$A$34&amp;"-"&amp;(COUNTA($E$1:ResourceAction[[#This Row],[Resource]])-2)</f>
        <v>Resource Actions-13</v>
      </c>
      <c r="B15" s="37" t="str">
        <f>ResourceAction[[#This Row],[Resource Name]]&amp;"/"&amp;ResourceAction[[#This Row],[Name]]</f>
        <v>PartnerTask/ListDismissedTasksAction</v>
      </c>
      <c r="C15" s="35" t="s">
        <v>847</v>
      </c>
      <c r="D15" s="37">
        <f>IF(ResourceAction[[#This Row],[Resource Name]]="","id",COUNTA($C$1:ResourceAction[[#This Row],[Resource Name]])-1+IF(VLOOKUP('Table Seed Map'!$A$34,SeedMap[],9,0),VLOOKUP('Table Seed Map'!$A$34,SeedMap[],9,0),0))</f>
        <v>803213</v>
      </c>
      <c r="E15" s="37">
        <f>IFERROR(VLOOKUP(ResourceAction[[#This Row],[Resource Name]],ResourceTable[[RName]:[No]],3,0),"resource")</f>
        <v>800505</v>
      </c>
      <c r="F15" s="37" t="s">
        <v>1015</v>
      </c>
      <c r="G15" s="37" t="s">
        <v>1019</v>
      </c>
      <c r="H15" s="37"/>
      <c r="I15" s="37"/>
      <c r="J15" s="37" t="s">
        <v>1011</v>
      </c>
      <c r="K15" s="37"/>
      <c r="L15" s="37"/>
      <c r="M15" s="37"/>
      <c r="N15" s="39" t="str">
        <f>'Table Seed Map'!$A$35&amp;"-"&amp;(COUNTA($E$1:ResourceAction[[#This Row],[Resource]])-2)</f>
        <v>Action Method-13</v>
      </c>
      <c r="O15" s="37">
        <f>IF(ResourceAction[[#This Row],[No]]="id","id",-2+COUNTA($E$1:ResourceAction[[#This Row],[Resource]])+IF(ISNUMBER(VLOOKUP('Table Seed Map'!$A$35,SeedMap[],9,0)),VLOOKUP('Table Seed Map'!$A$35,SeedMap[],9,0),0))</f>
        <v>803313</v>
      </c>
      <c r="P15" s="37">
        <f>IF(ResourceAction[[#This Row],[No]]="id","resource_action",ResourceAction[[#This Row],[No]])</f>
        <v>803213</v>
      </c>
      <c r="Q15" s="48" t="s">
        <v>122</v>
      </c>
      <c r="R15" s="49">
        <f ca="1">IF(ResourceAction[[#This Row],[Resource Name]]="","idn1",IF(ResourceAction[[#This Row],[IDN1]]="","",VLOOKUP(ResourceAction[[#This Row],[IDN1]],IDNMaps[[Display]:[ID]],2,0)))</f>
        <v>802205</v>
      </c>
      <c r="S15" s="49" t="str">
        <f>IF(ResourceAction[[#This Row],[Resource Name]]="","idn2",IF(ResourceAction[[#This Row],[IDN2]]="","",VLOOKUP(ResourceAction[[#This Row],[IDN2]],IDNMaps[[Display]:[ID]],2,0)))</f>
        <v/>
      </c>
      <c r="T15" s="49" t="str">
        <f>IF(ResourceAction[[#This Row],[Resource Name]]="","idn3",IF(ResourceAction[[#This Row],[IDN3]]="","",VLOOKUP(ResourceAction[[#This Row],[IDN3]],IDNMaps[[Display]:[ID]],2,0)))</f>
        <v/>
      </c>
      <c r="U15" s="49" t="str">
        <f>IF(ResourceAction[[#This Row],[Resource Name]]="","idn4",IF(ResourceAction[[#This Row],[IDN4]]="","",VLOOKUP(ResourceAction[[#This Row],[IDN4]],IDNMaps[[Display]:[ID]],2,0)))</f>
        <v/>
      </c>
      <c r="V15" s="49" t="str">
        <f>IF(ResourceAction[[#This Row],[Resource Name]]="","idn5",IF(ResourceAction[[#This Row],[IDN5]]="","",VLOOKUP(ResourceAction[[#This Row],[IDN5]],IDNMaps[[Display]:[ID]],2,0)))</f>
        <v/>
      </c>
      <c r="W15" s="83" t="s">
        <v>1008</v>
      </c>
      <c r="X15" s="57"/>
      <c r="Y15" s="57"/>
      <c r="Z15" s="57"/>
      <c r="AA15" s="57"/>
      <c r="AB15" s="54">
        <f>ResourceAction[No]</f>
        <v>803213</v>
      </c>
      <c r="AD15" s="63" t="s">
        <v>1134</v>
      </c>
      <c r="AE15" s="60">
        <f>VLOOKUP(ActionListNData[[#This Row],[Action Name]],ResourceAction[[Display]:[No]],3,0)</f>
        <v>803217</v>
      </c>
      <c r="AF15" s="60" t="s">
        <v>1111</v>
      </c>
      <c r="AG15" s="60"/>
      <c r="AH15" s="60" t="str">
        <f>'Table Seed Map'!$A$37&amp;"-"&amp;-1+COUNTA($AF$1:ActionListNData[[#This Row],[Resource List]])</f>
        <v>Action List-13</v>
      </c>
      <c r="AI15" s="60">
        <f>IF(ActionListNData[[#This Row],[Action Name]]="","id",-1+COUNTA($AF$1:ActionListNData[[#This Row],[Resource List]])+IF(ISNUMBER(VLOOKUP('Table Seed Map'!$A$37,SeedMap[],9,0)),VLOOKUP('Table Seed Map'!$A$37,SeedMap[],9,0),0))</f>
        <v>803513</v>
      </c>
      <c r="AJ15" s="60">
        <f>ActionListNData[[#This Row],[Action]]</f>
        <v>803217</v>
      </c>
      <c r="AK15" s="60">
        <f>IF(ActionListNData[[#This Row],[Action Name]]="","resource_list",IFERROR(VLOOKUP(ActionListNData[[#This Row],[Resource List]],ResourceList[[ListDisplayName]:[No]],2,0),""))</f>
        <v>802210</v>
      </c>
      <c r="AL15" s="60" t="str">
        <f>'Table Seed Map'!$A$38&amp;"-"&amp;-1+COUNTA($AG$1:ActionListNData[[#This Row],[Resource Data]])</f>
        <v>Action Data-0</v>
      </c>
      <c r="AM15" s="60">
        <f>IF(ActionListNData[[#This Row],[Action Name]]="","id",-1+COUNTA($AG$1:ActionListNData[[#This Row],[Resource Data]])+IF(ISNUMBER(VLOOKUP('Table Seed Map'!$A$38,SeedMap[],9,0)),VLOOKUP('Table Seed Map'!$A$38,SeedMap[],9,0),0))</f>
        <v>803600</v>
      </c>
      <c r="AN15" s="60">
        <f>ActionListNData[[#This Row],[Action]]</f>
        <v>803217</v>
      </c>
      <c r="AO15" s="60" t="str">
        <f>IF(ActionListNData[[#This Row],[Action Name]]="","resource_data",IFERROR(VLOOKUP(ActionListNData[[#This Row],[Resource Data]],ResourceData[[DataDisplayName]:[No]],2,0),""))</f>
        <v/>
      </c>
    </row>
    <row r="16" spans="1:48" x14ac:dyDescent="0.25">
      <c r="A16" s="37" t="str">
        <f>'Table Seed Map'!$A$34&amp;"-"&amp;(COUNTA($E$1:ResourceAction[[#This Row],[Resource]])-2)</f>
        <v>Resource Actions-14</v>
      </c>
      <c r="B16" s="37" t="str">
        <f>ResourceAction[[#This Row],[Resource Name]]&amp;"/"&amp;ResourceAction[[#This Row],[Name]]</f>
        <v>PartnerTask/ListReturnedTasksAction</v>
      </c>
      <c r="C16" s="35" t="s">
        <v>847</v>
      </c>
      <c r="D16" s="37">
        <f>IF(ResourceAction[[#This Row],[Resource Name]]="","id",COUNTA($C$1:ResourceAction[[#This Row],[Resource Name]])-1+IF(VLOOKUP('Table Seed Map'!$A$34,SeedMap[],9,0),VLOOKUP('Table Seed Map'!$A$34,SeedMap[],9,0),0))</f>
        <v>803214</v>
      </c>
      <c r="E16" s="37">
        <f>IFERROR(VLOOKUP(ResourceAction[[#This Row],[Resource Name]],ResourceTable[[RName]:[No]],3,0),"resource")</f>
        <v>800505</v>
      </c>
      <c r="F16" s="37" t="s">
        <v>1016</v>
      </c>
      <c r="G16" s="37" t="s">
        <v>1020</v>
      </c>
      <c r="H16" s="37"/>
      <c r="I16" s="37"/>
      <c r="J16" s="37" t="s">
        <v>1013</v>
      </c>
      <c r="K16" s="37"/>
      <c r="L16" s="37"/>
      <c r="M16" s="37"/>
      <c r="N16" s="39" t="str">
        <f>'Table Seed Map'!$A$35&amp;"-"&amp;(COUNTA($E$1:ResourceAction[[#This Row],[Resource]])-2)</f>
        <v>Action Method-14</v>
      </c>
      <c r="O16" s="37">
        <f>IF(ResourceAction[[#This Row],[No]]="id","id",-2+COUNTA($E$1:ResourceAction[[#This Row],[Resource]])+IF(ISNUMBER(VLOOKUP('Table Seed Map'!$A$35,SeedMap[],9,0)),VLOOKUP('Table Seed Map'!$A$35,SeedMap[],9,0),0))</f>
        <v>803314</v>
      </c>
      <c r="P16" s="37">
        <f>IF(ResourceAction[[#This Row],[No]]="id","resource_action",ResourceAction[[#This Row],[No]])</f>
        <v>803214</v>
      </c>
      <c r="Q16" s="48" t="s">
        <v>122</v>
      </c>
      <c r="R16" s="49">
        <f ca="1">IF(ResourceAction[[#This Row],[Resource Name]]="","idn1",IF(ResourceAction[[#This Row],[IDN1]]="","",VLOOKUP(ResourceAction[[#This Row],[IDN1]],IDNMaps[[Display]:[ID]],2,0)))</f>
        <v>802206</v>
      </c>
      <c r="S16" s="49" t="str">
        <f>IF(ResourceAction[[#This Row],[Resource Name]]="","idn2",IF(ResourceAction[[#This Row],[IDN2]]="","",VLOOKUP(ResourceAction[[#This Row],[IDN2]],IDNMaps[[Display]:[ID]],2,0)))</f>
        <v/>
      </c>
      <c r="T16" s="49" t="str">
        <f>IF(ResourceAction[[#This Row],[Resource Name]]="","idn3",IF(ResourceAction[[#This Row],[IDN3]]="","",VLOOKUP(ResourceAction[[#This Row],[IDN3]],IDNMaps[[Display]:[ID]],2,0)))</f>
        <v/>
      </c>
      <c r="U16" s="49" t="str">
        <f>IF(ResourceAction[[#This Row],[Resource Name]]="","idn4",IF(ResourceAction[[#This Row],[IDN4]]="","",VLOOKUP(ResourceAction[[#This Row],[IDN4]],IDNMaps[[Display]:[ID]],2,0)))</f>
        <v/>
      </c>
      <c r="V16" s="49" t="str">
        <f>IF(ResourceAction[[#This Row],[Resource Name]]="","idn5",IF(ResourceAction[[#This Row],[IDN5]]="","",VLOOKUP(ResourceAction[[#This Row],[IDN5]],IDNMaps[[Display]:[ID]],2,0)))</f>
        <v/>
      </c>
      <c r="W16" s="57" t="s">
        <v>1009</v>
      </c>
      <c r="X16" s="57"/>
      <c r="Y16" s="57"/>
      <c r="Z16" s="57"/>
      <c r="AA16" s="57"/>
      <c r="AB16" s="54">
        <f>ResourceAction[No]</f>
        <v>803214</v>
      </c>
      <c r="AD16" s="63" t="s">
        <v>1147</v>
      </c>
      <c r="AE16" s="60">
        <f>VLOOKUP(ActionListNData[[#This Row],[Action Name]],ResourceAction[[Display]:[No]],3,0)</f>
        <v>803220</v>
      </c>
      <c r="AF16" s="60" t="s">
        <v>1005</v>
      </c>
      <c r="AG16" s="60"/>
      <c r="AH16" s="60" t="str">
        <f>'Table Seed Map'!$A$37&amp;"-"&amp;-1+COUNTA($AF$1:ActionListNData[[#This Row],[Resource List]])</f>
        <v>Action List-14</v>
      </c>
      <c r="AI16" s="60">
        <f>IF(ActionListNData[[#This Row],[Action Name]]="","id",-1+COUNTA($AF$1:ActionListNData[[#This Row],[Resource List]])+IF(ISNUMBER(VLOOKUP('Table Seed Map'!$A$37,SeedMap[],9,0)),VLOOKUP('Table Seed Map'!$A$37,SeedMap[],9,0),0))</f>
        <v>803514</v>
      </c>
      <c r="AJ16" s="60">
        <f>ActionListNData[[#This Row],[Action]]</f>
        <v>803220</v>
      </c>
      <c r="AK16" s="60">
        <f>IF(ActionListNData[[#This Row],[Action Name]]="","resource_list",IFERROR(VLOOKUP(ActionListNData[[#This Row],[Resource List]],ResourceList[[ListDisplayName]:[No]],2,0),""))</f>
        <v>802207</v>
      </c>
      <c r="AL16" s="60" t="str">
        <f>'Table Seed Map'!$A$38&amp;"-"&amp;-1+COUNTA($AG$1:ActionListNData[[#This Row],[Resource Data]])</f>
        <v>Action Data-0</v>
      </c>
      <c r="AM16" s="60">
        <f>IF(ActionListNData[[#This Row],[Action Name]]="","id",-1+COUNTA($AG$1:ActionListNData[[#This Row],[Resource Data]])+IF(ISNUMBER(VLOOKUP('Table Seed Map'!$A$38,SeedMap[],9,0)),VLOOKUP('Table Seed Map'!$A$38,SeedMap[],9,0),0))</f>
        <v>803600</v>
      </c>
      <c r="AN16" s="60">
        <f>ActionListNData[[#This Row],[Action]]</f>
        <v>803220</v>
      </c>
      <c r="AO16" s="60" t="str">
        <f>IF(ActionListNData[[#This Row],[Action Name]]="","resource_data",IFERROR(VLOOKUP(ActionListNData[[#This Row],[Resource Data]],ResourceData[[DataDisplayName]:[No]],2,0),""))</f>
        <v/>
      </c>
    </row>
    <row r="17" spans="1:28" x14ac:dyDescent="0.25">
      <c r="A17" s="37" t="str">
        <f>'Table Seed Map'!$A$34&amp;"-"&amp;(COUNTA($E$1:ResourceAction[[#This Row],[Resource]])-2)</f>
        <v>Resource Actions-15</v>
      </c>
      <c r="B17" s="37" t="str">
        <f>ResourceAction[[#This Row],[Resource Name]]&amp;"/"&amp;ResourceAction[[#This Row],[Name]]</f>
        <v>PartnerTask/CompleteDescriptionTaskFormAction</v>
      </c>
      <c r="C17" s="35" t="s">
        <v>847</v>
      </c>
      <c r="D17" s="37">
        <f>IF(ResourceAction[[#This Row],[Resource Name]]="","id",COUNTA($C$1:ResourceAction[[#This Row],[Resource Name]])-1+IF(VLOOKUP('Table Seed Map'!$A$34,SeedMap[],9,0),VLOOKUP('Table Seed Map'!$A$34,SeedMap[],9,0),0))</f>
        <v>803215</v>
      </c>
      <c r="E17" s="37">
        <f>IFERROR(VLOOKUP(ResourceAction[[#This Row],[Resource Name]],ResourceTable[[RName]:[No]],3,0),"resource")</f>
        <v>800505</v>
      </c>
      <c r="F17" s="37" t="s">
        <v>1035</v>
      </c>
      <c r="G17" s="37" t="s">
        <v>1054</v>
      </c>
      <c r="H17" s="37" t="s">
        <v>1024</v>
      </c>
      <c r="I17" s="37"/>
      <c r="J17" s="37"/>
      <c r="K17" s="37"/>
      <c r="L17" s="37" t="s">
        <v>1061</v>
      </c>
      <c r="M17" s="37"/>
      <c r="N17" s="39" t="str">
        <f>'Table Seed Map'!$A$35&amp;"-"&amp;(COUNTA($E$1:ResourceAction[[#This Row],[Resource]])-2)</f>
        <v>Action Method-15</v>
      </c>
      <c r="O17" s="37">
        <f>IF(ResourceAction[[#This Row],[No]]="id","id",-2+COUNTA($E$1:ResourceAction[[#This Row],[Resource]])+IF(ISNUMBER(VLOOKUP('Table Seed Map'!$A$35,SeedMap[],9,0)),VLOOKUP('Table Seed Map'!$A$35,SeedMap[],9,0),0))</f>
        <v>803315</v>
      </c>
      <c r="P17" s="37">
        <f>IF(ResourceAction[[#This Row],[No]]="id","resource_action",ResourceAction[[#This Row],[No]])</f>
        <v>803215</v>
      </c>
      <c r="Q17" s="48" t="s">
        <v>224</v>
      </c>
      <c r="R17" s="49">
        <f ca="1">IF(ResourceAction[[#This Row],[Resource Name]]="","idn1",IF(ResourceAction[[#This Row],[IDN1]]="","",VLOOKUP(ResourceAction[[#This Row],[IDN1]],IDNMaps[[Display]:[ID]],2,0)))</f>
        <v>800904</v>
      </c>
      <c r="S17" s="49">
        <f ca="1">IF(ResourceAction[[#This Row],[Resource Name]]="","idn2",IF(ResourceAction[[#This Row],[IDN2]]="","",VLOOKUP(ResourceAction[[#This Row],[IDN2]],IDNMaps[[Display]:[ID]],2,0)))</f>
        <v>802701</v>
      </c>
      <c r="T17" s="49" t="str">
        <f>IF(ResourceAction[[#This Row],[Resource Name]]="","idn3",IF(ResourceAction[[#This Row],[IDN3]]="","",VLOOKUP(ResourceAction[[#This Row],[IDN3]],IDNMaps[[Display]:[ID]],2,0)))</f>
        <v/>
      </c>
      <c r="U17" s="49" t="str">
        <f>IF(ResourceAction[[#This Row],[Resource Name]]="","idn4",IF(ResourceAction[[#This Row],[IDN4]]="","",VLOOKUP(ResourceAction[[#This Row],[IDN4]],IDNMaps[[Display]:[ID]],2,0)))</f>
        <v/>
      </c>
      <c r="V17" s="49" t="str">
        <f>IF(ResourceAction[[#This Row],[Resource Name]]="","idn5",IF(ResourceAction[[#This Row],[IDN5]]="","",VLOOKUP(ResourceAction[[#This Row],[IDN5]],IDNMaps[[Display]:[ID]],2,0)))</f>
        <v/>
      </c>
      <c r="W17" s="57" t="s">
        <v>1036</v>
      </c>
      <c r="X17" s="57" t="s">
        <v>1037</v>
      </c>
      <c r="Y17" s="57"/>
      <c r="Z17" s="57"/>
      <c r="AA17" s="57"/>
      <c r="AB17" s="54">
        <f>ResourceAction[No]</f>
        <v>803215</v>
      </c>
    </row>
    <row r="18" spans="1:28" x14ac:dyDescent="0.25">
      <c r="A18" s="71" t="str">
        <f>'Table Seed Map'!$A$34&amp;"-"&amp;(COUNTA($E$1:ResourceAction[[#This Row],[Resource]])-2)</f>
        <v>Resource Actions-16</v>
      </c>
      <c r="B18" s="71" t="str">
        <f>ResourceAction[[#This Row],[Resource Name]]&amp;"/"&amp;ResourceAction[[#This Row],[Name]]</f>
        <v>PartnerTask/CompleteAttachmentTaskFormAction</v>
      </c>
      <c r="C18" s="58" t="s">
        <v>847</v>
      </c>
      <c r="D18" s="71">
        <f>IF(ResourceAction[[#This Row],[Resource Name]]="","id",COUNTA($C$1:ResourceAction[[#This Row],[Resource Name]])-1+IF(VLOOKUP('Table Seed Map'!$A$34,SeedMap[],9,0),VLOOKUP('Table Seed Map'!$A$34,SeedMap[],9,0),0))</f>
        <v>803216</v>
      </c>
      <c r="E18" s="71">
        <f>IFERROR(VLOOKUP(ResourceAction[[#This Row],[Resource Name]],ResourceTable[[RName]:[No]],3,0),"resource")</f>
        <v>800505</v>
      </c>
      <c r="F18" s="37" t="s">
        <v>1052</v>
      </c>
      <c r="G18" s="37" t="s">
        <v>1053</v>
      </c>
      <c r="H18" s="37" t="s">
        <v>1024</v>
      </c>
      <c r="I18" s="71"/>
      <c r="J18" s="71"/>
      <c r="K18" s="71"/>
      <c r="L18" s="37" t="s">
        <v>1062</v>
      </c>
      <c r="M18" s="71"/>
      <c r="N18" s="70" t="str">
        <f>'Table Seed Map'!$A$35&amp;"-"&amp;(COUNTA($E$1:ResourceAction[[#This Row],[Resource]])-2)</f>
        <v>Action Method-16</v>
      </c>
      <c r="O18" s="71">
        <f>IF(ResourceAction[[#This Row],[No]]="id","id",-2+COUNTA($E$1:ResourceAction[[#This Row],[Resource]])+IF(ISNUMBER(VLOOKUP('Table Seed Map'!$A$35,SeedMap[],9,0)),VLOOKUP('Table Seed Map'!$A$35,SeedMap[],9,0),0))</f>
        <v>803316</v>
      </c>
      <c r="P18" s="71">
        <f>IF(ResourceAction[[#This Row],[No]]="id","resource_action",ResourceAction[[#This Row],[No]])</f>
        <v>803216</v>
      </c>
      <c r="Q18" s="48" t="s">
        <v>224</v>
      </c>
      <c r="R18" s="82">
        <f ca="1">IF(ResourceAction[[#This Row],[Resource Name]]="","idn1",IF(ResourceAction[[#This Row],[IDN1]]="","",VLOOKUP(ResourceAction[[#This Row],[IDN1]],IDNMaps[[Display]:[ID]],2,0)))</f>
        <v>800905</v>
      </c>
      <c r="S18" s="82">
        <f ca="1">IF(ResourceAction[[#This Row],[Resource Name]]="","idn2",IF(ResourceAction[[#This Row],[IDN2]]="","",VLOOKUP(ResourceAction[[#This Row],[IDN2]],IDNMaps[[Display]:[ID]],2,0)))</f>
        <v>802701</v>
      </c>
      <c r="T18" s="82" t="str">
        <f>IF(ResourceAction[[#This Row],[Resource Name]]="","idn3",IF(ResourceAction[[#This Row],[IDN3]]="","",VLOOKUP(ResourceAction[[#This Row],[IDN3]],IDNMaps[[Display]:[ID]],2,0)))</f>
        <v/>
      </c>
      <c r="U18" s="82" t="str">
        <f>IF(ResourceAction[[#This Row],[Resource Name]]="","idn4",IF(ResourceAction[[#This Row],[IDN4]]="","",VLOOKUP(ResourceAction[[#This Row],[IDN4]],IDNMaps[[Display]:[ID]],2,0)))</f>
        <v/>
      </c>
      <c r="V18" s="82" t="str">
        <f>IF(ResourceAction[[#This Row],[Resource Name]]="","idn5",IF(ResourceAction[[#This Row],[IDN5]]="","",VLOOKUP(ResourceAction[[#This Row],[IDN5]],IDNMaps[[Display]:[ID]],2,0)))</f>
        <v/>
      </c>
      <c r="W18" s="57" t="s">
        <v>1055</v>
      </c>
      <c r="X18" s="57" t="s">
        <v>1037</v>
      </c>
      <c r="Y18" s="83"/>
      <c r="Z18" s="83"/>
      <c r="AA18" s="83"/>
      <c r="AB18" s="78">
        <f>ResourceAction[No]</f>
        <v>803216</v>
      </c>
    </row>
    <row r="19" spans="1:28" x14ac:dyDescent="0.25">
      <c r="A19" s="71" t="str">
        <f>'Table Seed Map'!$A$34&amp;"-"&amp;(COUNTA($E$1:ResourceAction[[#This Row],[Resource]])-2)</f>
        <v>Resource Actions-17</v>
      </c>
      <c r="B19" s="71" t="str">
        <f>ResourceAction[[#This Row],[Resource Name]]&amp;"/"&amp;ResourceAction[[#This Row],[Name]]</f>
        <v>PartnerTask/TaskProgressDetails</v>
      </c>
      <c r="C19" s="58" t="s">
        <v>847</v>
      </c>
      <c r="D19" s="71">
        <f>IF(ResourceAction[[#This Row],[Resource Name]]="","id",COUNTA($C$1:ResourceAction[[#This Row],[Resource Name]])-1+IF(VLOOKUP('Table Seed Map'!$A$34,SeedMap[],9,0),VLOOKUP('Table Seed Map'!$A$34,SeedMap[],9,0),0))</f>
        <v>803217</v>
      </c>
      <c r="E19" s="71">
        <f>IFERROR(VLOOKUP(ResourceAction[[#This Row],[Resource Name]],ResourceTable[[RName]:[No]],3,0),"resource")</f>
        <v>800505</v>
      </c>
      <c r="F19" s="71" t="s">
        <v>1131</v>
      </c>
      <c r="G19" s="71" t="s">
        <v>1089</v>
      </c>
      <c r="H19" s="71" t="s">
        <v>1132</v>
      </c>
      <c r="I19" s="71"/>
      <c r="J19" s="71"/>
      <c r="K19" s="71"/>
      <c r="L19" s="71"/>
      <c r="M19" s="71"/>
      <c r="N19" s="70" t="str">
        <f>'Table Seed Map'!$A$35&amp;"-"&amp;(COUNTA($E$1:ResourceAction[[#This Row],[Resource]])-2)</f>
        <v>Action Method-17</v>
      </c>
      <c r="O19" s="71">
        <f>IF(ResourceAction[[#This Row],[No]]="id","id",-2+COUNTA($E$1:ResourceAction[[#This Row],[Resource]])+IF(ISNUMBER(VLOOKUP('Table Seed Map'!$A$35,SeedMap[],9,0)),VLOOKUP('Table Seed Map'!$A$35,SeedMap[],9,0),0))</f>
        <v>803317</v>
      </c>
      <c r="P19" s="71">
        <f>IF(ResourceAction[[#This Row],[No]]="id","resource_action",ResourceAction[[#This Row],[No]])</f>
        <v>803217</v>
      </c>
      <c r="Q19" s="48" t="s">
        <v>130</v>
      </c>
      <c r="R19" s="82">
        <f ca="1">IF(ResourceAction[[#This Row],[Resource Name]]="","idn1",IF(ResourceAction[[#This Row],[IDN1]]="","",VLOOKUP(ResourceAction[[#This Row],[IDN1]],IDNMaps[[Display]:[ID]],2,0)))</f>
        <v>802701</v>
      </c>
      <c r="S19" s="82" t="str">
        <f>IF(ResourceAction[[#This Row],[Resource Name]]="","idn2",IF(ResourceAction[[#This Row],[IDN2]]="","",VLOOKUP(ResourceAction[[#This Row],[IDN2]],IDNMaps[[Display]:[ID]],2,0)))</f>
        <v/>
      </c>
      <c r="T19" s="82" t="str">
        <f>IF(ResourceAction[[#This Row],[Resource Name]]="","idn3",IF(ResourceAction[[#This Row],[IDN3]]="","",VLOOKUP(ResourceAction[[#This Row],[IDN3]],IDNMaps[[Display]:[ID]],2,0)))</f>
        <v/>
      </c>
      <c r="U19" s="82" t="str">
        <f>IF(ResourceAction[[#This Row],[Resource Name]]="","idn4",IF(ResourceAction[[#This Row],[IDN4]]="","",VLOOKUP(ResourceAction[[#This Row],[IDN4]],IDNMaps[[Display]:[ID]],2,0)))</f>
        <v/>
      </c>
      <c r="V19" s="82" t="str">
        <f>IF(ResourceAction[[#This Row],[Resource Name]]="","idn5",IF(ResourceAction[[#This Row],[IDN5]]="","",VLOOKUP(ResourceAction[[#This Row],[IDN5]],IDNMaps[[Display]:[ID]],2,0)))</f>
        <v/>
      </c>
      <c r="W19" s="57" t="s">
        <v>1037</v>
      </c>
      <c r="X19" s="83"/>
      <c r="Y19" s="83"/>
      <c r="Z19" s="83"/>
      <c r="AA19" s="83"/>
      <c r="AB19" s="78">
        <f>ResourceAction[No]</f>
        <v>803217</v>
      </c>
    </row>
    <row r="20" spans="1:28" x14ac:dyDescent="0.25">
      <c r="A20" s="71" t="str">
        <f>'Table Seed Map'!$A$34&amp;"-"&amp;(COUNTA($E$1:ResourceAction[[#This Row],[Resource]])-2)</f>
        <v>Resource Actions-18</v>
      </c>
      <c r="B20" s="71" t="str">
        <f>ResourceAction[[#This Row],[Resource Name]]&amp;"/"&amp;ResourceAction[[#This Row],[Name]]</f>
        <v>PartnerTask/DismissTaskAction</v>
      </c>
      <c r="C20" s="58" t="s">
        <v>847</v>
      </c>
      <c r="D20" s="71">
        <f>IF(ResourceAction[[#This Row],[Resource Name]]="","id",COUNTA($C$1:ResourceAction[[#This Row],[Resource Name]])-1+IF(VLOOKUP('Table Seed Map'!$A$34,SeedMap[],9,0),VLOOKUP('Table Seed Map'!$A$34,SeedMap[],9,0),0))</f>
        <v>803218</v>
      </c>
      <c r="E20" s="71">
        <f>IFERROR(VLOOKUP(ResourceAction[[#This Row],[Resource Name]],ResourceTable[[RName]:[No]],3,0),"resource")</f>
        <v>800505</v>
      </c>
      <c r="F20" s="71" t="s">
        <v>1096</v>
      </c>
      <c r="G20" s="71" t="s">
        <v>1097</v>
      </c>
      <c r="H20" s="71" t="s">
        <v>1092</v>
      </c>
      <c r="I20" s="71"/>
      <c r="J20" s="71"/>
      <c r="K20" s="71"/>
      <c r="L20" s="71" t="s">
        <v>1133</v>
      </c>
      <c r="M20" s="71"/>
      <c r="N20" s="70" t="str">
        <f>'Table Seed Map'!$A$35&amp;"-"&amp;(COUNTA($E$1:ResourceAction[[#This Row],[Resource]])-2)</f>
        <v>Action Method-18</v>
      </c>
      <c r="O20" s="71">
        <f>IF(ResourceAction[[#This Row],[No]]="id","id",-2+COUNTA($E$1:ResourceAction[[#This Row],[Resource]])+IF(ISNUMBER(VLOOKUP('Table Seed Map'!$A$35,SeedMap[],9,0)),VLOOKUP('Table Seed Map'!$A$35,SeedMap[],9,0),0))</f>
        <v>803318</v>
      </c>
      <c r="P20" s="71">
        <f>IF(ResourceAction[[#This Row],[No]]="id","resource_action",ResourceAction[[#This Row],[No]])</f>
        <v>803218</v>
      </c>
      <c r="Q20" s="48" t="s">
        <v>224</v>
      </c>
      <c r="R20" s="82">
        <f ca="1">IF(ResourceAction[[#This Row],[Resource Name]]="","idn1",IF(ResourceAction[[#This Row],[IDN1]]="","",VLOOKUP(ResourceAction[[#This Row],[IDN1]],IDNMaps[[Display]:[ID]],2,0)))</f>
        <v>800906</v>
      </c>
      <c r="S20" s="82">
        <f ca="1">IF(ResourceAction[[#This Row],[Resource Name]]="","idn2",IF(ResourceAction[[#This Row],[IDN2]]="","",VLOOKUP(ResourceAction[[#This Row],[IDN2]],IDNMaps[[Display]:[ID]],2,0)))</f>
        <v>802701</v>
      </c>
      <c r="T20" s="82" t="str">
        <f>IF(ResourceAction[[#This Row],[Resource Name]]="","idn3",IF(ResourceAction[[#This Row],[IDN3]]="","",VLOOKUP(ResourceAction[[#This Row],[IDN3]],IDNMaps[[Display]:[ID]],2,0)))</f>
        <v/>
      </c>
      <c r="U20" s="82" t="str">
        <f>IF(ResourceAction[[#This Row],[Resource Name]]="","idn4",IF(ResourceAction[[#This Row],[IDN4]]="","",VLOOKUP(ResourceAction[[#This Row],[IDN4]],IDNMaps[[Display]:[ID]],2,0)))</f>
        <v/>
      </c>
      <c r="V20" s="82" t="str">
        <f>IF(ResourceAction[[#This Row],[Resource Name]]="","idn5",IF(ResourceAction[[#This Row],[IDN5]]="","",VLOOKUP(ResourceAction[[#This Row],[IDN5]],IDNMaps[[Display]:[ID]],2,0)))</f>
        <v/>
      </c>
      <c r="W20" s="57" t="s">
        <v>1098</v>
      </c>
      <c r="X20" s="83" t="s">
        <v>1037</v>
      </c>
      <c r="Y20" s="83"/>
      <c r="Z20" s="83"/>
      <c r="AA20" s="83"/>
      <c r="AB20" s="78">
        <f>ResourceAction[No]</f>
        <v>803218</v>
      </c>
    </row>
    <row r="21" spans="1:28" x14ac:dyDescent="0.25">
      <c r="A21" s="71" t="str">
        <f>'Table Seed Map'!$A$34&amp;"-"&amp;(COUNTA($E$1:ResourceAction[[#This Row],[Resource]])-2)</f>
        <v>Resource Actions-19</v>
      </c>
      <c r="B21" s="71" t="str">
        <f>ResourceAction[[#This Row],[Resource Name]]&amp;"/"&amp;ResourceAction[[#This Row],[Name]]</f>
        <v>Partner/PartnerTaskProgressAction</v>
      </c>
      <c r="C21" s="58" t="s">
        <v>844</v>
      </c>
      <c r="D21" s="71">
        <f>IF(ResourceAction[[#This Row],[Resource Name]]="","id",COUNTA($C$1:ResourceAction[[#This Row],[Resource Name]])-1+IF(VLOOKUP('Table Seed Map'!$A$34,SeedMap[],9,0),VLOOKUP('Table Seed Map'!$A$34,SeedMap[],9,0),0))</f>
        <v>803219</v>
      </c>
      <c r="E21" s="71">
        <f>IFERROR(VLOOKUP(ResourceAction[[#This Row],[Resource Name]],ResourceTable[[RName]:[No]],3,0),"resource")</f>
        <v>800501</v>
      </c>
      <c r="F21" s="71" t="s">
        <v>1112</v>
      </c>
      <c r="G21" s="71" t="s">
        <v>1113</v>
      </c>
      <c r="H21" s="71" t="s">
        <v>1103</v>
      </c>
      <c r="I21" s="71"/>
      <c r="J21" s="71"/>
      <c r="K21" s="71"/>
      <c r="L21" s="71"/>
      <c r="M21" s="71"/>
      <c r="N21" s="70" t="str">
        <f>'Table Seed Map'!$A$35&amp;"-"&amp;(COUNTA($E$1:ResourceAction[[#This Row],[Resource]])-2)</f>
        <v>Action Method-19</v>
      </c>
      <c r="O21" s="71">
        <f>IF(ResourceAction[[#This Row],[No]]="id","id",-2+COUNTA($E$1:ResourceAction[[#This Row],[Resource]])+IF(ISNUMBER(VLOOKUP('Table Seed Map'!$A$35,SeedMap[],9,0)),VLOOKUP('Table Seed Map'!$A$35,SeedMap[],9,0),0))</f>
        <v>803319</v>
      </c>
      <c r="P21" s="71">
        <f>IF(ResourceAction[[#This Row],[No]]="id","resource_action",ResourceAction[[#This Row],[No]])</f>
        <v>803219</v>
      </c>
      <c r="Q21" s="48" t="s">
        <v>1078</v>
      </c>
      <c r="R21" s="82">
        <f ca="1">IF(ResourceAction[[#This Row],[Resource Name]]="","idn1",IF(ResourceAction[[#This Row],[IDN1]]="","",VLOOKUP(ResourceAction[[#This Row],[IDN1]],IDNMaps[[Display]:[ID]],2,0)))</f>
        <v>800808</v>
      </c>
      <c r="S21" s="82">
        <f ca="1">IF(ResourceAction[[#This Row],[Resource Name]]="","idn2",IF(ResourceAction[[#This Row],[IDN2]]="","",VLOOKUP(ResourceAction[[#This Row],[IDN2]],IDNMaps[[Display]:[ID]],2,0)))</f>
        <v>802210</v>
      </c>
      <c r="T21" s="82" t="str">
        <f>IF(ResourceAction[[#This Row],[Resource Name]]="","idn3",IF(ResourceAction[[#This Row],[IDN3]]="","",VLOOKUP(ResourceAction[[#This Row],[IDN3]],IDNMaps[[Display]:[ID]],2,0)))</f>
        <v/>
      </c>
      <c r="U21" s="82" t="str">
        <f>IF(ResourceAction[[#This Row],[Resource Name]]="","idn4",IF(ResourceAction[[#This Row],[IDN4]]="","",VLOOKUP(ResourceAction[[#This Row],[IDN4]],IDNMaps[[Display]:[ID]],2,0)))</f>
        <v/>
      </c>
      <c r="V21" s="82" t="str">
        <f>IF(ResourceAction[[#This Row],[Resource Name]]="","idn5",IF(ResourceAction[[#This Row],[IDN5]]="","",VLOOKUP(ResourceAction[[#This Row],[IDN5]],IDNMaps[[Display]:[ID]],2,0)))</f>
        <v/>
      </c>
      <c r="W21" s="57" t="s">
        <v>1114</v>
      </c>
      <c r="X21" s="83" t="s">
        <v>1115</v>
      </c>
      <c r="Y21" s="83"/>
      <c r="Z21" s="83"/>
      <c r="AA21" s="83"/>
      <c r="AB21" s="78">
        <f>ResourceAction[No]</f>
        <v>803219</v>
      </c>
    </row>
    <row r="22" spans="1:28" x14ac:dyDescent="0.25">
      <c r="A22" s="71" t="str">
        <f>'Table Seed Map'!$A$34&amp;"-"&amp;(COUNTA($E$1:ResourceAction[[#This Row],[Resource]])-2)</f>
        <v>Resource Actions-20</v>
      </c>
      <c r="B22" s="71" t="str">
        <f>ResourceAction[[#This Row],[Resource Name]]&amp;"/"&amp;ResourceAction[[#This Row],[Name]]</f>
        <v>PartnerTask/PartnerTaskStatusUpdateAction</v>
      </c>
      <c r="C22" s="58" t="s">
        <v>847</v>
      </c>
      <c r="D22" s="71">
        <f>IF(ResourceAction[[#This Row],[Resource Name]]="","id",COUNTA($C$1:ResourceAction[[#This Row],[Resource Name]])-1+IF(VLOOKUP('Table Seed Map'!$A$34,SeedMap[],9,0),VLOOKUP('Table Seed Map'!$A$34,SeedMap[],9,0),0))</f>
        <v>803220</v>
      </c>
      <c r="E22" s="71">
        <f>IFERROR(VLOOKUP(ResourceAction[[#This Row],[Resource Name]],ResourceTable[[RName]:[No]],3,0),"resource")</f>
        <v>800505</v>
      </c>
      <c r="F22" s="71" t="s">
        <v>1143</v>
      </c>
      <c r="G22" s="71" t="s">
        <v>1144</v>
      </c>
      <c r="H22" s="71" t="s">
        <v>1145</v>
      </c>
      <c r="I22" s="71"/>
      <c r="J22" s="71"/>
      <c r="K22" s="71"/>
      <c r="L22" s="71"/>
      <c r="M22" s="71"/>
      <c r="N22" s="70" t="str">
        <f>'Table Seed Map'!$A$35&amp;"-"&amp;(COUNTA($E$1:ResourceAction[[#This Row],[Resource]])-2)</f>
        <v>Action Method-20</v>
      </c>
      <c r="O22" s="71">
        <f>IF(ResourceAction[[#This Row],[No]]="id","id",-2+COUNTA($E$1:ResourceAction[[#This Row],[Resource]])+IF(ISNUMBER(VLOOKUP('Table Seed Map'!$A$35,SeedMap[],9,0)),VLOOKUP('Table Seed Map'!$A$35,SeedMap[],9,0),0))</f>
        <v>803320</v>
      </c>
      <c r="P22" s="71">
        <f>IF(ResourceAction[[#This Row],[No]]="id","resource_action",ResourceAction[[#This Row],[No]])</f>
        <v>803220</v>
      </c>
      <c r="Q22" s="48" t="s">
        <v>224</v>
      </c>
      <c r="R22" s="82">
        <f ca="1">IF(ResourceAction[[#This Row],[Resource Name]]="","idn1",IF(ResourceAction[[#This Row],[IDN1]]="","",VLOOKUP(ResourceAction[[#This Row],[IDN1]],IDNMaps[[Display]:[ID]],2,0)))</f>
        <v>800907</v>
      </c>
      <c r="S22" s="82">
        <f ca="1">IF(ResourceAction[[#This Row],[Resource Name]]="","idn2",IF(ResourceAction[[#This Row],[IDN2]]="","",VLOOKUP(ResourceAction[[#This Row],[IDN2]],IDNMaps[[Display]:[ID]],2,0)))</f>
        <v>802701</v>
      </c>
      <c r="T22" s="82" t="str">
        <f>IF(ResourceAction[[#This Row],[Resource Name]]="","idn3",IF(ResourceAction[[#This Row],[IDN3]]="","",VLOOKUP(ResourceAction[[#This Row],[IDN3]],IDNMaps[[Display]:[ID]],2,0)))</f>
        <v/>
      </c>
      <c r="U22" s="82" t="str">
        <f>IF(ResourceAction[[#This Row],[Resource Name]]="","idn4",IF(ResourceAction[[#This Row],[IDN4]]="","",VLOOKUP(ResourceAction[[#This Row],[IDN4]],IDNMaps[[Display]:[ID]],2,0)))</f>
        <v/>
      </c>
      <c r="V22" s="82" t="str">
        <f>IF(ResourceAction[[#This Row],[Resource Name]]="","idn5",IF(ResourceAction[[#This Row],[IDN5]]="","",VLOOKUP(ResourceAction[[#This Row],[IDN5]],IDNMaps[[Display]:[ID]],2,0)))</f>
        <v/>
      </c>
      <c r="W22" s="57" t="s">
        <v>1146</v>
      </c>
      <c r="X22" s="83" t="s">
        <v>1037</v>
      </c>
      <c r="Y22" s="83"/>
      <c r="Z22" s="83"/>
      <c r="AA22" s="83"/>
      <c r="AB22" s="78">
        <f>ResourceAction[No]</f>
        <v>803220</v>
      </c>
    </row>
  </sheetData>
  <dataValidations count="7">
    <dataValidation type="list" allowBlank="1" showInputMessage="1" showErrorMessage="1" sqref="AQ2 AD2:AD16">
      <formula1>ActionsName</formula1>
    </dataValidation>
    <dataValidation type="list" allowBlank="1" showInputMessage="1" showErrorMessage="1" sqref="AF2:AF16">
      <formula1>ListNames</formula1>
    </dataValidation>
    <dataValidation type="list" allowBlank="1" showInputMessage="1" showErrorMessage="1" sqref="AG2:AG16">
      <formula1>DataNames</formula1>
    </dataValidation>
    <dataValidation type="list" allowBlank="1" showInputMessage="1" showErrorMessage="1" sqref="I2:I22">
      <formula1>"primary,secondary,success,danger,warning,info,light,dark,link,outline-primary,outline-secondary,outline-success,outline-danger,outline-warning,outline-info,outline-light,outline-dark"</formula1>
    </dataValidation>
    <dataValidation type="list" allowBlank="1" showInputMessage="1" showErrorMessage="1" sqref="C2:C22">
      <formula1>Resources</formula1>
    </dataValidation>
    <dataValidation type="list" allowBlank="1" showInputMessage="1" showErrorMessage="1" sqref="W2:AA22">
      <formula1>IDNs</formula1>
    </dataValidation>
    <dataValidation type="list" allowBlank="1" showInputMessage="1" showErrorMessage="1" sqref="Q2:Q22">
      <formula1>"type,Method,Dashboard,Form,List,Data,FormWithData,ListRelation,AddRelation,ManageRelation"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19</vt:i4>
      </vt:variant>
    </vt:vector>
  </HeadingPairs>
  <TitlesOfParts>
    <vt:vector size="33" baseType="lpstr">
      <vt:lpstr>Tables</vt:lpstr>
      <vt:lpstr>Fields</vt:lpstr>
      <vt:lpstr>Table Fields</vt:lpstr>
      <vt:lpstr>Table Data</vt:lpstr>
      <vt:lpstr>Table Seed Map</vt:lpstr>
      <vt:lpstr>Seed Statement</vt:lpstr>
      <vt:lpstr>Helper-Resources</vt:lpstr>
      <vt:lpstr>Helper-Relation</vt:lpstr>
      <vt:lpstr>Helper-ResourceAction</vt:lpstr>
      <vt:lpstr>Helper-ResourceForm</vt:lpstr>
      <vt:lpstr>Migration Renamer</vt:lpstr>
      <vt:lpstr>Helper-ResourceList</vt:lpstr>
      <vt:lpstr>Helper-ResourceData</vt:lpstr>
      <vt:lpstr>IDN Maps</vt:lpstr>
      <vt:lpstr>ActionNames</vt:lpstr>
      <vt:lpstr>ActionsName</vt:lpstr>
      <vt:lpstr>ActualTableNames</vt:lpstr>
      <vt:lpstr>AvailableFieldNames</vt:lpstr>
      <vt:lpstr>AvailableFields</vt:lpstr>
      <vt:lpstr>AvailableSeeders</vt:lpstr>
      <vt:lpstr>DataNames</vt:lpstr>
      <vt:lpstr>DataSections</vt:lpstr>
      <vt:lpstr>DC</vt:lpstr>
      <vt:lpstr>FieldDisplayNames</vt:lpstr>
      <vt:lpstr>FormNames</vt:lpstr>
      <vt:lpstr>IDNs</vt:lpstr>
      <vt:lpstr>ListNames</vt:lpstr>
      <vt:lpstr>'Helper-Relation'!Page</vt:lpstr>
      <vt:lpstr>'Helper-Resources'!Page</vt:lpstr>
      <vt:lpstr>Relations</vt:lpstr>
      <vt:lpstr>Resources</vt:lpstr>
      <vt:lpstr>Scopes</vt:lpstr>
      <vt:lpstr>TableNames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Firose Hussain</dc:creator>
  <cp:lastModifiedBy>Shemeer Ul Haq</cp:lastModifiedBy>
  <dcterms:created xsi:type="dcterms:W3CDTF">2018-07-10T07:59:28Z</dcterms:created>
  <dcterms:modified xsi:type="dcterms:W3CDTF">2020-02-06T07:12:20Z</dcterms:modified>
</cp:coreProperties>
</file>