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Task\"/>
    </mc:Choice>
  </mc:AlternateContent>
  <bookViews>
    <workbookView xWindow="0" yWindow="0" windowWidth="20490" windowHeight="7650" tabRatio="758" firstSheet="3" activeTab="11"/>
  </bookViews>
  <sheets>
    <sheet name="Tables" sheetId="1" state="hidden" r:id="rId1"/>
    <sheet name="Fields" sheetId="2" state="hidden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state="hidden" r:id="rId7"/>
    <sheet name="Helper-Relation" sheetId="19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'Helper-Relation'!$F$2:$F$17,'Helper-Relation'!#REF!,'Helper-Relation'!#REF!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V39" i="28" l="1"/>
  <c r="B38" i="27"/>
  <c r="D38" i="27"/>
  <c r="AB38" i="27" s="1"/>
  <c r="S38" i="27"/>
  <c r="T38" i="27"/>
  <c r="U38" i="27"/>
  <c r="V38" i="27"/>
  <c r="AV50" i="28"/>
  <c r="AZ50" i="28"/>
  <c r="BA50" i="28"/>
  <c r="BB50" i="28"/>
  <c r="AV44" i="28"/>
  <c r="AZ44" i="28"/>
  <c r="BA44" i="28"/>
  <c r="BB44" i="28"/>
  <c r="AV46" i="28"/>
  <c r="AV47" i="28"/>
  <c r="AV48" i="28"/>
  <c r="AV49" i="28"/>
  <c r="BB49" i="28"/>
  <c r="BA49" i="28"/>
  <c r="AZ49" i="28"/>
  <c r="BB48" i="28"/>
  <c r="BA48" i="28"/>
  <c r="AZ48" i="28"/>
  <c r="BB47" i="28"/>
  <c r="BA47" i="28"/>
  <c r="BB46" i="28"/>
  <c r="BA46" i="28"/>
  <c r="BB45" i="28"/>
  <c r="BA45" i="28"/>
  <c r="AV45" i="28"/>
  <c r="AN39" i="28"/>
  <c r="AM39" i="28"/>
  <c r="AL39" i="28"/>
  <c r="AN38" i="28"/>
  <c r="AM38" i="28"/>
  <c r="AL38" i="28"/>
  <c r="AH39" i="28"/>
  <c r="AH38" i="28"/>
  <c r="A18" i="28"/>
  <c r="C18" i="28"/>
  <c r="D18" i="28"/>
  <c r="K18" i="28" s="1"/>
  <c r="P11" i="19"/>
  <c r="R11" i="19"/>
  <c r="S11" i="19"/>
  <c r="W21" i="28" s="1"/>
  <c r="P10" i="19"/>
  <c r="R10" i="19"/>
  <c r="S10" i="19"/>
  <c r="B37" i="27"/>
  <c r="D37" i="27"/>
  <c r="AB37" i="27" s="1"/>
  <c r="S37" i="27"/>
  <c r="T37" i="27"/>
  <c r="U37" i="27"/>
  <c r="V37" i="27"/>
  <c r="AV43" i="28"/>
  <c r="AV42" i="28"/>
  <c r="AV41" i="28"/>
  <c r="AV40" i="28"/>
  <c r="AH37" i="28"/>
  <c r="AH36" i="28"/>
  <c r="A17" i="28"/>
  <c r="C17" i="28"/>
  <c r="D17" i="28"/>
  <c r="K17" i="28" s="1"/>
  <c r="AW50" i="28" l="1"/>
  <c r="AW39" i="28"/>
  <c r="P38" i="27"/>
  <c r="P37" i="27"/>
  <c r="BE30" i="9"/>
  <c r="BE31" i="9"/>
  <c r="BE32" i="9"/>
  <c r="BE33" i="9"/>
  <c r="BD30" i="9"/>
  <c r="BD31" i="9"/>
  <c r="BD32" i="9"/>
  <c r="BD33" i="9"/>
  <c r="AH26" i="27" l="1"/>
  <c r="AH27" i="27"/>
  <c r="AI26" i="27"/>
  <c r="AI27" i="27"/>
  <c r="AL26" i="27"/>
  <c r="AL27" i="27"/>
  <c r="AM26" i="27"/>
  <c r="AM27" i="27"/>
  <c r="AO26" i="27"/>
  <c r="AO27" i="27"/>
  <c r="AH25" i="27"/>
  <c r="AI25" i="27"/>
  <c r="AL25" i="27"/>
  <c r="AM25" i="27"/>
  <c r="AO25" i="27"/>
  <c r="B36" i="27"/>
  <c r="D36" i="27"/>
  <c r="P36" i="27" s="1"/>
  <c r="T36" i="27"/>
  <c r="U36" i="27"/>
  <c r="V36" i="27"/>
  <c r="O35" i="9"/>
  <c r="M35" i="9" s="1"/>
  <c r="P35" i="9"/>
  <c r="AE35" i="9"/>
  <c r="AB35" i="9" s="1"/>
  <c r="AJ35" i="9"/>
  <c r="AT35" i="9"/>
  <c r="O34" i="9"/>
  <c r="M34" i="9" s="1"/>
  <c r="P34" i="9"/>
  <c r="AJ34" i="9"/>
  <c r="AT34" i="9"/>
  <c r="O33" i="9"/>
  <c r="M33" i="9" s="1"/>
  <c r="P33" i="9"/>
  <c r="AJ33" i="9"/>
  <c r="AT33" i="9"/>
  <c r="Q35" i="9" l="1"/>
  <c r="AN35" i="9" s="1"/>
  <c r="AB36" i="27"/>
  <c r="BA35" i="9"/>
  <c r="Q34" i="9"/>
  <c r="BF32" i="9" s="1"/>
  <c r="AE34" i="9"/>
  <c r="AB34" i="9" s="1"/>
  <c r="AB33" i="9"/>
  <c r="Q33" i="9"/>
  <c r="BF31" i="9" s="1"/>
  <c r="A23" i="24"/>
  <c r="C23" i="24"/>
  <c r="AD35" i="9" l="1"/>
  <c r="AY35" i="9"/>
  <c r="BF33" i="9"/>
  <c r="AD34" i="9"/>
  <c r="AY34" i="9"/>
  <c r="BA34" i="9"/>
  <c r="AN34" i="9"/>
  <c r="AD33" i="9"/>
  <c r="AY33" i="9"/>
  <c r="BA33" i="9"/>
  <c r="AN33" i="9"/>
  <c r="AV38" i="28"/>
  <c r="AV37" i="28"/>
  <c r="AH24" i="27"/>
  <c r="AI24" i="27"/>
  <c r="AL24" i="27"/>
  <c r="AM24" i="27"/>
  <c r="AO24" i="27"/>
  <c r="C8" i="29"/>
  <c r="B35" i="27"/>
  <c r="D35" i="27"/>
  <c r="AB35" i="27" s="1"/>
  <c r="T35" i="27"/>
  <c r="U35" i="27"/>
  <c r="V35" i="27"/>
  <c r="B34" i="27"/>
  <c r="D34" i="27"/>
  <c r="P34" i="27" s="1"/>
  <c r="S34" i="27"/>
  <c r="T34" i="27"/>
  <c r="U34" i="27"/>
  <c r="V34" i="27"/>
  <c r="AH35" i="28"/>
  <c r="AH34" i="28"/>
  <c r="AH33" i="28"/>
  <c r="A16" i="28"/>
  <c r="C16" i="28"/>
  <c r="D16" i="28"/>
  <c r="K16" i="28" s="1"/>
  <c r="AT32" i="9"/>
  <c r="AJ32" i="9"/>
  <c r="P32" i="9"/>
  <c r="O32" i="9"/>
  <c r="AE32" i="9" s="1"/>
  <c r="AB32" i="9" s="1"/>
  <c r="AT31" i="9"/>
  <c r="AJ31" i="9"/>
  <c r="P31" i="9"/>
  <c r="O31" i="9"/>
  <c r="AE31" i="9" s="1"/>
  <c r="AB31" i="9" s="1"/>
  <c r="AT30" i="9"/>
  <c r="AJ30" i="9"/>
  <c r="P30" i="9"/>
  <c r="O30" i="9"/>
  <c r="AE30" i="9" s="1"/>
  <c r="AB30" i="9" s="1"/>
  <c r="A22" i="24"/>
  <c r="C22" i="24"/>
  <c r="H10" i="14"/>
  <c r="A10" i="14"/>
  <c r="B10" i="14"/>
  <c r="AH23" i="27"/>
  <c r="AI23" i="27"/>
  <c r="AL23" i="27"/>
  <c r="AM23" i="27"/>
  <c r="AH22" i="27"/>
  <c r="AI22" i="27"/>
  <c r="AL22" i="27"/>
  <c r="AM22" i="27"/>
  <c r="AH21" i="27"/>
  <c r="AI21" i="27"/>
  <c r="AL21" i="27"/>
  <c r="AM21" i="27"/>
  <c r="AH20" i="27"/>
  <c r="AI20" i="27"/>
  <c r="AL20" i="27"/>
  <c r="AM20" i="27"/>
  <c r="B33" i="27"/>
  <c r="D33" i="27"/>
  <c r="AB33" i="27" s="1"/>
  <c r="T33" i="27"/>
  <c r="U33" i="27"/>
  <c r="V33" i="27"/>
  <c r="B32" i="27"/>
  <c r="D32" i="27"/>
  <c r="AB32" i="27" s="1"/>
  <c r="T32" i="27"/>
  <c r="U32" i="27"/>
  <c r="V32" i="27"/>
  <c r="B31" i="27"/>
  <c r="D31" i="27"/>
  <c r="AB31" i="27" s="1"/>
  <c r="T31" i="27"/>
  <c r="U31" i="27"/>
  <c r="V31" i="27"/>
  <c r="B30" i="27"/>
  <c r="D30" i="27"/>
  <c r="AB30" i="27" s="1"/>
  <c r="T30" i="27"/>
  <c r="U30" i="27"/>
  <c r="V30" i="27"/>
  <c r="C7" i="29"/>
  <c r="C6" i="29"/>
  <c r="C5" i="29"/>
  <c r="C4" i="29"/>
  <c r="B11" i="9"/>
  <c r="B10" i="9"/>
  <c r="P35" i="27" l="1"/>
  <c r="AB34" i="27"/>
  <c r="Q32" i="9"/>
  <c r="BF30" i="9" s="1"/>
  <c r="Q31" i="9"/>
  <c r="Q30" i="9"/>
  <c r="BA30" i="9" s="1"/>
  <c r="P33" i="27"/>
  <c r="P32" i="27"/>
  <c r="P31" i="27"/>
  <c r="P30" i="27"/>
  <c r="AV8" i="28"/>
  <c r="BA32" i="9" l="1"/>
  <c r="AD32" i="9"/>
  <c r="AY32" i="9"/>
  <c r="AN32" i="9"/>
  <c r="BA31" i="9"/>
  <c r="AD31" i="9"/>
  <c r="AY31" i="9"/>
  <c r="AN31" i="9"/>
  <c r="AY30" i="9"/>
  <c r="AD30" i="9"/>
  <c r="AN30" i="9"/>
  <c r="AH19" i="27"/>
  <c r="AI19" i="27"/>
  <c r="AL19" i="27"/>
  <c r="AM19" i="27"/>
  <c r="B29" i="27"/>
  <c r="D29" i="27"/>
  <c r="U29" i="27"/>
  <c r="V29" i="27"/>
  <c r="A21" i="24"/>
  <c r="C21" i="24"/>
  <c r="AV22" i="28"/>
  <c r="AB29" i="27" l="1"/>
  <c r="P29" i="27"/>
  <c r="P9" i="19"/>
  <c r="R9" i="19"/>
  <c r="S9" i="19"/>
  <c r="AV27" i="28"/>
  <c r="AV17" i="28"/>
  <c r="AV11" i="28"/>
  <c r="AH18" i="27"/>
  <c r="AI18" i="27"/>
  <c r="AL18" i="27"/>
  <c r="AM18" i="27"/>
  <c r="AH17" i="27"/>
  <c r="AI17" i="27"/>
  <c r="AL17" i="27"/>
  <c r="AM17" i="27"/>
  <c r="B28" i="27"/>
  <c r="D28" i="27"/>
  <c r="AB28" i="27" s="1"/>
  <c r="T28" i="27"/>
  <c r="U28" i="27"/>
  <c r="V28" i="27"/>
  <c r="B27" i="27"/>
  <c r="D27" i="27"/>
  <c r="T27" i="27"/>
  <c r="U27" i="27"/>
  <c r="V27" i="27"/>
  <c r="AH16" i="27"/>
  <c r="AI16" i="27"/>
  <c r="AL16" i="27"/>
  <c r="AM16" i="27"/>
  <c r="B26" i="27"/>
  <c r="D26" i="27"/>
  <c r="AB26" i="27" s="1"/>
  <c r="T26" i="27"/>
  <c r="U26" i="27"/>
  <c r="V26" i="27"/>
  <c r="A17" i="19"/>
  <c r="B17" i="19"/>
  <c r="D17" i="19" s="1"/>
  <c r="N17" i="19" s="1"/>
  <c r="C17" i="19"/>
  <c r="T25" i="27"/>
  <c r="U25" i="27"/>
  <c r="V25" i="27"/>
  <c r="S3" i="27"/>
  <c r="T3" i="27"/>
  <c r="U3" i="27"/>
  <c r="V3" i="27"/>
  <c r="S4" i="27"/>
  <c r="T4" i="27"/>
  <c r="U4" i="27"/>
  <c r="V4" i="27"/>
  <c r="S5" i="27"/>
  <c r="T5" i="27"/>
  <c r="U5" i="27"/>
  <c r="V5" i="27"/>
  <c r="S6" i="27"/>
  <c r="T6" i="27"/>
  <c r="U6" i="27"/>
  <c r="V6" i="27"/>
  <c r="T7" i="27"/>
  <c r="U7" i="27"/>
  <c r="V7" i="27"/>
  <c r="T8" i="27"/>
  <c r="U8" i="27"/>
  <c r="V8" i="27"/>
  <c r="S9" i="27"/>
  <c r="T9" i="27"/>
  <c r="U9" i="27"/>
  <c r="V9" i="27"/>
  <c r="S10" i="27"/>
  <c r="T10" i="27"/>
  <c r="U10" i="27"/>
  <c r="V10" i="27"/>
  <c r="T11" i="27"/>
  <c r="U11" i="27"/>
  <c r="V11" i="27"/>
  <c r="T12" i="27"/>
  <c r="U12" i="27"/>
  <c r="V12" i="27"/>
  <c r="T13" i="27"/>
  <c r="U13" i="27"/>
  <c r="V13" i="27"/>
  <c r="S14" i="27"/>
  <c r="T14" i="27"/>
  <c r="U14" i="27"/>
  <c r="V14" i="27"/>
  <c r="S15" i="27"/>
  <c r="T15" i="27"/>
  <c r="U15" i="27"/>
  <c r="V15" i="27"/>
  <c r="S16" i="27"/>
  <c r="T16" i="27"/>
  <c r="U16" i="27"/>
  <c r="V16" i="27"/>
  <c r="S17" i="27"/>
  <c r="T17" i="27"/>
  <c r="U17" i="27"/>
  <c r="V17" i="27"/>
  <c r="T18" i="27"/>
  <c r="U18" i="27"/>
  <c r="V18" i="27"/>
  <c r="T19" i="27"/>
  <c r="U19" i="27"/>
  <c r="V19" i="27"/>
  <c r="S20" i="27"/>
  <c r="T20" i="27"/>
  <c r="U20" i="27"/>
  <c r="V20" i="27"/>
  <c r="T21" i="27"/>
  <c r="U21" i="27"/>
  <c r="V21" i="27"/>
  <c r="T22" i="27"/>
  <c r="U22" i="27"/>
  <c r="V22" i="27"/>
  <c r="S23" i="27"/>
  <c r="T23" i="27"/>
  <c r="U23" i="27"/>
  <c r="V23" i="27"/>
  <c r="S24" i="27"/>
  <c r="T24" i="27"/>
  <c r="U24" i="27"/>
  <c r="V24" i="27"/>
  <c r="B25" i="27"/>
  <c r="D25" i="27"/>
  <c r="AB25" i="27" s="1"/>
  <c r="AV36" i="28"/>
  <c r="AV35" i="28"/>
  <c r="AV34" i="28"/>
  <c r="A15" i="28"/>
  <c r="C15" i="28"/>
  <c r="D15" i="28"/>
  <c r="K15" i="28" s="1"/>
  <c r="H6" i="14"/>
  <c r="A6" i="14"/>
  <c r="B6" i="14"/>
  <c r="P28" i="27" l="1"/>
  <c r="AB27" i="27"/>
  <c r="P27" i="27"/>
  <c r="P26" i="27"/>
  <c r="P25" i="27"/>
  <c r="G17" i="19"/>
  <c r="A20" i="24"/>
  <c r="C20" i="24"/>
  <c r="B13" i="27" l="1"/>
  <c r="D13" i="27"/>
  <c r="P13" i="27" s="1"/>
  <c r="AB13" i="27" l="1"/>
  <c r="AV10" i="28"/>
  <c r="AH10" i="28"/>
  <c r="AH9" i="28"/>
  <c r="A6" i="28"/>
  <c r="C6" i="28"/>
  <c r="D6" i="28"/>
  <c r="K6" i="28" s="1"/>
  <c r="B24" i="27"/>
  <c r="D24" i="27"/>
  <c r="AB24" i="27" s="1"/>
  <c r="AV33" i="28"/>
  <c r="AV32" i="28"/>
  <c r="AH32" i="28"/>
  <c r="AH31" i="28"/>
  <c r="A14" i="28"/>
  <c r="C14" i="28"/>
  <c r="D14" i="28"/>
  <c r="BD12" i="9"/>
  <c r="BE12" i="9"/>
  <c r="O12" i="9"/>
  <c r="AE12" i="9" s="1"/>
  <c r="P12" i="9"/>
  <c r="AJ12" i="9"/>
  <c r="AT12" i="9"/>
  <c r="K14" i="28" l="1"/>
  <c r="P24" i="27"/>
  <c r="AB12" i="9"/>
  <c r="Q12" i="9"/>
  <c r="B23" i="27"/>
  <c r="D23" i="27"/>
  <c r="AB23" i="27" s="1"/>
  <c r="A16" i="19"/>
  <c r="B16" i="19"/>
  <c r="D16" i="19" s="1"/>
  <c r="C16" i="19"/>
  <c r="A15" i="19"/>
  <c r="B15" i="19"/>
  <c r="D15" i="19" s="1"/>
  <c r="C15" i="19"/>
  <c r="A14" i="19"/>
  <c r="B14" i="19"/>
  <c r="D14" i="19" s="1"/>
  <c r="N14" i="19" s="1"/>
  <c r="C14" i="19"/>
  <c r="A13" i="19"/>
  <c r="B13" i="19"/>
  <c r="D13" i="19" s="1"/>
  <c r="N13" i="19" s="1"/>
  <c r="C13" i="19"/>
  <c r="C38" i="3"/>
  <c r="D38" i="3"/>
  <c r="E38" i="3"/>
  <c r="F38" i="3"/>
  <c r="G38" i="3"/>
  <c r="H38" i="3"/>
  <c r="I38" i="3"/>
  <c r="J38" i="3"/>
  <c r="C32" i="3"/>
  <c r="D32" i="3"/>
  <c r="E32" i="3"/>
  <c r="F32" i="3"/>
  <c r="G32" i="3"/>
  <c r="H32" i="3"/>
  <c r="I32" i="3"/>
  <c r="J32" i="3"/>
  <c r="BD29" i="9"/>
  <c r="BE29" i="9"/>
  <c r="BD28" i="9"/>
  <c r="BE28" i="9"/>
  <c r="O29" i="9"/>
  <c r="M32" i="9" s="1"/>
  <c r="P29" i="9"/>
  <c r="AJ29" i="9"/>
  <c r="AT29" i="9"/>
  <c r="C35" i="3"/>
  <c r="D35" i="3"/>
  <c r="E35" i="3"/>
  <c r="F35" i="3"/>
  <c r="G35" i="3"/>
  <c r="H35" i="3"/>
  <c r="I35" i="3"/>
  <c r="J35" i="3"/>
  <c r="O28" i="9"/>
  <c r="M31" i="9" s="1"/>
  <c r="P28" i="9"/>
  <c r="AJ28" i="9"/>
  <c r="AT28" i="9"/>
  <c r="B9" i="9"/>
  <c r="H5" i="14"/>
  <c r="A5" i="14"/>
  <c r="B5" i="14"/>
  <c r="C22" i="3"/>
  <c r="D22" i="3"/>
  <c r="E22" i="3"/>
  <c r="F22" i="3"/>
  <c r="G22" i="3"/>
  <c r="H22" i="3"/>
  <c r="I22" i="3"/>
  <c r="J22" i="3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J24" i="2"/>
  <c r="B48" i="1"/>
  <c r="F48" i="1" s="1"/>
  <c r="C48" i="1"/>
  <c r="E48" i="1" s="1"/>
  <c r="D48" i="1"/>
  <c r="AZ45" i="28" l="1"/>
  <c r="AA22" i="28"/>
  <c r="K22" i="3"/>
  <c r="N15" i="19"/>
  <c r="N16" i="19"/>
  <c r="AD12" i="9"/>
  <c r="AY12" i="9"/>
  <c r="BA12" i="9"/>
  <c r="AN12" i="9"/>
  <c r="P23" i="27"/>
  <c r="G16" i="19"/>
  <c r="G15" i="19"/>
  <c r="G14" i="19"/>
  <c r="G13" i="19"/>
  <c r="K38" i="3"/>
  <c r="K32" i="3"/>
  <c r="Q29" i="9"/>
  <c r="AE29" i="9"/>
  <c r="AB29" i="9" s="1"/>
  <c r="K35" i="3"/>
  <c r="H48" i="1"/>
  <c r="Q28" i="9"/>
  <c r="AE28" i="9"/>
  <c r="AB28" i="9" s="1"/>
  <c r="K37" i="3"/>
  <c r="K36" i="3"/>
  <c r="J48" i="1"/>
  <c r="G48" i="1"/>
  <c r="I48" i="1"/>
  <c r="AV30" i="28"/>
  <c r="AV25" i="28"/>
  <c r="AH30" i="28"/>
  <c r="AH26" i="28"/>
  <c r="AH22" i="28"/>
  <c r="AH19" i="28"/>
  <c r="AH16" i="28"/>
  <c r="AH13" i="28"/>
  <c r="BD27" i="9"/>
  <c r="BE27" i="9"/>
  <c r="BD26" i="9"/>
  <c r="BE26" i="9"/>
  <c r="O27" i="9"/>
  <c r="M30" i="9" s="1"/>
  <c r="P27" i="9"/>
  <c r="AJ27" i="9"/>
  <c r="AT27" i="9"/>
  <c r="AE5" i="29"/>
  <c r="AH5" i="29"/>
  <c r="C27" i="3"/>
  <c r="D27" i="3"/>
  <c r="E27" i="3"/>
  <c r="F27" i="3"/>
  <c r="G27" i="3"/>
  <c r="H27" i="3"/>
  <c r="I27" i="3"/>
  <c r="J27" i="3"/>
  <c r="J18" i="2"/>
  <c r="A19" i="24"/>
  <c r="C19" i="24"/>
  <c r="AH15" i="27"/>
  <c r="AI15" i="27"/>
  <c r="AL15" i="27"/>
  <c r="AM15" i="27"/>
  <c r="AH14" i="27"/>
  <c r="AI14" i="27"/>
  <c r="AL14" i="27"/>
  <c r="AM14" i="27"/>
  <c r="AD29" i="9" l="1"/>
  <c r="AY29" i="9"/>
  <c r="BA29" i="9"/>
  <c r="AN29" i="9"/>
  <c r="AY28" i="9"/>
  <c r="BA28" i="9"/>
  <c r="AN28" i="9"/>
  <c r="AD28" i="9"/>
  <c r="AE27" i="9"/>
  <c r="AB27" i="9" s="1"/>
  <c r="Q27" i="9"/>
  <c r="AD27" i="9" s="1"/>
  <c r="K27" i="3"/>
  <c r="AH13" i="27"/>
  <c r="AI13" i="27"/>
  <c r="AL13" i="27"/>
  <c r="AM13" i="27"/>
  <c r="B22" i="27"/>
  <c r="D22" i="27"/>
  <c r="AB22" i="27" s="1"/>
  <c r="AV31" i="28"/>
  <c r="AV29" i="28"/>
  <c r="AV28" i="28"/>
  <c r="AH29" i="28"/>
  <c r="AH28" i="28"/>
  <c r="A13" i="28"/>
  <c r="C13" i="28"/>
  <c r="D13" i="28"/>
  <c r="AH12" i="27"/>
  <c r="AI12" i="27"/>
  <c r="AL12" i="27"/>
  <c r="AM12" i="27"/>
  <c r="AH11" i="27"/>
  <c r="AI11" i="27"/>
  <c r="AL11" i="27"/>
  <c r="AM11" i="27"/>
  <c r="AV26" i="28"/>
  <c r="AV24" i="28"/>
  <c r="AV23" i="28"/>
  <c r="AH27" i="28"/>
  <c r="A12" i="28"/>
  <c r="C12" i="28"/>
  <c r="D12" i="28"/>
  <c r="B12" i="27"/>
  <c r="D12" i="27"/>
  <c r="P12" i="27" s="1"/>
  <c r="B21" i="27"/>
  <c r="D21" i="27"/>
  <c r="P21" i="27" s="1"/>
  <c r="BK11" i="9"/>
  <c r="BM11" i="9" s="1"/>
  <c r="BD25" i="9"/>
  <c r="BE25" i="9"/>
  <c r="BD24" i="9"/>
  <c r="BE24" i="9"/>
  <c r="BD23" i="9"/>
  <c r="BE23" i="9"/>
  <c r="O26" i="9"/>
  <c r="M29" i="9" s="1"/>
  <c r="P26" i="9"/>
  <c r="AJ26" i="9"/>
  <c r="AT26" i="9"/>
  <c r="O25" i="9"/>
  <c r="M28" i="9" s="1"/>
  <c r="P25" i="9"/>
  <c r="AJ25" i="9"/>
  <c r="AT25" i="9"/>
  <c r="O24" i="9"/>
  <c r="M27" i="9" s="1"/>
  <c r="P24" i="9"/>
  <c r="AJ24" i="9"/>
  <c r="AT24" i="9"/>
  <c r="B8" i="9"/>
  <c r="AH10" i="27"/>
  <c r="AI10" i="27"/>
  <c r="AL10" i="27"/>
  <c r="AM10" i="27"/>
  <c r="AH9" i="27"/>
  <c r="AI9" i="27"/>
  <c r="AL9" i="27"/>
  <c r="AM9" i="27"/>
  <c r="AH8" i="27"/>
  <c r="AI8" i="27"/>
  <c r="AL8" i="27"/>
  <c r="AM8" i="27"/>
  <c r="B20" i="27"/>
  <c r="D20" i="27"/>
  <c r="AB20" i="27" s="1"/>
  <c r="AP10" i="29"/>
  <c r="AR10" i="29"/>
  <c r="AH4" i="29"/>
  <c r="AP9" i="29"/>
  <c r="AR9" i="29"/>
  <c r="AP8" i="29"/>
  <c r="AR8" i="29"/>
  <c r="AP7" i="29"/>
  <c r="AR7" i="29"/>
  <c r="AP6" i="29"/>
  <c r="AR6" i="29"/>
  <c r="AE4" i="29"/>
  <c r="AP5" i="29"/>
  <c r="AR5" i="29"/>
  <c r="AP4" i="29"/>
  <c r="AR4" i="29"/>
  <c r="AP3" i="29"/>
  <c r="AR3" i="29"/>
  <c r="AE3" i="29"/>
  <c r="AH3" i="29"/>
  <c r="AV21" i="28"/>
  <c r="AH25" i="28"/>
  <c r="A12" i="19"/>
  <c r="B12" i="19"/>
  <c r="D12" i="19" s="1"/>
  <c r="C12" i="19"/>
  <c r="AV20" i="28"/>
  <c r="AH24" i="28"/>
  <c r="AH23" i="28"/>
  <c r="P8" i="19"/>
  <c r="R8" i="19"/>
  <c r="S8" i="19"/>
  <c r="A11" i="28"/>
  <c r="C11" i="28"/>
  <c r="D11" i="28"/>
  <c r="K11" i="28" s="1"/>
  <c r="P7" i="19"/>
  <c r="R7" i="19"/>
  <c r="S7" i="19"/>
  <c r="W20" i="28" s="1"/>
  <c r="BD22" i="9"/>
  <c r="BE22" i="9"/>
  <c r="AH7" i="27"/>
  <c r="AI7" i="27"/>
  <c r="AL7" i="27"/>
  <c r="AM7" i="27"/>
  <c r="B19" i="27"/>
  <c r="D19" i="27"/>
  <c r="AB19" i="27" s="1"/>
  <c r="BD21" i="9"/>
  <c r="BE21" i="9"/>
  <c r="BD20" i="9"/>
  <c r="BE20" i="9"/>
  <c r="BD19" i="9"/>
  <c r="BE19" i="9"/>
  <c r="BD18" i="9"/>
  <c r="BE18" i="9"/>
  <c r="O23" i="9"/>
  <c r="Q23" i="9" s="1"/>
  <c r="P23" i="9"/>
  <c r="AJ23" i="9"/>
  <c r="AT23" i="9"/>
  <c r="O22" i="9"/>
  <c r="Q22" i="9" s="1"/>
  <c r="P22" i="9"/>
  <c r="AJ22" i="9"/>
  <c r="AT22" i="9"/>
  <c r="O21" i="9"/>
  <c r="Q21" i="9" s="1"/>
  <c r="P21" i="9"/>
  <c r="AJ21" i="9"/>
  <c r="AT21" i="9"/>
  <c r="O20" i="9"/>
  <c r="P20" i="9"/>
  <c r="AJ20" i="9"/>
  <c r="AT20" i="9"/>
  <c r="O19" i="9"/>
  <c r="AE19" i="9" s="1"/>
  <c r="AB19" i="9" s="1"/>
  <c r="P19" i="9"/>
  <c r="AJ19" i="9"/>
  <c r="AT19" i="9"/>
  <c r="O18" i="9"/>
  <c r="AB18" i="9" s="1"/>
  <c r="P18" i="9"/>
  <c r="AJ18" i="9"/>
  <c r="AT18" i="9"/>
  <c r="O17" i="9"/>
  <c r="P17" i="9"/>
  <c r="AJ17" i="9"/>
  <c r="AT17" i="9"/>
  <c r="B7" i="9"/>
  <c r="N12" i="19" l="1"/>
  <c r="AK39" i="28"/>
  <c r="AA20" i="28"/>
  <c r="AZ47" i="28"/>
  <c r="K12" i="28"/>
  <c r="M20" i="9"/>
  <c r="M23" i="9"/>
  <c r="K13" i="28"/>
  <c r="AY27" i="9"/>
  <c r="BA27" i="9"/>
  <c r="AN27" i="9"/>
  <c r="P22" i="27"/>
  <c r="AB12" i="27"/>
  <c r="AB21" i="27"/>
  <c r="BL11" i="9"/>
  <c r="Q26" i="9"/>
  <c r="AE26" i="9"/>
  <c r="AB26" i="9" s="1"/>
  <c r="Q25" i="9"/>
  <c r="AB25" i="9"/>
  <c r="AB24" i="9"/>
  <c r="Q24" i="9"/>
  <c r="P20" i="27"/>
  <c r="G12" i="19"/>
  <c r="P19" i="27"/>
  <c r="M26" i="9"/>
  <c r="AE23" i="9"/>
  <c r="AB23" i="9" s="1"/>
  <c r="AD23" i="9"/>
  <c r="AY23" i="9"/>
  <c r="AN23" i="9"/>
  <c r="BA23" i="9"/>
  <c r="AE21" i="9"/>
  <c r="AB21" i="9" s="1"/>
  <c r="AD22" i="9"/>
  <c r="BA22" i="9"/>
  <c r="AN22" i="9"/>
  <c r="AY22" i="9"/>
  <c r="M25" i="9"/>
  <c r="AE22" i="9"/>
  <c r="AB22" i="9" s="1"/>
  <c r="AN21" i="9"/>
  <c r="AD21" i="9"/>
  <c r="AY21" i="9"/>
  <c r="BA21" i="9"/>
  <c r="M24" i="9"/>
  <c r="Q20" i="9"/>
  <c r="AE20" i="9"/>
  <c r="AB20" i="9" s="1"/>
  <c r="M22" i="9"/>
  <c r="Q19" i="9"/>
  <c r="M21" i="9"/>
  <c r="Q18" i="9"/>
  <c r="Q17" i="9"/>
  <c r="AB17" i="9"/>
  <c r="BD17" i="9"/>
  <c r="BE17" i="9"/>
  <c r="AH6" i="27"/>
  <c r="AI6" i="27"/>
  <c r="AL6" i="27"/>
  <c r="AM6" i="27"/>
  <c r="B18" i="27"/>
  <c r="D18" i="27"/>
  <c r="AB18" i="27" s="1"/>
  <c r="BD15" i="9"/>
  <c r="BE15" i="9"/>
  <c r="BK10" i="9"/>
  <c r="BL10" i="9" s="1"/>
  <c r="BD16" i="9"/>
  <c r="BE16" i="9"/>
  <c r="O16" i="9"/>
  <c r="M19" i="9" s="1"/>
  <c r="P16" i="9"/>
  <c r="AJ16" i="9"/>
  <c r="AT16" i="9"/>
  <c r="BK9" i="9"/>
  <c r="BM9" i="9" s="1"/>
  <c r="BD14" i="9"/>
  <c r="BE14" i="9"/>
  <c r="BD13" i="9"/>
  <c r="BE13" i="9"/>
  <c r="O15" i="9"/>
  <c r="P15" i="9"/>
  <c r="AJ15" i="9"/>
  <c r="AT15" i="9"/>
  <c r="O14" i="9"/>
  <c r="M17" i="9" s="1"/>
  <c r="P14" i="9"/>
  <c r="AJ14" i="9"/>
  <c r="AT14" i="9"/>
  <c r="O13" i="9"/>
  <c r="M13" i="9" s="1"/>
  <c r="P13" i="9"/>
  <c r="AJ13" i="9"/>
  <c r="AT13" i="9"/>
  <c r="B6" i="9"/>
  <c r="C3" i="29"/>
  <c r="B17" i="27"/>
  <c r="D17" i="27"/>
  <c r="B16" i="27"/>
  <c r="D16" i="27"/>
  <c r="B15" i="27"/>
  <c r="D15" i="27"/>
  <c r="P15" i="27" s="1"/>
  <c r="B14" i="27"/>
  <c r="D14" i="27"/>
  <c r="AB14" i="27" s="1"/>
  <c r="AV19" i="28"/>
  <c r="AV18" i="28"/>
  <c r="AV16" i="28"/>
  <c r="AV15" i="28"/>
  <c r="AV14" i="28"/>
  <c r="AV13" i="28"/>
  <c r="AH21" i="28"/>
  <c r="AH20" i="28"/>
  <c r="AH18" i="28"/>
  <c r="AH17" i="28"/>
  <c r="AH15" i="28"/>
  <c r="AH14" i="28"/>
  <c r="A10" i="28"/>
  <c r="C10" i="28"/>
  <c r="D10" i="28"/>
  <c r="A9" i="28"/>
  <c r="C9" i="28"/>
  <c r="D9" i="28"/>
  <c r="K9" i="28" s="1"/>
  <c r="A8" i="28"/>
  <c r="C8" i="28"/>
  <c r="D8" i="28"/>
  <c r="K8" i="28" s="1"/>
  <c r="AV12" i="28"/>
  <c r="AH12" i="28"/>
  <c r="AH11" i="28"/>
  <c r="A11" i="19"/>
  <c r="B11" i="19"/>
  <c r="D11" i="19" s="1"/>
  <c r="C11" i="19"/>
  <c r="A7" i="28"/>
  <c r="C7" i="28"/>
  <c r="D7" i="28"/>
  <c r="AH5" i="27"/>
  <c r="AI5" i="27"/>
  <c r="AL5" i="27"/>
  <c r="AM5" i="27"/>
  <c r="B11" i="27"/>
  <c r="D11" i="27"/>
  <c r="AB11" i="27" s="1"/>
  <c r="A8" i="19"/>
  <c r="B8" i="19"/>
  <c r="D8" i="19" s="1"/>
  <c r="N8" i="19" s="1"/>
  <c r="C8" i="19"/>
  <c r="BD11" i="9"/>
  <c r="BE11" i="9"/>
  <c r="O11" i="9"/>
  <c r="AE11" i="9" s="1"/>
  <c r="AB11" i="9" s="1"/>
  <c r="P11" i="9"/>
  <c r="AJ11" i="9"/>
  <c r="AT11" i="9"/>
  <c r="AZ46" i="28" l="1"/>
  <c r="AA21" i="28"/>
  <c r="AK38" i="28"/>
  <c r="M16" i="9"/>
  <c r="AE15" i="9"/>
  <c r="AB15" i="9" s="1"/>
  <c r="M15" i="9"/>
  <c r="K10" i="28"/>
  <c r="N11" i="19"/>
  <c r="AD26" i="9"/>
  <c r="AY26" i="9"/>
  <c r="BA26" i="9"/>
  <c r="AN26" i="9"/>
  <c r="AD25" i="9"/>
  <c r="AY25" i="9"/>
  <c r="BA25" i="9"/>
  <c r="AN25" i="9"/>
  <c r="AD24" i="9"/>
  <c r="AY24" i="9"/>
  <c r="BA24" i="9"/>
  <c r="AN24" i="9"/>
  <c r="K7" i="28"/>
  <c r="AD20" i="9"/>
  <c r="AY20" i="9"/>
  <c r="BA20" i="9"/>
  <c r="AN20" i="9"/>
  <c r="AD19" i="9"/>
  <c r="BA19" i="9"/>
  <c r="AN19" i="9"/>
  <c r="AY19" i="9"/>
  <c r="BA18" i="9"/>
  <c r="AN18" i="9"/>
  <c r="AD18" i="9"/>
  <c r="AY18" i="9"/>
  <c r="AD17" i="9"/>
  <c r="AY17" i="9"/>
  <c r="BA17" i="9"/>
  <c r="AN17" i="9"/>
  <c r="P18" i="27"/>
  <c r="Q15" i="9"/>
  <c r="AD15" i="9" s="1"/>
  <c r="BM10" i="9"/>
  <c r="M18" i="9"/>
  <c r="Q16" i="9"/>
  <c r="AE16" i="9"/>
  <c r="AB16" i="9" s="1"/>
  <c r="BL9" i="9"/>
  <c r="Q14" i="9"/>
  <c r="AB14" i="9"/>
  <c r="AB13" i="9"/>
  <c r="Q13" i="9"/>
  <c r="AB17" i="27"/>
  <c r="P17" i="27"/>
  <c r="AB16" i="27"/>
  <c r="P16" i="27"/>
  <c r="AB15" i="27"/>
  <c r="P14" i="27"/>
  <c r="G11" i="19"/>
  <c r="P11" i="27"/>
  <c r="G8" i="19"/>
  <c r="M14" i="9"/>
  <c r="Q11" i="9"/>
  <c r="M12" i="9"/>
  <c r="M11" i="9"/>
  <c r="C21" i="3"/>
  <c r="D21" i="3"/>
  <c r="E21" i="3"/>
  <c r="F21" i="3"/>
  <c r="G21" i="3"/>
  <c r="H21" i="3"/>
  <c r="I21" i="3"/>
  <c r="J21" i="3"/>
  <c r="B10" i="27"/>
  <c r="D10" i="27"/>
  <c r="AB10" i="27" s="1"/>
  <c r="B9" i="27"/>
  <c r="D9" i="27"/>
  <c r="AB9" i="27" s="1"/>
  <c r="AV9" i="28"/>
  <c r="AV7" i="28"/>
  <c r="AH8" i="28"/>
  <c r="AH7" i="28"/>
  <c r="A5" i="28"/>
  <c r="C5" i="28"/>
  <c r="D5" i="28"/>
  <c r="K5" i="28" s="1"/>
  <c r="BK8" i="9"/>
  <c r="BL8" i="9" s="1"/>
  <c r="BD10" i="9"/>
  <c r="BE10" i="9"/>
  <c r="BD9" i="9"/>
  <c r="BE9" i="9"/>
  <c r="O10" i="9"/>
  <c r="AE10" i="9" s="1"/>
  <c r="AB10" i="9" s="1"/>
  <c r="P10" i="9"/>
  <c r="AJ10" i="9"/>
  <c r="AT10" i="9"/>
  <c r="O9" i="9"/>
  <c r="M9" i="9" s="1"/>
  <c r="P9" i="9"/>
  <c r="AJ9" i="9"/>
  <c r="AT9" i="9"/>
  <c r="B5" i="9"/>
  <c r="AH4" i="27"/>
  <c r="AI4" i="27"/>
  <c r="AL4" i="27"/>
  <c r="AM4" i="27"/>
  <c r="B8" i="27"/>
  <c r="D8" i="27"/>
  <c r="AB8" i="27" s="1"/>
  <c r="AH3" i="27"/>
  <c r="AI3" i="27"/>
  <c r="AL3" i="27"/>
  <c r="AM3" i="27"/>
  <c r="B7" i="27"/>
  <c r="D7" i="27"/>
  <c r="P7" i="27" s="1"/>
  <c r="AY15" i="9" l="1"/>
  <c r="BA15" i="9"/>
  <c r="AN15" i="9"/>
  <c r="AD16" i="9"/>
  <c r="AY16" i="9"/>
  <c r="BA16" i="9"/>
  <c r="AN16" i="9"/>
  <c r="AD14" i="9"/>
  <c r="AY14" i="9"/>
  <c r="BA14" i="9"/>
  <c r="AN14" i="9"/>
  <c r="AD13" i="9"/>
  <c r="AY13" i="9"/>
  <c r="BA13" i="9"/>
  <c r="AN13" i="9"/>
  <c r="AD11" i="9"/>
  <c r="AY11" i="9"/>
  <c r="BA11" i="9"/>
  <c r="AN11" i="9"/>
  <c r="K21" i="3"/>
  <c r="P10" i="27"/>
  <c r="P9" i="27"/>
  <c r="BM8" i="9"/>
  <c r="M10" i="9"/>
  <c r="Q10" i="9"/>
  <c r="AE9" i="9"/>
  <c r="AB9" i="9" s="1"/>
  <c r="Q9" i="9"/>
  <c r="AD9" i="9" s="1"/>
  <c r="P8" i="27"/>
  <c r="AB7" i="27"/>
  <c r="BK7" i="9"/>
  <c r="BL7" i="9" s="1"/>
  <c r="BK6" i="9"/>
  <c r="BL6" i="9" s="1"/>
  <c r="BK5" i="9"/>
  <c r="BL5" i="9" s="1"/>
  <c r="BK4" i="9"/>
  <c r="BL4" i="9" s="1"/>
  <c r="BK3" i="9"/>
  <c r="BL3" i="9" s="1"/>
  <c r="AV6" i="28"/>
  <c r="AV5" i="28"/>
  <c r="AH6" i="28"/>
  <c r="AH5" i="28"/>
  <c r="A4" i="28"/>
  <c r="C4" i="28"/>
  <c r="D4" i="28"/>
  <c r="B6" i="27"/>
  <c r="D6" i="27"/>
  <c r="AB6" i="27" s="1"/>
  <c r="B5" i="27"/>
  <c r="D5" i="27"/>
  <c r="AB5" i="27" s="1"/>
  <c r="BD8" i="9"/>
  <c r="BE8" i="9"/>
  <c r="BD7" i="9"/>
  <c r="BE7" i="9"/>
  <c r="BD6" i="9"/>
  <c r="BE6" i="9"/>
  <c r="O8" i="9"/>
  <c r="M8" i="9" s="1"/>
  <c r="P8" i="9"/>
  <c r="AJ8" i="9"/>
  <c r="AT8" i="9"/>
  <c r="O7" i="9"/>
  <c r="AE7" i="9" s="1"/>
  <c r="AB7" i="9" s="1"/>
  <c r="P7" i="9"/>
  <c r="AJ7" i="9"/>
  <c r="AT7" i="9"/>
  <c r="O6" i="9"/>
  <c r="AE6" i="9" s="1"/>
  <c r="AB6" i="9" s="1"/>
  <c r="P6" i="9"/>
  <c r="AJ6" i="9"/>
  <c r="AT6" i="9"/>
  <c r="B4" i="9"/>
  <c r="B4" i="27"/>
  <c r="D4" i="27"/>
  <c r="AB4" i="27" s="1"/>
  <c r="AV4" i="28"/>
  <c r="AV3" i="28"/>
  <c r="AH4" i="28"/>
  <c r="AH3" i="28"/>
  <c r="A3" i="28"/>
  <c r="C3" i="28"/>
  <c r="D3" i="28"/>
  <c r="K3" i="28" s="1"/>
  <c r="H9" i="14"/>
  <c r="H8" i="14"/>
  <c r="H7" i="14"/>
  <c r="H4" i="14"/>
  <c r="H3" i="14"/>
  <c r="K4" i="28" l="1"/>
  <c r="AD10" i="9"/>
  <c r="AY10" i="9"/>
  <c r="BA10" i="9"/>
  <c r="AN10" i="9"/>
  <c r="BA9" i="9"/>
  <c r="AN9" i="9"/>
  <c r="AY9" i="9"/>
  <c r="BM7" i="9"/>
  <c r="BM6" i="9"/>
  <c r="BM5" i="9"/>
  <c r="BM4" i="9"/>
  <c r="BM3" i="9"/>
  <c r="P6" i="27"/>
  <c r="P5" i="27"/>
  <c r="AE8" i="9"/>
  <c r="AB8" i="9" s="1"/>
  <c r="Q8" i="9"/>
  <c r="AY8" i="9" s="1"/>
  <c r="M7" i="9"/>
  <c r="Q7" i="9"/>
  <c r="M6" i="9"/>
  <c r="Q6" i="9"/>
  <c r="P4" i="27"/>
  <c r="B3" i="27"/>
  <c r="D3" i="27"/>
  <c r="BD5" i="9"/>
  <c r="BE5" i="9"/>
  <c r="BD4" i="9"/>
  <c r="BE4" i="9"/>
  <c r="BD3" i="9"/>
  <c r="BE3" i="9"/>
  <c r="O5" i="9"/>
  <c r="Q5" i="9" s="1"/>
  <c r="P5" i="9"/>
  <c r="AJ5" i="9"/>
  <c r="AT5" i="9"/>
  <c r="O4" i="9"/>
  <c r="AE4" i="9" s="1"/>
  <c r="AB4" i="9" s="1"/>
  <c r="P4" i="9"/>
  <c r="AJ4" i="9"/>
  <c r="AT4" i="9"/>
  <c r="O3" i="9"/>
  <c r="AE3" i="9" s="1"/>
  <c r="AB3" i="9" s="1"/>
  <c r="P3" i="9"/>
  <c r="AJ3" i="9"/>
  <c r="AT3" i="9"/>
  <c r="B3" i="9"/>
  <c r="P6" i="19"/>
  <c r="R6" i="19"/>
  <c r="S6" i="19"/>
  <c r="P5" i="19"/>
  <c r="R5" i="19"/>
  <c r="S5" i="19"/>
  <c r="AN8" i="9" l="1"/>
  <c r="AD8" i="9"/>
  <c r="BA8" i="9"/>
  <c r="AE5" i="9"/>
  <c r="AB5" i="9" s="1"/>
  <c r="BA7" i="9"/>
  <c r="AN7" i="9"/>
  <c r="AD7" i="9"/>
  <c r="AY7" i="9"/>
  <c r="AD6" i="9"/>
  <c r="AY6" i="9"/>
  <c r="BA6" i="9"/>
  <c r="AN6" i="9"/>
  <c r="Q4" i="9"/>
  <c r="AD4" i="9" s="1"/>
  <c r="M5" i="9"/>
  <c r="AB3" i="27"/>
  <c r="P3" i="27"/>
  <c r="AD5" i="9"/>
  <c r="AY5" i="9"/>
  <c r="BA5" i="9"/>
  <c r="AN5" i="9"/>
  <c r="M4" i="9"/>
  <c r="M3" i="9"/>
  <c r="Q3" i="9"/>
  <c r="P4" i="19"/>
  <c r="R4" i="19"/>
  <c r="S4" i="19"/>
  <c r="P3" i="19"/>
  <c r="R3" i="19"/>
  <c r="S3" i="19"/>
  <c r="A10" i="19"/>
  <c r="B10" i="19"/>
  <c r="D10" i="19" s="1"/>
  <c r="N10" i="19" s="1"/>
  <c r="C10" i="19"/>
  <c r="A9" i="19"/>
  <c r="B9" i="19"/>
  <c r="D9" i="19" s="1"/>
  <c r="N9" i="19" s="1"/>
  <c r="C9" i="19"/>
  <c r="A7" i="19"/>
  <c r="B7" i="19"/>
  <c r="D7" i="19" s="1"/>
  <c r="N7" i="19" s="1"/>
  <c r="C7" i="19"/>
  <c r="A6" i="19"/>
  <c r="B6" i="19"/>
  <c r="D6" i="19" s="1"/>
  <c r="N6" i="19" s="1"/>
  <c r="C6" i="19"/>
  <c r="A5" i="19"/>
  <c r="B5" i="19"/>
  <c r="D5" i="19" s="1"/>
  <c r="N5" i="19" s="1"/>
  <c r="C5" i="19"/>
  <c r="A4" i="19"/>
  <c r="B4" i="19"/>
  <c r="D4" i="19" s="1"/>
  <c r="N4" i="19" s="1"/>
  <c r="C4" i="19"/>
  <c r="A3" i="19"/>
  <c r="B3" i="19"/>
  <c r="D3" i="19" s="1"/>
  <c r="N3" i="19" s="1"/>
  <c r="C3" i="19"/>
  <c r="L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AY4" i="9" l="1"/>
  <c r="AN4" i="9"/>
  <c r="BA4" i="9"/>
  <c r="AY3" i="9"/>
  <c r="BA3" i="9"/>
  <c r="AN3" i="9"/>
  <c r="AD3" i="9"/>
  <c r="G10" i="19"/>
  <c r="G9" i="19"/>
  <c r="G7" i="19"/>
  <c r="G6" i="19"/>
  <c r="G5" i="19"/>
  <c r="G4" i="19"/>
  <c r="G3" i="19"/>
  <c r="A15" i="24"/>
  <c r="A16" i="24"/>
  <c r="A17" i="24"/>
  <c r="A18" i="24"/>
  <c r="C15" i="24"/>
  <c r="C16" i="24"/>
  <c r="C17" i="24"/>
  <c r="C18" i="24"/>
  <c r="A14" i="24"/>
  <c r="C14" i="24"/>
  <c r="A13" i="24"/>
  <c r="C13" i="24"/>
  <c r="A12" i="24"/>
  <c r="C12" i="24"/>
  <c r="A11" i="24"/>
  <c r="C11" i="24"/>
  <c r="A10" i="24"/>
  <c r="C10" i="24"/>
  <c r="A9" i="24"/>
  <c r="C9" i="24"/>
  <c r="C45" i="21"/>
  <c r="J44" i="21"/>
  <c r="J45" i="21"/>
  <c r="J46" i="21"/>
  <c r="J47" i="21"/>
  <c r="J48" i="21"/>
  <c r="A8" i="24"/>
  <c r="C8" i="24"/>
  <c r="A2" i="24"/>
  <c r="A3" i="24"/>
  <c r="A4" i="24"/>
  <c r="A5" i="24"/>
  <c r="A6" i="24"/>
  <c r="A7" i="24"/>
  <c r="C2" i="24"/>
  <c r="C3" i="24"/>
  <c r="C4" i="24"/>
  <c r="C5" i="24"/>
  <c r="C6" i="24"/>
  <c r="C7" i="24"/>
  <c r="A3" i="14" l="1"/>
  <c r="A4" i="14"/>
  <c r="A7" i="14"/>
  <c r="A8" i="14"/>
  <c r="A9" i="14"/>
  <c r="B3" i="14"/>
  <c r="B4" i="14"/>
  <c r="B7" i="14"/>
  <c r="B8" i="14"/>
  <c r="B9" i="14"/>
  <c r="C34" i="3"/>
  <c r="D34" i="3"/>
  <c r="E34" i="3"/>
  <c r="F34" i="3"/>
  <c r="G34" i="3"/>
  <c r="H34" i="3"/>
  <c r="I34" i="3"/>
  <c r="J34" i="3"/>
  <c r="C28" i="3"/>
  <c r="C29" i="3"/>
  <c r="C30" i="3"/>
  <c r="C31" i="3"/>
  <c r="C33" i="3"/>
  <c r="D28" i="3"/>
  <c r="D29" i="3"/>
  <c r="D30" i="3"/>
  <c r="D31" i="3"/>
  <c r="D33" i="3"/>
  <c r="E28" i="3"/>
  <c r="E29" i="3"/>
  <c r="E30" i="3"/>
  <c r="E31" i="3"/>
  <c r="E33" i="3"/>
  <c r="F28" i="3"/>
  <c r="F29" i="3"/>
  <c r="F30" i="3"/>
  <c r="F31" i="3"/>
  <c r="F33" i="3"/>
  <c r="G28" i="3"/>
  <c r="G29" i="3"/>
  <c r="G30" i="3"/>
  <c r="G31" i="3"/>
  <c r="G33" i="3"/>
  <c r="H28" i="3"/>
  <c r="H29" i="3"/>
  <c r="H30" i="3"/>
  <c r="H31" i="3"/>
  <c r="H33" i="3"/>
  <c r="I28" i="3"/>
  <c r="I29" i="3"/>
  <c r="I30" i="3"/>
  <c r="I31" i="3"/>
  <c r="I33" i="3"/>
  <c r="J28" i="3"/>
  <c r="J29" i="3"/>
  <c r="J30" i="3"/>
  <c r="J31" i="3"/>
  <c r="J33" i="3"/>
  <c r="C26" i="3"/>
  <c r="D26" i="3"/>
  <c r="E26" i="3"/>
  <c r="F26" i="3"/>
  <c r="G26" i="3"/>
  <c r="H26" i="3"/>
  <c r="I26" i="3"/>
  <c r="J26" i="3"/>
  <c r="C25" i="3"/>
  <c r="D25" i="3"/>
  <c r="E25" i="3"/>
  <c r="F25" i="3"/>
  <c r="G25" i="3"/>
  <c r="H25" i="3"/>
  <c r="I25" i="3"/>
  <c r="J25" i="3"/>
  <c r="C24" i="3"/>
  <c r="D24" i="3"/>
  <c r="E24" i="3"/>
  <c r="F24" i="3"/>
  <c r="G24" i="3"/>
  <c r="H24" i="3"/>
  <c r="I24" i="3"/>
  <c r="J24" i="3"/>
  <c r="C23" i="3"/>
  <c r="D23" i="3"/>
  <c r="E23" i="3"/>
  <c r="F23" i="3"/>
  <c r="G23" i="3"/>
  <c r="H23" i="3"/>
  <c r="I23" i="3"/>
  <c r="J23" i="3"/>
  <c r="C15" i="3"/>
  <c r="C16" i="3"/>
  <c r="C17" i="3"/>
  <c r="C18" i="3"/>
  <c r="C19" i="3"/>
  <c r="C20" i="3"/>
  <c r="D15" i="3"/>
  <c r="D16" i="3"/>
  <c r="D17" i="3"/>
  <c r="D18" i="3"/>
  <c r="D19" i="3"/>
  <c r="D20" i="3"/>
  <c r="E15" i="3"/>
  <c r="E16" i="3"/>
  <c r="E17" i="3"/>
  <c r="E18" i="3"/>
  <c r="E19" i="3"/>
  <c r="E20" i="3"/>
  <c r="F15" i="3"/>
  <c r="F16" i="3"/>
  <c r="F17" i="3"/>
  <c r="F18" i="3"/>
  <c r="F19" i="3"/>
  <c r="F20" i="3"/>
  <c r="G15" i="3"/>
  <c r="G16" i="3"/>
  <c r="G17" i="3"/>
  <c r="G18" i="3"/>
  <c r="G19" i="3"/>
  <c r="G20" i="3"/>
  <c r="H15" i="3"/>
  <c r="H16" i="3"/>
  <c r="H17" i="3"/>
  <c r="H18" i="3"/>
  <c r="H19" i="3"/>
  <c r="H20" i="3"/>
  <c r="I15" i="3"/>
  <c r="I16" i="3"/>
  <c r="I17" i="3"/>
  <c r="I18" i="3"/>
  <c r="I19" i="3"/>
  <c r="I20" i="3"/>
  <c r="J15" i="3"/>
  <c r="J16" i="3"/>
  <c r="J17" i="3"/>
  <c r="J18" i="3"/>
  <c r="J19" i="3"/>
  <c r="J20" i="3"/>
  <c r="C14" i="3"/>
  <c r="D14" i="3"/>
  <c r="E14" i="3"/>
  <c r="F14" i="3"/>
  <c r="G14" i="3"/>
  <c r="H14" i="3"/>
  <c r="I14" i="3"/>
  <c r="J14" i="3"/>
  <c r="C13" i="3"/>
  <c r="D13" i="3"/>
  <c r="E13" i="3"/>
  <c r="F13" i="3"/>
  <c r="G13" i="3"/>
  <c r="H13" i="3"/>
  <c r="I13" i="3"/>
  <c r="J13" i="3"/>
  <c r="C12" i="3"/>
  <c r="D12" i="3"/>
  <c r="E12" i="3"/>
  <c r="F12" i="3"/>
  <c r="G12" i="3"/>
  <c r="H12" i="3"/>
  <c r="I12" i="3"/>
  <c r="J12" i="3"/>
  <c r="C11" i="3"/>
  <c r="D11" i="3"/>
  <c r="E11" i="3"/>
  <c r="F11" i="3"/>
  <c r="G11" i="3"/>
  <c r="H11" i="3"/>
  <c r="I11" i="3"/>
  <c r="J11" i="3"/>
  <c r="C10" i="3"/>
  <c r="D10" i="3"/>
  <c r="E10" i="3"/>
  <c r="F10" i="3"/>
  <c r="G10" i="3"/>
  <c r="H10" i="3"/>
  <c r="I10" i="3"/>
  <c r="J10" i="3"/>
  <c r="C9" i="3"/>
  <c r="D9" i="3"/>
  <c r="E9" i="3"/>
  <c r="F9" i="3"/>
  <c r="G9" i="3"/>
  <c r="H9" i="3"/>
  <c r="I9" i="3"/>
  <c r="J9" i="3"/>
  <c r="C8" i="3"/>
  <c r="D8" i="3"/>
  <c r="E8" i="3"/>
  <c r="F8" i="3"/>
  <c r="G8" i="3"/>
  <c r="H8" i="3"/>
  <c r="I8" i="3"/>
  <c r="J8" i="3"/>
  <c r="C7" i="3"/>
  <c r="D7" i="3"/>
  <c r="E7" i="3"/>
  <c r="F7" i="3"/>
  <c r="G7" i="3"/>
  <c r="H7" i="3"/>
  <c r="I7" i="3"/>
  <c r="J7" i="3"/>
  <c r="C6" i="3"/>
  <c r="D6" i="3"/>
  <c r="E6" i="3"/>
  <c r="F6" i="3"/>
  <c r="G6" i="3"/>
  <c r="H6" i="3"/>
  <c r="I6" i="3"/>
  <c r="J6" i="3"/>
  <c r="C5" i="3"/>
  <c r="D5" i="3"/>
  <c r="E5" i="3"/>
  <c r="F5" i="3"/>
  <c r="G5" i="3"/>
  <c r="H5" i="3"/>
  <c r="I5" i="3"/>
  <c r="J5" i="3"/>
  <c r="C4" i="3"/>
  <c r="D4" i="3"/>
  <c r="E4" i="3"/>
  <c r="F4" i="3"/>
  <c r="G4" i="3"/>
  <c r="H4" i="3"/>
  <c r="I4" i="3"/>
  <c r="J4" i="3"/>
  <c r="C3" i="3"/>
  <c r="D3" i="3"/>
  <c r="E3" i="3"/>
  <c r="F3" i="3"/>
  <c r="G3" i="3"/>
  <c r="H3" i="3"/>
  <c r="I3" i="3"/>
  <c r="J3" i="3"/>
  <c r="C2" i="3"/>
  <c r="D2" i="3"/>
  <c r="E2" i="3"/>
  <c r="F2" i="3"/>
  <c r="G2" i="3"/>
  <c r="H2" i="3"/>
  <c r="I2" i="3"/>
  <c r="J2" i="3"/>
  <c r="J23" i="2"/>
  <c r="J22" i="2"/>
  <c r="J21" i="2"/>
  <c r="J20" i="2"/>
  <c r="J19" i="2"/>
  <c r="J17" i="2"/>
  <c r="J16" i="2"/>
  <c r="J15" i="2"/>
  <c r="J14" i="2"/>
  <c r="J11" i="2"/>
  <c r="J12" i="2"/>
  <c r="J13" i="2"/>
  <c r="J10" i="2"/>
  <c r="J9" i="2"/>
  <c r="J8" i="2"/>
  <c r="J7" i="2"/>
  <c r="J6" i="2"/>
  <c r="J5" i="2"/>
  <c r="K30" i="3" l="1"/>
  <c r="K34" i="3"/>
  <c r="K29" i="3"/>
  <c r="K33" i="3"/>
  <c r="K31" i="3"/>
  <c r="K28" i="3"/>
  <c r="K26" i="3"/>
  <c r="K25" i="3"/>
  <c r="K24" i="3"/>
  <c r="K19" i="3"/>
  <c r="K15" i="3"/>
  <c r="K23" i="3"/>
  <c r="K17" i="3"/>
  <c r="K20" i="3"/>
  <c r="K18" i="3"/>
  <c r="K16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51" i="1" l="1"/>
  <c r="F51" i="1" s="1"/>
  <c r="C51" i="1"/>
  <c r="E51" i="1" s="1"/>
  <c r="D48" i="21" s="1"/>
  <c r="D51" i="1"/>
  <c r="C48" i="21" s="1"/>
  <c r="B50" i="1"/>
  <c r="F50" i="1" s="1"/>
  <c r="C50" i="1"/>
  <c r="E50" i="1" s="1"/>
  <c r="D47" i="21" s="1"/>
  <c r="D50" i="1"/>
  <c r="C47" i="21" s="1"/>
  <c r="B49" i="1"/>
  <c r="F49" i="1" s="1"/>
  <c r="C49" i="1"/>
  <c r="E49" i="1" s="1"/>
  <c r="D46" i="21" s="1"/>
  <c r="D49" i="1"/>
  <c r="C46" i="21" s="1"/>
  <c r="D46" i="1"/>
  <c r="C44" i="21" s="1"/>
  <c r="D47" i="1"/>
  <c r="B47" i="1"/>
  <c r="F47" i="1" s="1"/>
  <c r="C47" i="1"/>
  <c r="E47" i="1" s="1"/>
  <c r="D45" i="21" s="1"/>
  <c r="DD2" i="9"/>
  <c r="EC2" i="9"/>
  <c r="EB2" i="9"/>
  <c r="AH2" i="29"/>
  <c r="AE2" i="29"/>
  <c r="BK2" i="9"/>
  <c r="BM2" i="9" s="1"/>
  <c r="CF2" i="9"/>
  <c r="CG2" i="9" s="1"/>
  <c r="BE2" i="9"/>
  <c r="BD2" i="9"/>
  <c r="S2" i="19"/>
  <c r="J2" i="21"/>
  <c r="C4" i="21"/>
  <c r="D4" i="21"/>
  <c r="J4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AH2" i="28"/>
  <c r="AF39" i="28" s="1"/>
  <c r="AR2" i="29"/>
  <c r="AP2" i="29"/>
  <c r="V2" i="14"/>
  <c r="AM2" i="27"/>
  <c r="AL2" i="27"/>
  <c r="AI2" i="27"/>
  <c r="AH2" i="27"/>
  <c r="O2" i="9"/>
  <c r="M2" i="9" s="1"/>
  <c r="J2" i="2"/>
  <c r="J3" i="2"/>
  <c r="J4" i="2"/>
  <c r="H46" i="1"/>
  <c r="C46" i="1"/>
  <c r="E46" i="1" s="1"/>
  <c r="D44" i="21" s="1"/>
  <c r="D2" i="27"/>
  <c r="O2" i="27" s="1"/>
  <c r="U2" i="14"/>
  <c r="T2" i="14"/>
  <c r="C39" i="21"/>
  <c r="Z2" i="14"/>
  <c r="Y2" i="14"/>
  <c r="X2" i="14"/>
  <c r="W2" i="14"/>
  <c r="D20" i="21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C43" i="26"/>
  <c r="C44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V2" i="27"/>
  <c r="U2" i="27"/>
  <c r="T2" i="27"/>
  <c r="S2" i="27"/>
  <c r="R2" i="27"/>
  <c r="J2" i="31"/>
  <c r="J3" i="31" s="1"/>
  <c r="J4" i="31" s="1"/>
  <c r="E6" i="31"/>
  <c r="AT44" i="28" l="1"/>
  <c r="AT50" i="28"/>
  <c r="AT45" i="28"/>
  <c r="AT46" i="28"/>
  <c r="AT47" i="28"/>
  <c r="AT48" i="28"/>
  <c r="AT49" i="28"/>
  <c r="AF37" i="28"/>
  <c r="AF38" i="28"/>
  <c r="AT42" i="28"/>
  <c r="AT43" i="28"/>
  <c r="AT40" i="28"/>
  <c r="AT41" i="28"/>
  <c r="AF35" i="28"/>
  <c r="AF36" i="28"/>
  <c r="AT38" i="28"/>
  <c r="AT39" i="28"/>
  <c r="AT8" i="28"/>
  <c r="AT37" i="28"/>
  <c r="AF33" i="28"/>
  <c r="AF34" i="28"/>
  <c r="AT27" i="28"/>
  <c r="AT22" i="28"/>
  <c r="AT11" i="28"/>
  <c r="AT17" i="28"/>
  <c r="AT35" i="28"/>
  <c r="AT36" i="28"/>
  <c r="AT10" i="28"/>
  <c r="AT34" i="28"/>
  <c r="AF9" i="28"/>
  <c r="AF10" i="28"/>
  <c r="AT32" i="28"/>
  <c r="AT33" i="28"/>
  <c r="AF31" i="28"/>
  <c r="AF32" i="28"/>
  <c r="AT25" i="28"/>
  <c r="AT30" i="28"/>
  <c r="AF26" i="28"/>
  <c r="AF30" i="28"/>
  <c r="AF19" i="28"/>
  <c r="AF22" i="28"/>
  <c r="AF13" i="28"/>
  <c r="AF16" i="28"/>
  <c r="AT31" i="28"/>
  <c r="AT28" i="28"/>
  <c r="AT29" i="28"/>
  <c r="AF28" i="28"/>
  <c r="AF29" i="28"/>
  <c r="AT24" i="28"/>
  <c r="AT26" i="28"/>
  <c r="AT23" i="28"/>
  <c r="AF25" i="28"/>
  <c r="AF27" i="28"/>
  <c r="AT20" i="28"/>
  <c r="AT21" i="28"/>
  <c r="AT19" i="28"/>
  <c r="AF23" i="28"/>
  <c r="AF24" i="28"/>
  <c r="AT16" i="28"/>
  <c r="AT18" i="28"/>
  <c r="AT14" i="28"/>
  <c r="AT15" i="28"/>
  <c r="AT12" i="28"/>
  <c r="AT13" i="28"/>
  <c r="AF20" i="28"/>
  <c r="AF21" i="28"/>
  <c r="AF17" i="28"/>
  <c r="AF18" i="28"/>
  <c r="AF14" i="28"/>
  <c r="AF15" i="28"/>
  <c r="AF11" i="28"/>
  <c r="AF12" i="28"/>
  <c r="H50" i="1"/>
  <c r="AT7" i="28"/>
  <c r="AT9" i="28"/>
  <c r="AF7" i="28"/>
  <c r="AF8" i="28"/>
  <c r="AT5" i="28"/>
  <c r="AT6" i="28"/>
  <c r="AF5" i="28"/>
  <c r="AF6" i="28"/>
  <c r="AT3" i="28"/>
  <c r="AT4" i="28"/>
  <c r="AF3" i="28"/>
  <c r="AF4" i="28"/>
  <c r="H51" i="1"/>
  <c r="J51" i="1"/>
  <c r="G51" i="1"/>
  <c r="I51" i="1"/>
  <c r="J49" i="1"/>
  <c r="I49" i="1"/>
  <c r="J50" i="1"/>
  <c r="G50" i="1"/>
  <c r="I50" i="1"/>
  <c r="H49" i="1"/>
  <c r="G49" i="1"/>
  <c r="H47" i="1"/>
  <c r="J47" i="1"/>
  <c r="I47" i="1"/>
  <c r="G47" i="1"/>
  <c r="BL2" i="9"/>
  <c r="CI2" i="9"/>
  <c r="AE2" i="9"/>
  <c r="AB2" i="9" s="1"/>
  <c r="AA35" i="9" s="1"/>
  <c r="P2" i="27"/>
  <c r="Q2" i="9"/>
  <c r="I46" i="1"/>
  <c r="J46" i="1"/>
  <c r="F46" i="1"/>
  <c r="G46" i="1"/>
  <c r="H2" i="19"/>
  <c r="G2" i="19"/>
  <c r="J5" i="31"/>
  <c r="AO2" i="27"/>
  <c r="AK2" i="27"/>
  <c r="AT2" i="27"/>
  <c r="AS2" i="27"/>
  <c r="AR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J2" i="27"/>
  <c r="AN2" i="27"/>
  <c r="B2" i="27"/>
  <c r="AT2" i="9"/>
  <c r="AJ2" i="9"/>
  <c r="AL35" i="9" s="1"/>
  <c r="P2" i="9"/>
  <c r="BF12" i="9" s="1"/>
  <c r="B2" i="9"/>
  <c r="C2" i="19"/>
  <c r="A2" i="14"/>
  <c r="C10" i="14" s="1"/>
  <c r="D10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I39" i="28" l="1"/>
  <c r="AW44" i="28"/>
  <c r="AW46" i="28"/>
  <c r="AI38" i="28"/>
  <c r="AW45" i="28"/>
  <c r="AW47" i="28"/>
  <c r="N20" i="28"/>
  <c r="AW48" i="28"/>
  <c r="N21" i="28"/>
  <c r="AW49" i="28"/>
  <c r="N22" i="28"/>
  <c r="AW42" i="28"/>
  <c r="AW41" i="28"/>
  <c r="N19" i="28"/>
  <c r="AC19" i="28" s="1"/>
  <c r="AW40" i="28"/>
  <c r="AI36" i="28"/>
  <c r="AW43" i="28"/>
  <c r="N18" i="28"/>
  <c r="AC18" i="28" s="1"/>
  <c r="N17" i="28"/>
  <c r="AB17" i="28" s="1"/>
  <c r="AI37" i="28"/>
  <c r="BB41" i="28"/>
  <c r="AL37" i="28"/>
  <c r="AN36" i="28"/>
  <c r="AA19" i="28"/>
  <c r="AZ42" i="28"/>
  <c r="AM37" i="28"/>
  <c r="BA42" i="28"/>
  <c r="AN37" i="28"/>
  <c r="AK37" i="28"/>
  <c r="BB42" i="28"/>
  <c r="AZ40" i="28"/>
  <c r="AZ43" i="28"/>
  <c r="BA40" i="28"/>
  <c r="BA41" i="28"/>
  <c r="BA43" i="28"/>
  <c r="BB40" i="28"/>
  <c r="AK36" i="28"/>
  <c r="BB43" i="28"/>
  <c r="AZ41" i="28"/>
  <c r="AL36" i="28"/>
  <c r="AM36" i="28"/>
  <c r="AD19" i="28"/>
  <c r="AA18" i="28"/>
  <c r="AA17" i="28"/>
  <c r="AM35" i="28"/>
  <c r="AK33" i="28"/>
  <c r="BA39" i="28"/>
  <c r="AM33" i="28"/>
  <c r="AZ39" i="28"/>
  <c r="AZ37" i="28"/>
  <c r="AN35" i="28"/>
  <c r="AL33" i="28"/>
  <c r="BA37" i="28"/>
  <c r="BB39" i="28"/>
  <c r="BB37" i="28"/>
  <c r="AK34" i="28"/>
  <c r="AN33" i="28"/>
  <c r="AN34" i="28"/>
  <c r="AL34" i="28"/>
  <c r="BA38" i="28"/>
  <c r="BB38" i="28"/>
  <c r="AZ38" i="28"/>
  <c r="AM34" i="28"/>
  <c r="AK35" i="28"/>
  <c r="AL35" i="28"/>
  <c r="BA8" i="28"/>
  <c r="BB8" i="28"/>
  <c r="AZ8" i="28"/>
  <c r="AA16" i="28"/>
  <c r="W17" i="28"/>
  <c r="W18" i="28"/>
  <c r="W14" i="28"/>
  <c r="AE24" i="27"/>
  <c r="AJ24" i="27" s="1"/>
  <c r="AE26" i="27"/>
  <c r="AE27" i="27"/>
  <c r="AE25" i="27"/>
  <c r="AI34" i="28"/>
  <c r="AI35" i="28"/>
  <c r="AW37" i="28"/>
  <c r="AW38" i="28"/>
  <c r="AI33" i="28"/>
  <c r="AK24" i="27"/>
  <c r="AK27" i="27"/>
  <c r="AK26" i="27"/>
  <c r="AK25" i="27"/>
  <c r="AV33" i="9"/>
  <c r="AU33" i="9" s="1"/>
  <c r="AV34" i="9"/>
  <c r="AV35" i="9"/>
  <c r="AC35" i="9"/>
  <c r="AF35" i="9"/>
  <c r="AG35" i="9"/>
  <c r="Z35" i="9"/>
  <c r="AH35" i="9"/>
  <c r="AI35" i="9"/>
  <c r="AK35" i="9"/>
  <c r="AM35" i="9"/>
  <c r="AA33" i="9"/>
  <c r="AF33" i="9" s="1"/>
  <c r="AA34" i="9"/>
  <c r="AL33" i="9"/>
  <c r="AK33" i="9" s="1"/>
  <c r="AL34" i="9"/>
  <c r="AL32" i="9"/>
  <c r="AL30" i="9"/>
  <c r="AL31" i="9"/>
  <c r="AV32" i="9"/>
  <c r="AV31" i="9"/>
  <c r="AV30" i="9"/>
  <c r="AA32" i="9"/>
  <c r="AA31" i="9"/>
  <c r="AA30" i="9"/>
  <c r="M10" i="14"/>
  <c r="E35" i="27"/>
  <c r="E16" i="28"/>
  <c r="E8" i="29"/>
  <c r="F10" i="9"/>
  <c r="E34" i="27"/>
  <c r="AO20" i="27"/>
  <c r="AO22" i="27"/>
  <c r="AO23" i="27"/>
  <c r="AO21" i="27"/>
  <c r="AE19" i="27"/>
  <c r="AJ19" i="27" s="1"/>
  <c r="AE21" i="27"/>
  <c r="AE23" i="27"/>
  <c r="AE22" i="27"/>
  <c r="AE20" i="27"/>
  <c r="AK21" i="27"/>
  <c r="AK20" i="27"/>
  <c r="AK22" i="27"/>
  <c r="AK23" i="27"/>
  <c r="AO19" i="27"/>
  <c r="AO16" i="27"/>
  <c r="AO17" i="27"/>
  <c r="AO18" i="27"/>
  <c r="AL12" i="9"/>
  <c r="AK12" i="9" s="1"/>
  <c r="AV12" i="9"/>
  <c r="AU12" i="9" s="1"/>
  <c r="AA12" i="9"/>
  <c r="AI12" i="9" s="1"/>
  <c r="AW8" i="28"/>
  <c r="N16" i="28"/>
  <c r="AK19" i="27"/>
  <c r="AE16" i="27"/>
  <c r="AN16" i="27" s="1"/>
  <c r="AE18" i="27"/>
  <c r="AE17" i="27"/>
  <c r="AZ22" i="28"/>
  <c r="BA22" i="28"/>
  <c r="BB22" i="28"/>
  <c r="BB27" i="28"/>
  <c r="BA17" i="28"/>
  <c r="AA15" i="28"/>
  <c r="BB17" i="28"/>
  <c r="BA27" i="28"/>
  <c r="BA11" i="28"/>
  <c r="BB11" i="28"/>
  <c r="AA11" i="28"/>
  <c r="AZ27" i="28"/>
  <c r="AZ17" i="28"/>
  <c r="AA13" i="28"/>
  <c r="AZ11" i="28"/>
  <c r="AA12" i="28"/>
  <c r="AW27" i="28"/>
  <c r="N15" i="28"/>
  <c r="AW22" i="28"/>
  <c r="N14" i="28"/>
  <c r="N13" i="28"/>
  <c r="W13" i="28" s="1"/>
  <c r="U13" i="28" s="1"/>
  <c r="N12" i="28"/>
  <c r="N11" i="28"/>
  <c r="W11" i="28" s="1"/>
  <c r="U11" i="28" s="1"/>
  <c r="W8" i="28"/>
  <c r="AW11" i="28"/>
  <c r="AW17" i="28"/>
  <c r="AK17" i="27"/>
  <c r="AK18" i="27"/>
  <c r="AK16" i="27"/>
  <c r="BA36" i="28"/>
  <c r="BA34" i="28"/>
  <c r="AZ36" i="28"/>
  <c r="BB36" i="28"/>
  <c r="BB34" i="28"/>
  <c r="AZ35" i="28"/>
  <c r="BA35" i="28"/>
  <c r="BB35" i="28"/>
  <c r="AZ34" i="28"/>
  <c r="AM10" i="28"/>
  <c r="AL9" i="28"/>
  <c r="BB10" i="28"/>
  <c r="AL10" i="28"/>
  <c r="AN10" i="28"/>
  <c r="BA10" i="28"/>
  <c r="AM9" i="28"/>
  <c r="AN9" i="28"/>
  <c r="AK10" i="28"/>
  <c r="BB33" i="28"/>
  <c r="AM32" i="28"/>
  <c r="AM31" i="28"/>
  <c r="AZ33" i="28"/>
  <c r="AL32" i="28"/>
  <c r="AK31" i="28"/>
  <c r="AZ32" i="28"/>
  <c r="AK9" i="28"/>
  <c r="AK32" i="28"/>
  <c r="AN32" i="28"/>
  <c r="AN31" i="28"/>
  <c r="BA32" i="28"/>
  <c r="AZ10" i="28"/>
  <c r="BA33" i="28"/>
  <c r="BB32" i="28"/>
  <c r="AL31" i="28"/>
  <c r="AW10" i="28"/>
  <c r="AW34" i="28"/>
  <c r="AW35" i="28"/>
  <c r="AW36" i="28"/>
  <c r="C5" i="14"/>
  <c r="D5" i="14" s="1"/>
  <c r="E23" i="27" s="1"/>
  <c r="C6" i="14"/>
  <c r="D6" i="14" s="1"/>
  <c r="AI9" i="28"/>
  <c r="AI10" i="28"/>
  <c r="AI32" i="28"/>
  <c r="AI31" i="28"/>
  <c r="AW33" i="28"/>
  <c r="AW32" i="28"/>
  <c r="AL29" i="9"/>
  <c r="BF29" i="9"/>
  <c r="BF28" i="9"/>
  <c r="AN16" i="28"/>
  <c r="AZ30" i="28"/>
  <c r="AK30" i="28"/>
  <c r="AN26" i="28"/>
  <c r="AL19" i="28"/>
  <c r="AK13" i="28"/>
  <c r="AN30" i="28"/>
  <c r="AM26" i="28"/>
  <c r="BA30" i="28"/>
  <c r="AL30" i="28"/>
  <c r="AM19" i="28"/>
  <c r="AL22" i="28"/>
  <c r="AZ25" i="28"/>
  <c r="AK16" i="28"/>
  <c r="BA25" i="28"/>
  <c r="AN22" i="28"/>
  <c r="BB30" i="28"/>
  <c r="AM30" i="28"/>
  <c r="AK22" i="28"/>
  <c r="AN19" i="28"/>
  <c r="AL13" i="28"/>
  <c r="AM13" i="28"/>
  <c r="AM22" i="28"/>
  <c r="AN13" i="28"/>
  <c r="AK26" i="28"/>
  <c r="AL16" i="28"/>
  <c r="BB25" i="28"/>
  <c r="AL26" i="28"/>
  <c r="AM16" i="28"/>
  <c r="AK19" i="28"/>
  <c r="AL5" i="29"/>
  <c r="BA29" i="28"/>
  <c r="AN29" i="28"/>
  <c r="BB21" i="28"/>
  <c r="BB29" i="28"/>
  <c r="AZ26" i="28"/>
  <c r="BA23" i="28"/>
  <c r="AV9" i="29"/>
  <c r="AL28" i="28"/>
  <c r="BA26" i="28"/>
  <c r="BB23" i="28"/>
  <c r="AV6" i="29"/>
  <c r="AL25" i="28"/>
  <c r="AN27" i="28"/>
  <c r="AZ21" i="28"/>
  <c r="AZ29" i="28"/>
  <c r="AM29" i="28"/>
  <c r="AV7" i="29"/>
  <c r="AZ31" i="28"/>
  <c r="BA28" i="28"/>
  <c r="AM28" i="28"/>
  <c r="BB26" i="28"/>
  <c r="AM25" i="28"/>
  <c r="BB31" i="28"/>
  <c r="AM27" i="28"/>
  <c r="BB24" i="28"/>
  <c r="BA21" i="28"/>
  <c r="BA31" i="28"/>
  <c r="BB28" i="28"/>
  <c r="AN28" i="28"/>
  <c r="AL27" i="28"/>
  <c r="AV10" i="29"/>
  <c r="AV8" i="29"/>
  <c r="AN25" i="28"/>
  <c r="AZ24" i="28"/>
  <c r="AL4" i="29"/>
  <c r="AL29" i="28"/>
  <c r="BA24" i="28"/>
  <c r="AV5" i="29"/>
  <c r="AA9" i="28"/>
  <c r="Z4" i="29"/>
  <c r="AK27" i="28"/>
  <c r="AK25" i="28"/>
  <c r="AZ23" i="28"/>
  <c r="AZ28" i="28"/>
  <c r="AL3" i="29"/>
  <c r="AA10" i="28"/>
  <c r="AV4" i="29"/>
  <c r="AK28" i="28"/>
  <c r="AK29" i="28"/>
  <c r="AV3" i="29"/>
  <c r="AA28" i="9"/>
  <c r="AI28" i="9" s="1"/>
  <c r="AA29" i="9"/>
  <c r="AV28" i="9"/>
  <c r="AU28" i="9" s="1"/>
  <c r="AV29" i="9"/>
  <c r="AL27" i="9"/>
  <c r="AM27" i="9" s="1"/>
  <c r="AL28" i="9"/>
  <c r="AW25" i="28"/>
  <c r="AW30" i="28"/>
  <c r="AI26" i="28"/>
  <c r="AI30" i="28"/>
  <c r="AI19" i="28"/>
  <c r="AI22" i="28"/>
  <c r="AI13" i="28"/>
  <c r="AI16" i="28"/>
  <c r="AK15" i="27"/>
  <c r="AK14" i="27"/>
  <c r="AW28" i="28"/>
  <c r="N10" i="28"/>
  <c r="AW31" i="28"/>
  <c r="AI29" i="28"/>
  <c r="AI28" i="28"/>
  <c r="AW29" i="28"/>
  <c r="AK13" i="27"/>
  <c r="BF26" i="9"/>
  <c r="BF27" i="9"/>
  <c r="BF23" i="9"/>
  <c r="BN11" i="9"/>
  <c r="BF24" i="9"/>
  <c r="BF25" i="9"/>
  <c r="AA26" i="9"/>
  <c r="AF26" i="9" s="1"/>
  <c r="AA27" i="9"/>
  <c r="AV26" i="9"/>
  <c r="AW26" i="9" s="1"/>
  <c r="AV27" i="9"/>
  <c r="AO15" i="27"/>
  <c r="AO14" i="27"/>
  <c r="AO10" i="27"/>
  <c r="AO11" i="27"/>
  <c r="AO13" i="27"/>
  <c r="AO8" i="27"/>
  <c r="AO12" i="27"/>
  <c r="AO9" i="27"/>
  <c r="AE13" i="27"/>
  <c r="AJ13" i="27" s="1"/>
  <c r="AE15" i="27"/>
  <c r="AE14" i="27"/>
  <c r="N9" i="28"/>
  <c r="AK11" i="27"/>
  <c r="AW24" i="28"/>
  <c r="AW26" i="28"/>
  <c r="AW23" i="28"/>
  <c r="AK12" i="27"/>
  <c r="AI27" i="28"/>
  <c r="AE11" i="27"/>
  <c r="AJ11" i="27" s="1"/>
  <c r="AE12" i="27"/>
  <c r="AK8" i="27"/>
  <c r="AK9" i="27"/>
  <c r="AK10" i="27"/>
  <c r="AL26" i="9"/>
  <c r="AV25" i="9"/>
  <c r="AU25" i="9" s="1"/>
  <c r="AA25" i="9"/>
  <c r="AG25" i="9" s="1"/>
  <c r="AL24" i="9"/>
  <c r="AK24" i="9" s="1"/>
  <c r="AL25" i="9"/>
  <c r="BF22" i="9"/>
  <c r="AV23" i="9"/>
  <c r="AW23" i="9" s="1"/>
  <c r="AV24" i="9"/>
  <c r="AA23" i="9"/>
  <c r="AG23" i="9" s="1"/>
  <c r="AA24" i="9"/>
  <c r="AE10" i="27"/>
  <c r="AE8" i="27"/>
  <c r="AE9" i="27"/>
  <c r="AO5" i="27"/>
  <c r="AO7" i="27"/>
  <c r="AO6" i="27"/>
  <c r="AE7" i="27"/>
  <c r="AJ7" i="27" s="1"/>
  <c r="N7" i="28"/>
  <c r="AC7" i="28" s="1"/>
  <c r="N8" i="28"/>
  <c r="AI23" i="28"/>
  <c r="AW20" i="28"/>
  <c r="AW21" i="28"/>
  <c r="AI25" i="28"/>
  <c r="AI24" i="28"/>
  <c r="AK23" i="28"/>
  <c r="BA20" i="28"/>
  <c r="AL23" i="28"/>
  <c r="BB20" i="28"/>
  <c r="AK24" i="28"/>
  <c r="AM23" i="28"/>
  <c r="AL24" i="28"/>
  <c r="AN23" i="28"/>
  <c r="AM24" i="28"/>
  <c r="AN24" i="28"/>
  <c r="AZ20" i="28"/>
  <c r="AZ14" i="28"/>
  <c r="AM21" i="28"/>
  <c r="AM18" i="28"/>
  <c r="AL15" i="28"/>
  <c r="AL11" i="28"/>
  <c r="AZ16" i="28"/>
  <c r="BA14" i="28"/>
  <c r="AN21" i="28"/>
  <c r="AN18" i="28"/>
  <c r="AM15" i="28"/>
  <c r="BA12" i="28"/>
  <c r="AM11" i="28"/>
  <c r="BB18" i="28"/>
  <c r="AL18" i="28"/>
  <c r="AA7" i="28"/>
  <c r="AZ19" i="28"/>
  <c r="BA16" i="28"/>
  <c r="BB14" i="28"/>
  <c r="AN15" i="28"/>
  <c r="BB12" i="28"/>
  <c r="AN11" i="28"/>
  <c r="AL21" i="28"/>
  <c r="BA19" i="28"/>
  <c r="BB16" i="28"/>
  <c r="AL20" i="28"/>
  <c r="AK17" i="28"/>
  <c r="BB19" i="28"/>
  <c r="BA13" i="28"/>
  <c r="AM20" i="28"/>
  <c r="AL17" i="28"/>
  <c r="AL14" i="28"/>
  <c r="AL12" i="28"/>
  <c r="BA15" i="28"/>
  <c r="BB13" i="28"/>
  <c r="AN20" i="28"/>
  <c r="AM17" i="28"/>
  <c r="AM14" i="28"/>
  <c r="AM12" i="28"/>
  <c r="BA18" i="28"/>
  <c r="BB15" i="28"/>
  <c r="AN17" i="28"/>
  <c r="AN14" i="28"/>
  <c r="AN12" i="28"/>
  <c r="AK11" i="28"/>
  <c r="AA6" i="28"/>
  <c r="AZ15" i="28"/>
  <c r="AA5" i="28"/>
  <c r="AK15" i="28"/>
  <c r="AK18" i="28"/>
  <c r="AK21" i="28"/>
  <c r="AZ12" i="28"/>
  <c r="AK12" i="28"/>
  <c r="AZ13" i="28"/>
  <c r="Z3" i="29"/>
  <c r="AZ18" i="28"/>
  <c r="AK14" i="28"/>
  <c r="AK20" i="28"/>
  <c r="W7" i="28"/>
  <c r="AW13" i="28"/>
  <c r="AI17" i="28"/>
  <c r="N6" i="28"/>
  <c r="AI21" i="28"/>
  <c r="AW14" i="28"/>
  <c r="AW16" i="28"/>
  <c r="AK6" i="27"/>
  <c r="AW15" i="28"/>
  <c r="N4" i="28"/>
  <c r="AI14" i="28"/>
  <c r="AW19" i="28"/>
  <c r="N5" i="28"/>
  <c r="AI18" i="28"/>
  <c r="AW18" i="28"/>
  <c r="AK7" i="27"/>
  <c r="AI15" i="28"/>
  <c r="AI20" i="28"/>
  <c r="W4" i="28"/>
  <c r="W5" i="28"/>
  <c r="W3" i="28"/>
  <c r="W6" i="28"/>
  <c r="AE5" i="27"/>
  <c r="AJ5" i="27" s="1"/>
  <c r="AE6" i="27"/>
  <c r="BF17" i="9"/>
  <c r="BF19" i="9"/>
  <c r="BF21" i="9"/>
  <c r="BF18" i="9"/>
  <c r="BF20" i="9"/>
  <c r="AL22" i="9"/>
  <c r="AK22" i="9" s="1"/>
  <c r="AL23" i="9"/>
  <c r="AV21" i="9"/>
  <c r="AU21" i="9" s="1"/>
  <c r="AV22" i="9"/>
  <c r="AA21" i="9"/>
  <c r="AG21" i="9" s="1"/>
  <c r="AA22" i="9"/>
  <c r="AL20" i="9"/>
  <c r="AM20" i="9" s="1"/>
  <c r="AL21" i="9"/>
  <c r="AV19" i="9"/>
  <c r="AU19" i="9" s="1"/>
  <c r="AV20" i="9"/>
  <c r="AA19" i="9"/>
  <c r="AG19" i="9" s="1"/>
  <c r="AA20" i="9"/>
  <c r="AL18" i="9"/>
  <c r="AM18" i="9" s="1"/>
  <c r="AL19" i="9"/>
  <c r="AV17" i="9"/>
  <c r="AU17" i="9" s="1"/>
  <c r="AV18" i="9"/>
  <c r="AA17" i="9"/>
  <c r="AC17" i="9" s="1"/>
  <c r="AA18" i="9"/>
  <c r="AL16" i="9"/>
  <c r="AM16" i="9" s="1"/>
  <c r="AL17" i="9"/>
  <c r="BF15" i="9"/>
  <c r="BF16" i="9"/>
  <c r="BN10" i="9"/>
  <c r="AV15" i="9"/>
  <c r="AW15" i="9" s="1"/>
  <c r="AV16" i="9"/>
  <c r="AA15" i="9"/>
  <c r="AF15" i="9" s="1"/>
  <c r="AA16" i="9"/>
  <c r="BF14" i="9"/>
  <c r="BF13" i="9"/>
  <c r="BN9" i="9"/>
  <c r="AL14" i="9"/>
  <c r="AK14" i="9" s="1"/>
  <c r="AL15" i="9"/>
  <c r="AA13" i="9"/>
  <c r="AC13" i="9" s="1"/>
  <c r="AA14" i="9"/>
  <c r="AV11" i="9"/>
  <c r="AW11" i="9" s="1"/>
  <c r="AV14" i="9"/>
  <c r="AV13" i="9"/>
  <c r="AL11" i="9"/>
  <c r="AM11" i="9" s="1"/>
  <c r="AL13" i="9"/>
  <c r="BF11" i="9"/>
  <c r="AK5" i="27"/>
  <c r="AI11" i="28"/>
  <c r="N3" i="28"/>
  <c r="AD3" i="28" s="1"/>
  <c r="AI12" i="28"/>
  <c r="AW12" i="28"/>
  <c r="AA3" i="28"/>
  <c r="AI2" i="29"/>
  <c r="AO3" i="27"/>
  <c r="AO4" i="27"/>
  <c r="AI8" i="28"/>
  <c r="AI7" i="28"/>
  <c r="AW9" i="28"/>
  <c r="AW7" i="28"/>
  <c r="BA9" i="28"/>
  <c r="AK8" i="28"/>
  <c r="AN7" i="28"/>
  <c r="AM7" i="28"/>
  <c r="BB9" i="28"/>
  <c r="AL8" i="28"/>
  <c r="AM8" i="28"/>
  <c r="AK7" i="28"/>
  <c r="AZ7" i="28"/>
  <c r="AN8" i="28"/>
  <c r="BA7" i="28"/>
  <c r="BB7" i="28"/>
  <c r="AL7" i="28"/>
  <c r="AZ9" i="28"/>
  <c r="BB6" i="28"/>
  <c r="AM6" i="28"/>
  <c r="AZ4" i="28"/>
  <c r="AK4" i="28"/>
  <c r="AN3" i="28"/>
  <c r="AK3" i="28"/>
  <c r="AN6" i="28"/>
  <c r="BA4" i="28"/>
  <c r="AL4" i="28"/>
  <c r="AM4" i="28"/>
  <c r="AZ3" i="28"/>
  <c r="BA6" i="28"/>
  <c r="AZ5" i="28"/>
  <c r="BB4" i="28"/>
  <c r="BA3" i="28"/>
  <c r="AM3" i="28"/>
  <c r="BA5" i="28"/>
  <c r="AK5" i="28"/>
  <c r="AN4" i="28"/>
  <c r="AL5" i="28"/>
  <c r="BB3" i="28"/>
  <c r="BB5" i="28"/>
  <c r="AM5" i="28"/>
  <c r="AL3" i="28"/>
  <c r="AZ6" i="28"/>
  <c r="AK6" i="28"/>
  <c r="AN5" i="28"/>
  <c r="AL6" i="28"/>
  <c r="AA11" i="9"/>
  <c r="BF10" i="9"/>
  <c r="BF9" i="9"/>
  <c r="BN8" i="9"/>
  <c r="AA10" i="9"/>
  <c r="AF10" i="9" s="1"/>
  <c r="AE3" i="27"/>
  <c r="AN3" i="27" s="1"/>
  <c r="AE4" i="27"/>
  <c r="AK4" i="27"/>
  <c r="AK3" i="27"/>
  <c r="AW5" i="28"/>
  <c r="AI5" i="28"/>
  <c r="AW6" i="28"/>
  <c r="AI6" i="28"/>
  <c r="AV10" i="9"/>
  <c r="AV8" i="9"/>
  <c r="AV9" i="9"/>
  <c r="AV7" i="9"/>
  <c r="AL9" i="9"/>
  <c r="AM9" i="9" s="1"/>
  <c r="AL10" i="9"/>
  <c r="AA8" i="9"/>
  <c r="AC8" i="9" s="1"/>
  <c r="AA9" i="9"/>
  <c r="BN6" i="9"/>
  <c r="BF8" i="9"/>
  <c r="BN5" i="9"/>
  <c r="BN4" i="9"/>
  <c r="BF7" i="9"/>
  <c r="BN7" i="9"/>
  <c r="BN3" i="9"/>
  <c r="BF6" i="9"/>
  <c r="R2" i="9"/>
  <c r="AX2" i="9" s="1"/>
  <c r="AW3" i="28"/>
  <c r="AI4" i="28"/>
  <c r="AW4" i="28"/>
  <c r="AI3" i="28"/>
  <c r="AL7" i="9"/>
  <c r="AK7" i="9" s="1"/>
  <c r="AL8" i="9"/>
  <c r="AA6" i="9"/>
  <c r="Z6" i="9" s="1"/>
  <c r="AA7" i="9"/>
  <c r="BF2" i="9"/>
  <c r="BF5" i="9"/>
  <c r="BF3" i="9"/>
  <c r="BF4" i="9"/>
  <c r="AL6" i="9"/>
  <c r="AL5" i="9"/>
  <c r="AL4" i="9"/>
  <c r="AV6" i="9"/>
  <c r="AV4" i="9"/>
  <c r="AV5" i="9"/>
  <c r="AA4" i="9"/>
  <c r="AF4" i="9" s="1"/>
  <c r="AA5" i="9"/>
  <c r="AV2" i="9"/>
  <c r="AU2" i="9" s="1"/>
  <c r="AV3" i="9"/>
  <c r="AL2" i="9"/>
  <c r="AK2" i="9" s="1"/>
  <c r="AL3" i="9"/>
  <c r="AA2" i="9"/>
  <c r="AI2" i="9" s="1"/>
  <c r="AA3" i="9"/>
  <c r="C9" i="14"/>
  <c r="D9" i="14" s="1"/>
  <c r="C3" i="14"/>
  <c r="D3" i="14" s="1"/>
  <c r="E22" i="27" s="1"/>
  <c r="C4" i="14"/>
  <c r="D4" i="14" s="1"/>
  <c r="E31" i="27" s="1"/>
  <c r="C7" i="14"/>
  <c r="D7" i="14" s="1"/>
  <c r="M7" i="14" s="1"/>
  <c r="C8" i="14"/>
  <c r="D8" i="14" s="1"/>
  <c r="AY2" i="9"/>
  <c r="BA2" i="9"/>
  <c r="E2" i="27"/>
  <c r="E2" i="28"/>
  <c r="E2" i="29"/>
  <c r="F2" i="9"/>
  <c r="AD2" i="9"/>
  <c r="AN2" i="9"/>
  <c r="C2" i="14"/>
  <c r="DQ2" i="9"/>
  <c r="DE2" i="9"/>
  <c r="J6" i="31"/>
  <c r="AB2" i="27"/>
  <c r="AA2" i="28"/>
  <c r="AD2" i="28"/>
  <c r="AC2" i="28"/>
  <c r="AB2" i="28"/>
  <c r="K2" i="28"/>
  <c r="CA2" i="9"/>
  <c r="CB2" i="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8" i="28" l="1"/>
  <c r="E17" i="28"/>
  <c r="E33" i="27"/>
  <c r="E37" i="27"/>
  <c r="E38" i="27"/>
  <c r="AD20" i="28"/>
  <c r="AB20" i="28"/>
  <c r="Z20" i="28"/>
  <c r="AC20" i="28"/>
  <c r="V20" i="28"/>
  <c r="AD22" i="28"/>
  <c r="W22" i="28"/>
  <c r="U22" i="28" s="1"/>
  <c r="AB22" i="28"/>
  <c r="V22" i="28"/>
  <c r="AC22" i="28"/>
  <c r="Z22" i="28"/>
  <c r="V21" i="28"/>
  <c r="AD21" i="28"/>
  <c r="Z21" i="28"/>
  <c r="AC21" i="28"/>
  <c r="AB21" i="28"/>
  <c r="AB18" i="28"/>
  <c r="W19" i="28"/>
  <c r="AC17" i="28"/>
  <c r="V18" i="28"/>
  <c r="Z18" i="28"/>
  <c r="AD18" i="28"/>
  <c r="Z19" i="28"/>
  <c r="V19" i="28"/>
  <c r="V17" i="28"/>
  <c r="Z17" i="28"/>
  <c r="AB19" i="28"/>
  <c r="AD17" i="28"/>
  <c r="AN24" i="27"/>
  <c r="AJ25" i="27"/>
  <c r="AN25" i="27"/>
  <c r="AJ27" i="27"/>
  <c r="AN27" i="27"/>
  <c r="AJ26" i="27"/>
  <c r="AN26" i="27"/>
  <c r="M9" i="14"/>
  <c r="E36" i="27"/>
  <c r="F11" i="9"/>
  <c r="AM33" i="9"/>
  <c r="AG33" i="9"/>
  <c r="AW33" i="9"/>
  <c r="AC33" i="9"/>
  <c r="AI33" i="9"/>
  <c r="AH33" i="9"/>
  <c r="AU35" i="9"/>
  <c r="AW35" i="9"/>
  <c r="Z33" i="9"/>
  <c r="AU34" i="9"/>
  <c r="AW34" i="9"/>
  <c r="AK34" i="9"/>
  <c r="AM34" i="9"/>
  <c r="AC34" i="9"/>
  <c r="AI34" i="9"/>
  <c r="AG34" i="9"/>
  <c r="AF34" i="9"/>
  <c r="Z34" i="9"/>
  <c r="AH34" i="9"/>
  <c r="AU30" i="9"/>
  <c r="AW30" i="9"/>
  <c r="AU31" i="9"/>
  <c r="AW31" i="9"/>
  <c r="AU32" i="9"/>
  <c r="AW32" i="9"/>
  <c r="AM31" i="9"/>
  <c r="AK31" i="9"/>
  <c r="AK30" i="9"/>
  <c r="AM30" i="9"/>
  <c r="AM32" i="9"/>
  <c r="AK32" i="9"/>
  <c r="E6" i="29"/>
  <c r="AH30" i="9"/>
  <c r="AG30" i="9"/>
  <c r="AI30" i="9"/>
  <c r="AF30" i="9"/>
  <c r="Z30" i="9"/>
  <c r="AC30" i="9"/>
  <c r="AC31" i="9"/>
  <c r="AI31" i="9"/>
  <c r="AH31" i="9"/>
  <c r="Z31" i="9"/>
  <c r="AF31" i="9"/>
  <c r="AG31" i="9"/>
  <c r="AC32" i="9"/>
  <c r="AH32" i="9"/>
  <c r="Z32" i="9"/>
  <c r="AG32" i="9"/>
  <c r="AI32" i="9"/>
  <c r="AF32" i="9"/>
  <c r="AN19" i="27"/>
  <c r="AJ22" i="27"/>
  <c r="AN22" i="27"/>
  <c r="AJ23" i="27"/>
  <c r="AN23" i="27"/>
  <c r="AN20" i="27"/>
  <c r="AJ20" i="27"/>
  <c r="AJ21" i="27"/>
  <c r="AN21" i="27"/>
  <c r="E7" i="29"/>
  <c r="E32" i="27"/>
  <c r="E5" i="29"/>
  <c r="E4" i="29"/>
  <c r="E30" i="27"/>
  <c r="AM12" i="9"/>
  <c r="AW12" i="9"/>
  <c r="AF12" i="9"/>
  <c r="AC12" i="9"/>
  <c r="AH12" i="9"/>
  <c r="Z12" i="9"/>
  <c r="AG12" i="9"/>
  <c r="Z16" i="28"/>
  <c r="AB16" i="28"/>
  <c r="W16" i="28"/>
  <c r="U16" i="28" s="1"/>
  <c r="AD16" i="28"/>
  <c r="V16" i="28"/>
  <c r="AC16" i="28"/>
  <c r="E24" i="27"/>
  <c r="E29" i="27"/>
  <c r="AJ16" i="27"/>
  <c r="AJ17" i="27"/>
  <c r="AN17" i="27"/>
  <c r="AJ18" i="27"/>
  <c r="AN18" i="27"/>
  <c r="AB11" i="28"/>
  <c r="Z11" i="28"/>
  <c r="V11" i="28"/>
  <c r="AC11" i="28"/>
  <c r="AD11" i="28"/>
  <c r="V12" i="28"/>
  <c r="AB12" i="28"/>
  <c r="Z12" i="28"/>
  <c r="AC12" i="28"/>
  <c r="AD12" i="28"/>
  <c r="Z13" i="28"/>
  <c r="AD13" i="28"/>
  <c r="V13" i="28"/>
  <c r="AC13" i="28"/>
  <c r="AB13" i="28"/>
  <c r="AD14" i="28"/>
  <c r="AB14" i="28"/>
  <c r="Z14" i="28"/>
  <c r="AA14" i="28"/>
  <c r="Y14" i="28" s="1"/>
  <c r="V14" i="28"/>
  <c r="AC14" i="28"/>
  <c r="AB15" i="28"/>
  <c r="V15" i="28"/>
  <c r="Z15" i="28"/>
  <c r="AC15" i="28"/>
  <c r="W15" i="28"/>
  <c r="U15" i="28" s="1"/>
  <c r="AD15" i="28"/>
  <c r="W12" i="28"/>
  <c r="U12" i="28" s="1"/>
  <c r="M5" i="14"/>
  <c r="F9" i="9"/>
  <c r="M6" i="14"/>
  <c r="E26" i="27"/>
  <c r="E25" i="27"/>
  <c r="E15" i="28"/>
  <c r="E27" i="27"/>
  <c r="E28" i="27"/>
  <c r="E14" i="28"/>
  <c r="E6" i="28"/>
  <c r="E13" i="27"/>
  <c r="AK27" i="9"/>
  <c r="AK29" i="9"/>
  <c r="AM29" i="9"/>
  <c r="AC28" i="9"/>
  <c r="AF28" i="9"/>
  <c r="AH28" i="9"/>
  <c r="Z28" i="9"/>
  <c r="AG28" i="9"/>
  <c r="AW28" i="9"/>
  <c r="AU29" i="9"/>
  <c r="AW29" i="9"/>
  <c r="AC29" i="9"/>
  <c r="AH29" i="9"/>
  <c r="AF29" i="9"/>
  <c r="AG29" i="9"/>
  <c r="Z29" i="9"/>
  <c r="AI29" i="9"/>
  <c r="AM28" i="9"/>
  <c r="AK28" i="9"/>
  <c r="AU26" i="9"/>
  <c r="AB10" i="28"/>
  <c r="Z10" i="28"/>
  <c r="W10" i="28"/>
  <c r="U10" i="28" s="1"/>
  <c r="AD10" i="28"/>
  <c r="V10" i="28"/>
  <c r="AC10" i="28"/>
  <c r="AH26" i="9"/>
  <c r="AC26" i="9"/>
  <c r="AI26" i="9"/>
  <c r="AG26" i="9"/>
  <c r="Z26" i="9"/>
  <c r="AC27" i="9"/>
  <c r="AF27" i="9"/>
  <c r="AG27" i="9"/>
  <c r="Z27" i="9"/>
  <c r="AH27" i="9"/>
  <c r="AI27" i="9"/>
  <c r="AW27" i="9"/>
  <c r="AU27" i="9"/>
  <c r="AN13" i="27"/>
  <c r="AN14" i="27"/>
  <c r="AJ14" i="27"/>
  <c r="AJ15" i="27"/>
  <c r="AN15" i="27"/>
  <c r="E11" i="27"/>
  <c r="E12" i="27"/>
  <c r="E13" i="28"/>
  <c r="E12" i="28"/>
  <c r="E11" i="28"/>
  <c r="E21" i="27"/>
  <c r="E20" i="27"/>
  <c r="F8" i="9"/>
  <c r="AB9" i="28"/>
  <c r="W9" i="28"/>
  <c r="U9" i="28" s="1"/>
  <c r="AC9" i="28"/>
  <c r="AD9" i="28"/>
  <c r="Z9" i="28"/>
  <c r="V9" i="28"/>
  <c r="AJ12" i="27"/>
  <c r="AN12" i="27"/>
  <c r="AN11" i="27"/>
  <c r="Z7" i="28"/>
  <c r="AD7" i="28"/>
  <c r="AW25" i="9"/>
  <c r="AK26" i="9"/>
  <c r="AM26" i="9"/>
  <c r="AF25" i="9"/>
  <c r="AC25" i="9"/>
  <c r="AK16" i="9"/>
  <c r="Z23" i="9"/>
  <c r="AI25" i="9"/>
  <c r="AF23" i="9"/>
  <c r="AH25" i="9"/>
  <c r="Z25" i="9"/>
  <c r="AM24" i="9"/>
  <c r="AU23" i="9"/>
  <c r="AM22" i="9"/>
  <c r="AH23" i="9"/>
  <c r="AK25" i="9"/>
  <c r="AM25" i="9"/>
  <c r="AC23" i="9"/>
  <c r="AC24" i="9"/>
  <c r="AF24" i="9"/>
  <c r="AG24" i="9"/>
  <c r="Z24" i="9"/>
  <c r="AH24" i="9"/>
  <c r="AI24" i="9"/>
  <c r="AU24" i="9"/>
  <c r="AW24" i="9"/>
  <c r="AI23" i="9"/>
  <c r="AJ8" i="27"/>
  <c r="AN8" i="27"/>
  <c r="AJ10" i="27"/>
  <c r="AN10" i="27"/>
  <c r="AJ9" i="27"/>
  <c r="AN9" i="27"/>
  <c r="AG2" i="29"/>
  <c r="W3" i="29"/>
  <c r="W4" i="29"/>
  <c r="V7" i="28"/>
  <c r="AN7" i="27"/>
  <c r="AB7" i="28"/>
  <c r="U8" i="28"/>
  <c r="AC8" i="28"/>
  <c r="AB8" i="28"/>
  <c r="V8" i="28"/>
  <c r="AA8" i="28"/>
  <c r="Y8" i="28" s="1"/>
  <c r="Z8" i="28"/>
  <c r="AD8" i="28"/>
  <c r="T8" i="28"/>
  <c r="U7" i="28"/>
  <c r="T7" i="28"/>
  <c r="AD5" i="28"/>
  <c r="AB5" i="28"/>
  <c r="V5" i="28"/>
  <c r="Z5" i="28"/>
  <c r="AC5" i="28"/>
  <c r="AB6" i="28"/>
  <c r="AD6" i="28"/>
  <c r="V6" i="28"/>
  <c r="Z6" i="28"/>
  <c r="AC6" i="28"/>
  <c r="AA4" i="28"/>
  <c r="X19" i="28" s="1"/>
  <c r="AC4" i="28"/>
  <c r="Z4" i="28"/>
  <c r="V4" i="28"/>
  <c r="AB4" i="28"/>
  <c r="AD4" i="28"/>
  <c r="F7" i="9"/>
  <c r="E19" i="27"/>
  <c r="AN5" i="27"/>
  <c r="AJ6" i="27"/>
  <c r="AN6" i="27"/>
  <c r="AH21" i="9"/>
  <c r="Z21" i="9"/>
  <c r="AF21" i="9"/>
  <c r="AC21" i="9"/>
  <c r="AI21" i="9"/>
  <c r="AW19" i="9"/>
  <c r="AK23" i="9"/>
  <c r="AM23" i="9"/>
  <c r="AF22" i="9"/>
  <c r="AG22" i="9"/>
  <c r="Z22" i="9"/>
  <c r="AH22" i="9"/>
  <c r="AI22" i="9"/>
  <c r="AC22" i="9"/>
  <c r="AU22" i="9"/>
  <c r="AW22" i="9"/>
  <c r="AW21" i="9"/>
  <c r="AK20" i="9"/>
  <c r="AC19" i="9"/>
  <c r="AI17" i="9"/>
  <c r="AF17" i="9"/>
  <c r="AH19" i="9"/>
  <c r="AF19" i="9"/>
  <c r="Z19" i="9"/>
  <c r="AK21" i="9"/>
  <c r="AM21" i="9"/>
  <c r="AW17" i="9"/>
  <c r="AI19" i="9"/>
  <c r="AC20" i="9"/>
  <c r="AF20" i="9"/>
  <c r="AI20" i="9"/>
  <c r="AG20" i="9"/>
  <c r="Z20" i="9"/>
  <c r="AH20" i="9"/>
  <c r="AW20" i="9"/>
  <c r="AU20" i="9"/>
  <c r="AK18" i="9"/>
  <c r="AM19" i="9"/>
  <c r="AK19" i="9"/>
  <c r="AK11" i="9"/>
  <c r="Z17" i="9"/>
  <c r="AH17" i="9"/>
  <c r="AG17" i="9"/>
  <c r="AG18" i="9"/>
  <c r="AH18" i="9"/>
  <c r="AF18" i="9"/>
  <c r="AI18" i="9"/>
  <c r="AC18" i="9"/>
  <c r="Z18" i="9"/>
  <c r="AU18" i="9"/>
  <c r="AW18" i="9"/>
  <c r="AU15" i="9"/>
  <c r="AK17" i="9"/>
  <c r="AM17" i="9"/>
  <c r="U4" i="28"/>
  <c r="U5" i="28"/>
  <c r="U6" i="28"/>
  <c r="E3" i="29"/>
  <c r="D3" i="29" s="1"/>
  <c r="AI5" i="29" s="1"/>
  <c r="E14" i="27"/>
  <c r="E10" i="28"/>
  <c r="E15" i="27"/>
  <c r="E16" i="27"/>
  <c r="E9" i="28"/>
  <c r="E8" i="28"/>
  <c r="E17" i="27"/>
  <c r="E18" i="27"/>
  <c r="E7" i="28"/>
  <c r="F6" i="9"/>
  <c r="AC15" i="9"/>
  <c r="AH15" i="9"/>
  <c r="Z15" i="9"/>
  <c r="AG15" i="9"/>
  <c r="AU16" i="9"/>
  <c r="AW16" i="9"/>
  <c r="AI15" i="9"/>
  <c r="AM14" i="9"/>
  <c r="AC16" i="9"/>
  <c r="AH16" i="9"/>
  <c r="Z16" i="9"/>
  <c r="AF16" i="9"/>
  <c r="AG16" i="9"/>
  <c r="AI16" i="9"/>
  <c r="AU11" i="9"/>
  <c r="AM15" i="9"/>
  <c r="AK15" i="9"/>
  <c r="AI13" i="9"/>
  <c r="AG13" i="9"/>
  <c r="AH13" i="9"/>
  <c r="Z13" i="9"/>
  <c r="AF13" i="9"/>
  <c r="AW13" i="9"/>
  <c r="AU13" i="9"/>
  <c r="AW14" i="9"/>
  <c r="AU14" i="9"/>
  <c r="AC14" i="9"/>
  <c r="AF14" i="9"/>
  <c r="AG14" i="9"/>
  <c r="Z14" i="9"/>
  <c r="AH14" i="9"/>
  <c r="AI14" i="9"/>
  <c r="AK13" i="9"/>
  <c r="AM13" i="9"/>
  <c r="T5" i="28"/>
  <c r="T6" i="28"/>
  <c r="T3" i="28"/>
  <c r="T4" i="28"/>
  <c r="AB3" i="28"/>
  <c r="AC3" i="28"/>
  <c r="Y3" i="28"/>
  <c r="Z3" i="28"/>
  <c r="V3" i="28"/>
  <c r="U3" i="28"/>
  <c r="X3" i="28"/>
  <c r="AC11" i="9"/>
  <c r="AF11" i="9"/>
  <c r="AG11" i="9"/>
  <c r="Z11" i="9"/>
  <c r="AH11" i="9"/>
  <c r="AI11" i="9"/>
  <c r="AK9" i="9"/>
  <c r="Z8" i="9"/>
  <c r="M3" i="14"/>
  <c r="E7" i="27"/>
  <c r="E4" i="28"/>
  <c r="E5" i="27"/>
  <c r="F4" i="9"/>
  <c r="E6" i="27"/>
  <c r="AC10" i="9"/>
  <c r="Z10" i="9"/>
  <c r="AH10" i="9"/>
  <c r="M8" i="14"/>
  <c r="E9" i="27"/>
  <c r="E10" i="27"/>
  <c r="F5" i="9"/>
  <c r="E5" i="28"/>
  <c r="AI10" i="9"/>
  <c r="AG10" i="9"/>
  <c r="M4" i="14"/>
  <c r="E8" i="27"/>
  <c r="E3" i="28"/>
  <c r="E4" i="27"/>
  <c r="F3" i="9"/>
  <c r="E3" i="27"/>
  <c r="O3" i="27" s="1"/>
  <c r="AH8" i="9"/>
  <c r="AF8" i="9"/>
  <c r="AI8" i="9"/>
  <c r="AJ3" i="27"/>
  <c r="AJ4" i="27"/>
  <c r="AN4" i="27"/>
  <c r="AU8" i="9"/>
  <c r="AW8" i="9"/>
  <c r="AU10" i="9"/>
  <c r="AW10" i="9"/>
  <c r="AG8" i="9"/>
  <c r="AM10" i="9"/>
  <c r="AK10" i="9"/>
  <c r="AU7" i="9"/>
  <c r="AW7" i="9"/>
  <c r="AM7" i="9"/>
  <c r="AU9" i="9"/>
  <c r="AW9" i="9"/>
  <c r="Z9" i="9"/>
  <c r="AH9" i="9"/>
  <c r="AI9" i="9"/>
  <c r="AC9" i="9"/>
  <c r="AG9" i="9"/>
  <c r="AF9" i="9"/>
  <c r="AC6" i="9"/>
  <c r="AG6" i="9"/>
  <c r="AK8" i="9"/>
  <c r="AM8" i="9"/>
  <c r="AI6" i="9"/>
  <c r="AF6" i="9"/>
  <c r="AF7" i="9"/>
  <c r="AG7" i="9"/>
  <c r="Z7" i="9"/>
  <c r="AC7" i="9"/>
  <c r="AH7" i="9"/>
  <c r="AI7" i="9"/>
  <c r="AH6" i="9"/>
  <c r="AM6" i="9"/>
  <c r="AK6" i="9"/>
  <c r="AU5" i="9"/>
  <c r="AW5" i="9"/>
  <c r="AU4" i="9"/>
  <c r="AW4" i="9"/>
  <c r="AW6" i="9"/>
  <c r="AU6" i="9"/>
  <c r="AM4" i="9"/>
  <c r="AK4" i="9"/>
  <c r="AM5" i="9"/>
  <c r="AK5" i="9"/>
  <c r="AM2" i="9"/>
  <c r="AH4" i="9"/>
  <c r="AI4" i="9"/>
  <c r="Z4" i="9"/>
  <c r="AG4" i="9"/>
  <c r="AC4" i="9"/>
  <c r="AC5" i="9"/>
  <c r="AF5" i="9"/>
  <c r="AG5" i="9"/>
  <c r="Z5" i="9"/>
  <c r="AH5" i="9"/>
  <c r="AI5" i="9"/>
  <c r="AF2" i="9"/>
  <c r="AW2" i="9"/>
  <c r="AH2" i="9"/>
  <c r="AI3" i="9"/>
  <c r="AF3" i="9"/>
  <c r="AG3" i="9"/>
  <c r="Z3" i="9"/>
  <c r="AH3" i="9"/>
  <c r="AC3" i="9"/>
  <c r="AG2" i="9"/>
  <c r="AU3" i="9"/>
  <c r="AW3" i="9"/>
  <c r="AM3" i="9"/>
  <c r="AK3" i="9"/>
  <c r="A2" i="9"/>
  <c r="N2" i="27"/>
  <c r="A2" i="27"/>
  <c r="A2" i="29"/>
  <c r="D2" i="29"/>
  <c r="J2" i="29" s="1"/>
  <c r="Z2" i="9"/>
  <c r="AC2" i="9"/>
  <c r="D2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A38" i="27" l="1"/>
  <c r="Y22" i="28"/>
  <c r="T10" i="19"/>
  <c r="T11" i="19"/>
  <c r="O38" i="27"/>
  <c r="N38" i="27"/>
  <c r="Y21" i="28"/>
  <c r="U21" i="28"/>
  <c r="Y20" i="28"/>
  <c r="U19" i="28"/>
  <c r="U20" i="28"/>
  <c r="X20" i="28"/>
  <c r="X22" i="28"/>
  <c r="X21" i="28"/>
  <c r="T21" i="28"/>
  <c r="T20" i="28"/>
  <c r="T22" i="28"/>
  <c r="U18" i="28"/>
  <c r="Y19" i="28"/>
  <c r="O37" i="27"/>
  <c r="A37" i="27"/>
  <c r="N37" i="27"/>
  <c r="Y18" i="28"/>
  <c r="T19" i="28"/>
  <c r="U17" i="28"/>
  <c r="T18" i="28"/>
  <c r="X17" i="28"/>
  <c r="Y17" i="28"/>
  <c r="X18" i="28"/>
  <c r="T17" i="28"/>
  <c r="A36" i="27"/>
  <c r="O36" i="27"/>
  <c r="N36" i="27"/>
  <c r="A8" i="29"/>
  <c r="N35" i="27"/>
  <c r="O35" i="27"/>
  <c r="A35" i="27"/>
  <c r="D8" i="29"/>
  <c r="J8" i="29" s="1"/>
  <c r="N34" i="27"/>
  <c r="O34" i="27"/>
  <c r="A34" i="27"/>
  <c r="A7" i="29"/>
  <c r="X16" i="28"/>
  <c r="A30" i="27"/>
  <c r="N33" i="27"/>
  <c r="N31" i="27"/>
  <c r="A33" i="27"/>
  <c r="N32" i="27"/>
  <c r="O32" i="27"/>
  <c r="A32" i="27"/>
  <c r="O33" i="27"/>
  <c r="A31" i="27"/>
  <c r="O31" i="27"/>
  <c r="O30" i="27"/>
  <c r="N30" i="27"/>
  <c r="D7" i="29"/>
  <c r="J7" i="29" s="1"/>
  <c r="A6" i="29"/>
  <c r="D6" i="29"/>
  <c r="J6" i="29" s="1"/>
  <c r="A5" i="29"/>
  <c r="D5" i="29"/>
  <c r="J5" i="29" s="1"/>
  <c r="D4" i="29"/>
  <c r="J4" i="29" s="1"/>
  <c r="A4" i="29"/>
  <c r="A4" i="9"/>
  <c r="A11" i="9"/>
  <c r="A10" i="9"/>
  <c r="Y16" i="28"/>
  <c r="T16" i="28"/>
  <c r="O27" i="27"/>
  <c r="O29" i="27"/>
  <c r="O28" i="27"/>
  <c r="A29" i="27"/>
  <c r="N29" i="27"/>
  <c r="X11" i="28"/>
  <c r="Y15" i="28"/>
  <c r="X15" i="28"/>
  <c r="T15" i="28"/>
  <c r="N27" i="27"/>
  <c r="N28" i="27"/>
  <c r="A28" i="27"/>
  <c r="A27" i="27"/>
  <c r="U14" i="28"/>
  <c r="T9" i="19"/>
  <c r="M17" i="19"/>
  <c r="H17" i="19"/>
  <c r="X14" i="28"/>
  <c r="T14" i="28"/>
  <c r="Y12" i="28"/>
  <c r="Y13" i="28"/>
  <c r="Y11" i="28"/>
  <c r="X12" i="28"/>
  <c r="X13" i="28"/>
  <c r="T13" i="28"/>
  <c r="T12" i="28"/>
  <c r="T11" i="28"/>
  <c r="O26" i="27"/>
  <c r="O25" i="27"/>
  <c r="A25" i="27"/>
  <c r="N25" i="27"/>
  <c r="N26" i="27"/>
  <c r="A26" i="27"/>
  <c r="A13" i="27"/>
  <c r="O13" i="27"/>
  <c r="N13" i="27"/>
  <c r="O24" i="27"/>
  <c r="N24" i="27"/>
  <c r="A24" i="27"/>
  <c r="M16" i="19"/>
  <c r="M14" i="19"/>
  <c r="M15" i="19"/>
  <c r="M13" i="19"/>
  <c r="H16" i="19"/>
  <c r="H15" i="19"/>
  <c r="H14" i="19"/>
  <c r="H13" i="19"/>
  <c r="A23" i="27"/>
  <c r="O23" i="27"/>
  <c r="N23" i="27"/>
  <c r="X10" i="28"/>
  <c r="A9" i="9"/>
  <c r="Y10" i="28"/>
  <c r="A22" i="27"/>
  <c r="T8" i="19"/>
  <c r="T7" i="19"/>
  <c r="M12" i="19"/>
  <c r="H12" i="19"/>
  <c r="O22" i="27"/>
  <c r="N22" i="27"/>
  <c r="T10" i="28"/>
  <c r="T9" i="28"/>
  <c r="X9" i="28"/>
  <c r="Y9" i="28"/>
  <c r="N12" i="27"/>
  <c r="A12" i="27"/>
  <c r="O12" i="27"/>
  <c r="N21" i="27"/>
  <c r="O21" i="27"/>
  <c r="A21" i="27"/>
  <c r="A8" i="9"/>
  <c r="A20" i="27"/>
  <c r="N20" i="27"/>
  <c r="O20" i="27"/>
  <c r="M4" i="29"/>
  <c r="AI3" i="29"/>
  <c r="AI4" i="29"/>
  <c r="X8" i="28"/>
  <c r="X5" i="28"/>
  <c r="Y7" i="28"/>
  <c r="X6" i="28"/>
  <c r="X7" i="28"/>
  <c r="Y5" i="28"/>
  <c r="Y4" i="28"/>
  <c r="X4" i="28"/>
  <c r="Y6" i="28"/>
  <c r="A3" i="29"/>
  <c r="N19" i="27"/>
  <c r="O19" i="27"/>
  <c r="O17" i="27"/>
  <c r="A19" i="27"/>
  <c r="A7" i="9"/>
  <c r="J3" i="29"/>
  <c r="M3" i="29"/>
  <c r="M11" i="19"/>
  <c r="H11" i="19"/>
  <c r="N14" i="27"/>
  <c r="N17" i="27"/>
  <c r="A16" i="27"/>
  <c r="O16" i="27"/>
  <c r="O18" i="27"/>
  <c r="A17" i="27"/>
  <c r="N18" i="27"/>
  <c r="N16" i="27"/>
  <c r="A18" i="27"/>
  <c r="A6" i="9"/>
  <c r="O15" i="27"/>
  <c r="N15" i="27"/>
  <c r="A15" i="27"/>
  <c r="N3" i="27"/>
  <c r="A3" i="27"/>
  <c r="A7" i="27"/>
  <c r="O14" i="27"/>
  <c r="A14" i="27"/>
  <c r="N11" i="27"/>
  <c r="A11" i="27"/>
  <c r="O11" i="27"/>
  <c r="O5" i="27"/>
  <c r="O9" i="27"/>
  <c r="A5" i="27"/>
  <c r="O7" i="27"/>
  <c r="O8" i="27"/>
  <c r="N5" i="27"/>
  <c r="A8" i="27"/>
  <c r="N9" i="27"/>
  <c r="O4" i="27"/>
  <c r="N8" i="27"/>
  <c r="N4" i="27"/>
  <c r="N6" i="27"/>
  <c r="A5" i="9"/>
  <c r="A3" i="9"/>
  <c r="A4" i="27"/>
  <c r="A6" i="27"/>
  <c r="A10" i="27"/>
  <c r="O6" i="27"/>
  <c r="M8" i="19"/>
  <c r="H8" i="19"/>
  <c r="N7" i="27"/>
  <c r="A9" i="27"/>
  <c r="N10" i="27"/>
  <c r="T5" i="19"/>
  <c r="T6" i="19"/>
  <c r="T4" i="19"/>
  <c r="M10" i="19"/>
  <c r="M7" i="19"/>
  <c r="M3" i="19"/>
  <c r="T3" i="19"/>
  <c r="M9" i="19"/>
  <c r="M6" i="19"/>
  <c r="M5" i="19"/>
  <c r="M4" i="19"/>
  <c r="H5" i="19"/>
  <c r="H9" i="19"/>
  <c r="H3" i="19"/>
  <c r="H7" i="19"/>
  <c r="H6" i="19"/>
  <c r="H4" i="19"/>
  <c r="H10" i="19"/>
  <c r="O10" i="27"/>
  <c r="C2" i="9"/>
  <c r="E2" i="9" s="1"/>
  <c r="K2" i="9" s="1"/>
  <c r="M2" i="14"/>
  <c r="T2" i="19"/>
  <c r="D12" i="21"/>
  <c r="D16" i="21"/>
  <c r="D23" i="21"/>
  <c r="D11" i="21"/>
  <c r="J8" i="31"/>
  <c r="E4" i="31"/>
  <c r="C11" i="9" l="1"/>
  <c r="E11" i="9" s="1"/>
  <c r="C10" i="9"/>
  <c r="E10" i="9" s="1"/>
  <c r="C9" i="9"/>
  <c r="E9" i="9" s="1"/>
  <c r="AG5" i="29"/>
  <c r="C8" i="9"/>
  <c r="AG3" i="29"/>
  <c r="AG4" i="29"/>
  <c r="AA4" i="29"/>
  <c r="AB4" i="29"/>
  <c r="Y4" i="29"/>
  <c r="V4" i="29"/>
  <c r="T4" i="29" s="1"/>
  <c r="AC4" i="29"/>
  <c r="U4" i="29"/>
  <c r="X4" i="29"/>
  <c r="C7" i="9"/>
  <c r="E7" i="9" s="1"/>
  <c r="AA3" i="29"/>
  <c r="AB3" i="29"/>
  <c r="Y3" i="29"/>
  <c r="V3" i="29"/>
  <c r="AC3" i="29"/>
  <c r="U3" i="29"/>
  <c r="X3" i="29"/>
  <c r="C6" i="9"/>
  <c r="E6" i="9" s="1"/>
  <c r="C5" i="9"/>
  <c r="E5" i="9" s="1"/>
  <c r="C3" i="9"/>
  <c r="E3" i="9" s="1"/>
  <c r="R5" i="9" s="1"/>
  <c r="AX5" i="9" s="1"/>
  <c r="C4" i="9"/>
  <c r="J9" i="31"/>
  <c r="K11" i="9" l="1"/>
  <c r="R33" i="9"/>
  <c r="AX33" i="9" s="1"/>
  <c r="R35" i="9"/>
  <c r="AX35" i="9" s="1"/>
  <c r="R34" i="9"/>
  <c r="AX34" i="9" s="1"/>
  <c r="E4" i="9"/>
  <c r="K4" i="9" s="1"/>
  <c r="E8" i="9"/>
  <c r="R24" i="9" s="1"/>
  <c r="AX24" i="9" s="1"/>
  <c r="K10" i="9"/>
  <c r="R32" i="9"/>
  <c r="AX32" i="9" s="1"/>
  <c r="R31" i="9"/>
  <c r="AX31" i="9" s="1"/>
  <c r="R30" i="9"/>
  <c r="AX30" i="9" s="1"/>
  <c r="R12" i="9"/>
  <c r="AX12" i="9" s="1"/>
  <c r="K9" i="9"/>
  <c r="R29" i="9"/>
  <c r="AX29" i="9" s="1"/>
  <c r="R28" i="9"/>
  <c r="AX28" i="9" s="1"/>
  <c r="AS4" i="29"/>
  <c r="AS5" i="29"/>
  <c r="AS3" i="29"/>
  <c r="AS6" i="29"/>
  <c r="AS7" i="29"/>
  <c r="S4" i="29"/>
  <c r="K7" i="9"/>
  <c r="R21" i="9"/>
  <c r="AX21" i="9" s="1"/>
  <c r="R18" i="9"/>
  <c r="AX18" i="9" s="1"/>
  <c r="R23" i="9"/>
  <c r="AX23" i="9" s="1"/>
  <c r="R19" i="9"/>
  <c r="AX19" i="9" s="1"/>
  <c r="R20" i="9"/>
  <c r="AX20" i="9" s="1"/>
  <c r="R22" i="9"/>
  <c r="AX22" i="9" s="1"/>
  <c r="R17" i="9"/>
  <c r="AX17" i="9" s="1"/>
  <c r="T3" i="29"/>
  <c r="S3" i="29"/>
  <c r="K6" i="9"/>
  <c r="R14" i="9"/>
  <c r="AX14" i="9" s="1"/>
  <c r="R15" i="9"/>
  <c r="AX15" i="9" s="1"/>
  <c r="R13" i="9"/>
  <c r="AX13" i="9" s="1"/>
  <c r="R16" i="9"/>
  <c r="AX16" i="9" s="1"/>
  <c r="R11" i="9"/>
  <c r="AX11" i="9" s="1"/>
  <c r="K5" i="9"/>
  <c r="R10" i="9"/>
  <c r="AX10" i="9" s="1"/>
  <c r="R9" i="9"/>
  <c r="AX9" i="9" s="1"/>
  <c r="R4" i="9"/>
  <c r="AX4" i="9" s="1"/>
  <c r="R3" i="9"/>
  <c r="AX3" i="9" s="1"/>
  <c r="K3" i="9"/>
  <c r="J10" i="31"/>
  <c r="R8" i="9" l="1"/>
  <c r="AX8" i="9" s="1"/>
  <c r="R7" i="9"/>
  <c r="AX7" i="9" s="1"/>
  <c r="K8" i="9"/>
  <c r="R25" i="9"/>
  <c r="AX25" i="9" s="1"/>
  <c r="R26" i="9"/>
  <c r="AX26" i="9" s="1"/>
  <c r="R27" i="9"/>
  <c r="AX27" i="9" s="1"/>
  <c r="R6" i="9"/>
  <c r="AX6" i="9" s="1"/>
  <c r="AS10" i="29"/>
  <c r="AS8" i="29"/>
  <c r="AS9" i="29"/>
  <c r="J11" i="31"/>
  <c r="A2" i="26"/>
  <c r="J12" i="31" l="1"/>
  <c r="A3" i="26"/>
  <c r="A4" i="26" s="1"/>
  <c r="A5" i="26" s="1"/>
  <c r="J13" i="31" l="1"/>
  <c r="A6" i="26"/>
  <c r="J14" i="31" l="1"/>
  <c r="A7" i="26"/>
  <c r="D33" i="21"/>
  <c r="C33" i="21"/>
  <c r="D32" i="21"/>
  <c r="C32" i="21"/>
  <c r="J15" i="31" l="1"/>
  <c r="A8" i="26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J16" i="31" l="1"/>
  <c r="C43" i="21"/>
  <c r="A9" i="26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D26" i="21" l="1"/>
  <c r="D39" i="21"/>
  <c r="E18" i="26"/>
  <c r="E2" i="26"/>
  <c r="E35" i="26"/>
  <c r="E34" i="26"/>
  <c r="E26" i="26"/>
  <c r="E42" i="26"/>
  <c r="E19" i="26"/>
  <c r="E29" i="26"/>
  <c r="E30" i="26"/>
  <c r="E7" i="26"/>
  <c r="F7" i="26" s="1"/>
  <c r="E43" i="26"/>
  <c r="F43" i="26" s="1"/>
  <c r="G43" i="26" s="1"/>
  <c r="H43" i="26" s="1"/>
  <c r="E24" i="26"/>
  <c r="E14" i="26"/>
  <c r="E37" i="26"/>
  <c r="E38" i="26"/>
  <c r="E15" i="26"/>
  <c r="E9" i="26"/>
  <c r="E4" i="26"/>
  <c r="E6" i="26"/>
  <c r="E32" i="26"/>
  <c r="E22" i="26"/>
  <c r="E40" i="26"/>
  <c r="E11" i="26"/>
  <c r="E3" i="26"/>
  <c r="E23" i="26"/>
  <c r="E33" i="26"/>
  <c r="E12" i="26"/>
  <c r="E36" i="26"/>
  <c r="E13" i="26"/>
  <c r="E27" i="26"/>
  <c r="E10" i="26"/>
  <c r="E44" i="26"/>
  <c r="F44" i="26" s="1"/>
  <c r="G44" i="26" s="1"/>
  <c r="H44" i="26" s="1"/>
  <c r="E25" i="26"/>
  <c r="E31" i="26"/>
  <c r="E8" i="26"/>
  <c r="F8" i="26" s="1"/>
  <c r="E20" i="26"/>
  <c r="E17" i="26"/>
  <c r="E41" i="26"/>
  <c r="E39" i="26"/>
  <c r="E16" i="26"/>
  <c r="E28" i="26"/>
  <c r="E5" i="26"/>
  <c r="E21" i="26"/>
  <c r="D31" i="21"/>
  <c r="J17" i="31"/>
  <c r="A10" i="26"/>
  <c r="D42" i="21"/>
  <c r="D43" i="21"/>
  <c r="D25" i="21"/>
  <c r="D41" i="21"/>
  <c r="D7" i="21"/>
  <c r="D10" i="21"/>
  <c r="D6" i="21"/>
  <c r="D40" i="21"/>
  <c r="D24" i="21"/>
  <c r="D3" i="21"/>
  <c r="D38" i="21"/>
  <c r="D5" i="21"/>
  <c r="E1" i="25" l="1"/>
  <c r="B8" i="25" s="1"/>
  <c r="F5" i="26"/>
  <c r="G5" i="26" s="1"/>
  <c r="H5" i="26" s="1"/>
  <c r="F4" i="26"/>
  <c r="G4" i="26" s="1"/>
  <c r="H4" i="26" s="1"/>
  <c r="F6" i="26"/>
  <c r="G6" i="26" s="1"/>
  <c r="H6" i="26" s="1"/>
  <c r="F3" i="26"/>
  <c r="G3" i="26" s="1"/>
  <c r="H3" i="26" s="1"/>
  <c r="F2" i="26"/>
  <c r="G2" i="26" s="1"/>
  <c r="H2" i="26" s="1"/>
  <c r="G7" i="26"/>
  <c r="H7" i="26" s="1"/>
  <c r="G8" i="26"/>
  <c r="H8" i="26" s="1"/>
  <c r="J18" i="31"/>
  <c r="F9" i="26"/>
  <c r="A11" i="26"/>
  <c r="G9" i="26" l="1"/>
  <c r="H9" i="26" s="1"/>
  <c r="J19" i="31"/>
  <c r="F10" i="26"/>
  <c r="A12" i="26"/>
  <c r="G10" i="26" l="1"/>
  <c r="H10" i="26" s="1"/>
  <c r="J20" i="31"/>
  <c r="F11" i="26"/>
  <c r="A13" i="26"/>
  <c r="G11" i="26" l="1"/>
  <c r="H11" i="26" s="1"/>
  <c r="J21" i="31"/>
  <c r="F12" i="26"/>
  <c r="A14" i="26"/>
  <c r="G12" i="26" l="1"/>
  <c r="H12" i="26" s="1"/>
  <c r="J22" i="31"/>
  <c r="F13" i="26"/>
  <c r="A15" i="26"/>
  <c r="G13" i="26" l="1"/>
  <c r="H13" i="26" s="1"/>
  <c r="J23" i="31"/>
  <c r="F14" i="26"/>
  <c r="A16" i="26"/>
  <c r="G14" i="26" l="1"/>
  <c r="H14" i="26" s="1"/>
  <c r="J24" i="31"/>
  <c r="F15" i="26"/>
  <c r="A17" i="26"/>
  <c r="G15" i="26" l="1"/>
  <c r="H15" i="26" s="1"/>
  <c r="J25" i="31"/>
  <c r="F16" i="26"/>
  <c r="A18" i="26"/>
  <c r="G16" i="26" l="1"/>
  <c r="H16" i="26" s="1"/>
  <c r="J26" i="31"/>
  <c r="F17" i="26"/>
  <c r="A19" i="26"/>
  <c r="G17" i="26" l="1"/>
  <c r="H17" i="26" s="1"/>
  <c r="J27" i="31"/>
  <c r="F18" i="26"/>
  <c r="A20" i="26"/>
  <c r="G18" i="26" l="1"/>
  <c r="H18" i="26" s="1"/>
  <c r="J28" i="31"/>
  <c r="F19" i="26"/>
  <c r="A21" i="26"/>
  <c r="G19" i="26" l="1"/>
  <c r="H19" i="26" s="1"/>
  <c r="J29" i="31"/>
  <c r="F20" i="26"/>
  <c r="A22" i="26"/>
  <c r="G20" i="26" l="1"/>
  <c r="H20" i="26" s="1"/>
  <c r="J30" i="31"/>
  <c r="F21" i="26"/>
  <c r="A23" i="26"/>
  <c r="G21" i="26" l="1"/>
  <c r="H21" i="26" s="1"/>
  <c r="J31" i="31"/>
  <c r="F22" i="26"/>
  <c r="A24" i="26"/>
  <c r="E2" i="31"/>
  <c r="G22" i="26" l="1"/>
  <c r="H22" i="26" s="1"/>
  <c r="J32" i="31"/>
  <c r="F23" i="26"/>
  <c r="A25" i="26"/>
  <c r="G23" i="26" l="1"/>
  <c r="H23" i="26" s="1"/>
  <c r="J33" i="31"/>
  <c r="F24" i="26"/>
  <c r="A26" i="26"/>
  <c r="G24" i="26" l="1"/>
  <c r="H24" i="26" s="1"/>
  <c r="J34" i="31"/>
  <c r="F25" i="26"/>
  <c r="A27" i="26"/>
  <c r="G25" i="26" l="1"/>
  <c r="H25" i="26" s="1"/>
  <c r="J35" i="31"/>
  <c r="F26" i="26"/>
  <c r="A28" i="26"/>
  <c r="G26" i="26" l="1"/>
  <c r="H26" i="26" s="1"/>
  <c r="J36" i="31"/>
  <c r="F27" i="26"/>
  <c r="A29" i="26"/>
  <c r="G27" i="26" l="1"/>
  <c r="H27" i="26" s="1"/>
  <c r="J37" i="31"/>
  <c r="F28" i="26"/>
  <c r="A30" i="26"/>
  <c r="G28" i="26" l="1"/>
  <c r="H28" i="26" s="1"/>
  <c r="J38" i="31"/>
  <c r="F29" i="26"/>
  <c r="A31" i="26"/>
  <c r="G29" i="26" l="1"/>
  <c r="H29" i="26" s="1"/>
  <c r="J39" i="31"/>
  <c r="F30" i="26"/>
  <c r="A32" i="26"/>
  <c r="G30" i="26" l="1"/>
  <c r="H30" i="26" s="1"/>
  <c r="J40" i="31"/>
  <c r="F31" i="26"/>
  <c r="A33" i="26"/>
  <c r="G31" i="26" l="1"/>
  <c r="H31" i="26" s="1"/>
  <c r="J41" i="31"/>
  <c r="F32" i="26"/>
  <c r="A34" i="26"/>
  <c r="G32" i="26" l="1"/>
  <c r="H32" i="26" s="1"/>
  <c r="J42" i="31"/>
  <c r="F33" i="26"/>
  <c r="A35" i="26"/>
  <c r="G33" i="26" l="1"/>
  <c r="H33" i="26" s="1"/>
  <c r="J43" i="31"/>
  <c r="F34" i="26"/>
  <c r="A36" i="26"/>
  <c r="G34" i="26" l="1"/>
  <c r="H34" i="26" s="1"/>
  <c r="J44" i="31"/>
  <c r="F35" i="26"/>
  <c r="A37" i="26"/>
  <c r="G35" i="26" l="1"/>
  <c r="H35" i="26" s="1"/>
  <c r="J45" i="31"/>
  <c r="F36" i="26"/>
  <c r="A38" i="26"/>
  <c r="G36" i="26" l="1"/>
  <c r="H36" i="26" s="1"/>
  <c r="J46" i="31"/>
  <c r="F37" i="26"/>
  <c r="A39" i="26"/>
  <c r="G37" i="26" l="1"/>
  <c r="H37" i="26" s="1"/>
  <c r="J47" i="31"/>
  <c r="F38" i="26"/>
  <c r="A40" i="26"/>
  <c r="G38" i="26" l="1"/>
  <c r="H38" i="26" s="1"/>
  <c r="J48" i="31"/>
  <c r="F39" i="26"/>
  <c r="A41" i="26"/>
  <c r="G39" i="26" l="1"/>
  <c r="H39" i="26" s="1"/>
  <c r="J49" i="31"/>
  <c r="F40" i="26"/>
  <c r="A42" i="26"/>
  <c r="A43" i="26" s="1"/>
  <c r="A44" i="26" s="1"/>
  <c r="G40" i="26" l="1"/>
  <c r="H40" i="26" s="1"/>
  <c r="J50" i="31"/>
  <c r="F42" i="26"/>
  <c r="F41" i="26"/>
  <c r="G42" i="26" l="1"/>
  <c r="H42" i="26" s="1"/>
  <c r="G41" i="26"/>
  <c r="H41" i="26" s="1"/>
  <c r="J51" i="3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D5" i="25"/>
  <c r="E5" i="31"/>
  <c r="N5" i="25"/>
  <c r="P5" i="25"/>
  <c r="J5" i="25"/>
  <c r="M5" i="25"/>
  <c r="K5" i="25"/>
  <c r="I5" i="25"/>
  <c r="O5" i="25"/>
  <c r="C5" i="25"/>
  <c r="F5" i="25"/>
  <c r="B9" i="25"/>
  <c r="H5" i="25"/>
  <c r="L5" i="25"/>
  <c r="Q5" i="25"/>
  <c r="G5" i="25"/>
  <c r="E5" i="25"/>
  <c r="K24" i="31" l="1"/>
  <c r="K39" i="31"/>
  <c r="K58" i="31"/>
  <c r="K22" i="31"/>
  <c r="K45" i="31"/>
  <c r="K44" i="31"/>
  <c r="K46" i="31"/>
  <c r="K51" i="31"/>
  <c r="K34" i="31"/>
  <c r="K33" i="31"/>
  <c r="K28" i="31"/>
  <c r="K26" i="31"/>
  <c r="K54" i="31"/>
  <c r="K57" i="31"/>
  <c r="K14" i="31"/>
  <c r="K37" i="31"/>
  <c r="K60" i="31"/>
  <c r="K43" i="31"/>
  <c r="K16" i="31"/>
  <c r="K31" i="31"/>
  <c r="K50" i="31"/>
  <c r="K13" i="31"/>
  <c r="K12" i="31"/>
  <c r="K35" i="31"/>
  <c r="K41" i="31"/>
  <c r="K52" i="31"/>
  <c r="K56" i="31"/>
  <c r="K21" i="31"/>
  <c r="K7" i="31"/>
  <c r="K49" i="31"/>
  <c r="K5" i="31"/>
  <c r="K20" i="31"/>
  <c r="K11" i="31"/>
  <c r="K8" i="31"/>
  <c r="K23" i="31"/>
  <c r="K42" i="31"/>
  <c r="K3" i="31"/>
  <c r="K53" i="31"/>
  <c r="K15" i="31"/>
  <c r="K6" i="31"/>
  <c r="K19" i="31"/>
  <c r="K25" i="31"/>
  <c r="K48" i="31"/>
  <c r="K38" i="31"/>
  <c r="K61" i="31"/>
  <c r="K18" i="31"/>
  <c r="K17" i="31"/>
  <c r="K40" i="31"/>
  <c r="K55" i="31"/>
  <c r="K30" i="31"/>
  <c r="K29" i="31"/>
  <c r="K36" i="31"/>
  <c r="K59" i="31"/>
  <c r="K10" i="31"/>
  <c r="K32" i="31"/>
  <c r="K47" i="31"/>
  <c r="K27" i="31"/>
  <c r="K9" i="31"/>
  <c r="K4" i="31"/>
  <c r="K2" i="31"/>
  <c r="L2" i="31" s="1"/>
  <c r="M2" i="31" s="1"/>
  <c r="R9" i="25"/>
  <c r="J62" i="31"/>
  <c r="K62" i="31" s="1"/>
  <c r="M9" i="25"/>
  <c r="N9" i="25"/>
  <c r="O9" i="25"/>
  <c r="P9" i="25"/>
  <c r="Q9" i="25"/>
  <c r="J9" i="25"/>
  <c r="L9" i="25"/>
  <c r="K9" i="25"/>
  <c r="H9" i="25"/>
  <c r="E9" i="25"/>
  <c r="D9" i="25"/>
  <c r="I9" i="25"/>
  <c r="B10" i="25"/>
  <c r="G9" i="25"/>
  <c r="N2" i="31"/>
  <c r="L17" i="31" l="1"/>
  <c r="M17" i="31" s="1"/>
  <c r="L16" i="31"/>
  <c r="M16" i="31" s="1"/>
  <c r="L15" i="31"/>
  <c r="M15" i="31" s="1"/>
  <c r="L14" i="31"/>
  <c r="M14" i="31" s="1"/>
  <c r="L13" i="31"/>
  <c r="M13" i="31" s="1"/>
  <c r="L12" i="31"/>
  <c r="M12" i="31" s="1"/>
  <c r="L11" i="31"/>
  <c r="M11" i="31" s="1"/>
  <c r="L10" i="31"/>
  <c r="M10" i="31" s="1"/>
  <c r="L9" i="31"/>
  <c r="M9" i="31" s="1"/>
  <c r="L8" i="31"/>
  <c r="M8" i="31" s="1"/>
  <c r="L7" i="31"/>
  <c r="M7" i="31" s="1"/>
  <c r="L6" i="31"/>
  <c r="M6" i="31" s="1"/>
  <c r="L4" i="31"/>
  <c r="M4" i="31" s="1"/>
  <c r="L5" i="31"/>
  <c r="M5" i="31" s="1"/>
  <c r="L3" i="31"/>
  <c r="M3" i="31" s="1"/>
  <c r="O2" i="31"/>
  <c r="R10" i="25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N10" i="25"/>
  <c r="O10" i="25"/>
  <c r="M10" i="25"/>
  <c r="Q10" i="25"/>
  <c r="P10" i="25"/>
  <c r="K10" i="25"/>
  <c r="J10" i="25"/>
  <c r="L10" i="25"/>
  <c r="H10" i="25"/>
  <c r="P9" i="31"/>
  <c r="D10" i="25"/>
  <c r="P22" i="31"/>
  <c r="P15" i="31"/>
  <c r="P60" i="31"/>
  <c r="N3" i="31"/>
  <c r="P2" i="31"/>
  <c r="N55" i="31"/>
  <c r="P35" i="31"/>
  <c r="N28" i="31"/>
  <c r="P31" i="31"/>
  <c r="N6" i="31"/>
  <c r="P5" i="31"/>
  <c r="I10" i="25"/>
  <c r="N34" i="31"/>
  <c r="N12" i="31"/>
  <c r="N15" i="31"/>
  <c r="N26" i="31"/>
  <c r="P51" i="31"/>
  <c r="N17" i="31"/>
  <c r="N46" i="31"/>
  <c r="P3" i="31"/>
  <c r="P18" i="31"/>
  <c r="P43" i="31"/>
  <c r="N61" i="31"/>
  <c r="N10" i="31"/>
  <c r="N5" i="31"/>
  <c r="N4" i="31"/>
  <c r="N14" i="31"/>
  <c r="N23" i="31"/>
  <c r="P11" i="31"/>
  <c r="N8" i="31"/>
  <c r="P53" i="31"/>
  <c r="P4" i="31"/>
  <c r="P49" i="31"/>
  <c r="E10" i="25"/>
  <c r="N9" i="31"/>
  <c r="P33" i="31"/>
  <c r="P12" i="31"/>
  <c r="C10" i="25"/>
  <c r="P14" i="31"/>
  <c r="P36" i="31"/>
  <c r="P50" i="31"/>
  <c r="P58" i="31"/>
  <c r="P25" i="31"/>
  <c r="P47" i="31"/>
  <c r="N32" i="31"/>
  <c r="P20" i="31"/>
  <c r="P17" i="31"/>
  <c r="N37" i="31"/>
  <c r="P57" i="31"/>
  <c r="P44" i="31"/>
  <c r="N52" i="31"/>
  <c r="P16" i="31"/>
  <c r="P40" i="31"/>
  <c r="N29" i="31"/>
  <c r="P24" i="31"/>
  <c r="N16" i="31"/>
  <c r="P8" i="31"/>
  <c r="G10" i="25"/>
  <c r="P38" i="31"/>
  <c r="N42" i="31"/>
  <c r="P6" i="31"/>
  <c r="N7" i="31"/>
  <c r="P41" i="31"/>
  <c r="P13" i="31"/>
  <c r="P19" i="31"/>
  <c r="N39" i="31"/>
  <c r="P21" i="31"/>
  <c r="N48" i="31"/>
  <c r="P7" i="31"/>
  <c r="P27" i="31"/>
  <c r="N45" i="31"/>
  <c r="N30" i="31"/>
  <c r="B11" i="25"/>
  <c r="N59" i="31"/>
  <c r="P54" i="31"/>
  <c r="N56" i="31"/>
  <c r="R31" i="27" l="1"/>
  <c r="O17" i="31"/>
  <c r="O15" i="31"/>
  <c r="R3" i="27"/>
  <c r="O12" i="31"/>
  <c r="O6" i="31"/>
  <c r="O3" i="31"/>
  <c r="R5" i="27" s="1"/>
  <c r="O10" i="31"/>
  <c r="O16" i="31"/>
  <c r="O8" i="31"/>
  <c r="O14" i="31"/>
  <c r="O4" i="31"/>
  <c r="O7" i="31"/>
  <c r="O5" i="31"/>
  <c r="O9" i="31"/>
  <c r="R11" i="25"/>
  <c r="O42" i="31"/>
  <c r="O55" i="31"/>
  <c r="O52" i="31"/>
  <c r="O34" i="31"/>
  <c r="O56" i="31"/>
  <c r="O48" i="31"/>
  <c r="O45" i="31"/>
  <c r="O23" i="31"/>
  <c r="O26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11" i="25"/>
  <c r="Q11" i="25"/>
  <c r="M11" i="25"/>
  <c r="O11" i="25"/>
  <c r="P11" i="25"/>
  <c r="K11" i="25"/>
  <c r="J11" i="25"/>
  <c r="L11" i="25"/>
  <c r="P39" i="31"/>
  <c r="P45" i="31"/>
  <c r="P59" i="31"/>
  <c r="P32" i="31"/>
  <c r="D11" i="25"/>
  <c r="P61" i="31"/>
  <c r="N36" i="31"/>
  <c r="P23" i="31"/>
  <c r="P28" i="31"/>
  <c r="N51" i="31"/>
  <c r="P30" i="31"/>
  <c r="N25" i="31"/>
  <c r="N53" i="31"/>
  <c r="P48" i="31"/>
  <c r="N27" i="31"/>
  <c r="P55" i="31"/>
  <c r="N47" i="31"/>
  <c r="N21" i="31"/>
  <c r="P46" i="31"/>
  <c r="N18" i="31"/>
  <c r="N41" i="31"/>
  <c r="N43" i="31"/>
  <c r="P34" i="31"/>
  <c r="C11" i="25"/>
  <c r="P10" i="31"/>
  <c r="N20" i="31"/>
  <c r="I11" i="25"/>
  <c r="N24" i="31"/>
  <c r="N13" i="31"/>
  <c r="N60" i="31"/>
  <c r="N44" i="31"/>
  <c r="P26" i="31"/>
  <c r="N19" i="31"/>
  <c r="B12" i="25"/>
  <c r="N49" i="31"/>
  <c r="P56" i="31"/>
  <c r="N11" i="31"/>
  <c r="H11" i="25"/>
  <c r="P42" i="31"/>
  <c r="N35" i="31"/>
  <c r="P29" i="31"/>
  <c r="P37" i="31"/>
  <c r="N58" i="31"/>
  <c r="N38" i="31"/>
  <c r="N50" i="31"/>
  <c r="N33" i="31"/>
  <c r="N54" i="31"/>
  <c r="N31" i="31"/>
  <c r="N62" i="31"/>
  <c r="E11" i="25"/>
  <c r="N57" i="31"/>
  <c r="N40" i="31"/>
  <c r="P52" i="31"/>
  <c r="N22" i="31"/>
  <c r="R36" i="27" l="1"/>
  <c r="O13" i="31"/>
  <c r="R33" i="27"/>
  <c r="R32" i="27"/>
  <c r="R30" i="27"/>
  <c r="O11" i="31"/>
  <c r="R23" i="27"/>
  <c r="R19" i="27"/>
  <c r="R18" i="27"/>
  <c r="R9" i="27"/>
  <c r="O21" i="31"/>
  <c r="O60" i="31"/>
  <c r="O35" i="31"/>
  <c r="O19" i="31"/>
  <c r="O18" i="31"/>
  <c r="R21" i="27" s="1"/>
  <c r="O27" i="31"/>
  <c r="O31" i="31"/>
  <c r="O50" i="31"/>
  <c r="O25" i="31"/>
  <c r="O54" i="31"/>
  <c r="O53" i="31"/>
  <c r="O51" i="31"/>
  <c r="O49" i="31"/>
  <c r="O22" i="31"/>
  <c r="R12" i="25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M12" i="25"/>
  <c r="N12" i="25"/>
  <c r="O12" i="25"/>
  <c r="P12" i="25"/>
  <c r="Q12" i="25"/>
  <c r="K12" i="25"/>
  <c r="L12" i="25"/>
  <c r="J12" i="25"/>
  <c r="H12" i="25"/>
  <c r="I12" i="25"/>
  <c r="C12" i="25"/>
  <c r="D12" i="25"/>
  <c r="B13" i="25"/>
  <c r="E12" i="25"/>
  <c r="P62" i="31"/>
  <c r="N63" i="31"/>
  <c r="R38" i="27" l="1"/>
  <c r="S36" i="27"/>
  <c r="S28" i="27"/>
  <c r="S35" i="27"/>
  <c r="R34" i="27"/>
  <c r="S33" i="27"/>
  <c r="S32" i="27"/>
  <c r="S31" i="27"/>
  <c r="S30" i="27"/>
  <c r="R4" i="27"/>
  <c r="S7" i="27"/>
  <c r="R6" i="27"/>
  <c r="S11" i="27"/>
  <c r="S8" i="27"/>
  <c r="R10" i="27"/>
  <c r="R14" i="27"/>
  <c r="R13" i="27"/>
  <c r="R15" i="27"/>
  <c r="R16" i="27"/>
  <c r="R17" i="27"/>
  <c r="S13" i="27"/>
  <c r="T29" i="27"/>
  <c r="S29" i="27"/>
  <c r="R29" i="27"/>
  <c r="R28" i="27"/>
  <c r="S27" i="27"/>
  <c r="R27" i="27"/>
  <c r="S26" i="27"/>
  <c r="R26" i="27"/>
  <c r="S19" i="27"/>
  <c r="S21" i="27"/>
  <c r="S12" i="27"/>
  <c r="S18" i="27"/>
  <c r="S22" i="27"/>
  <c r="R25" i="27"/>
  <c r="R24" i="27"/>
  <c r="R22" i="27"/>
  <c r="R12" i="27"/>
  <c r="R7" i="27"/>
  <c r="R8" i="27"/>
  <c r="R11" i="27"/>
  <c r="R13" i="25"/>
  <c r="O63" i="31"/>
  <c r="M64" i="31"/>
  <c r="L65" i="31"/>
  <c r="J66" i="31"/>
  <c r="K66" i="31" s="1"/>
  <c r="N13" i="25"/>
  <c r="M13" i="25"/>
  <c r="O13" i="25"/>
  <c r="Q13" i="25"/>
  <c r="P13" i="25"/>
  <c r="K13" i="25"/>
  <c r="L13" i="25"/>
  <c r="J13" i="25"/>
  <c r="D13" i="25"/>
  <c r="P63" i="31"/>
  <c r="E13" i="25"/>
  <c r="H13" i="25"/>
  <c r="C13" i="25"/>
  <c r="B14" i="25"/>
  <c r="P64" i="31"/>
  <c r="I13" i="25"/>
  <c r="S25" i="27" l="1"/>
  <c r="R14" i="25"/>
  <c r="M65" i="31"/>
  <c r="L66" i="31"/>
  <c r="J67" i="31"/>
  <c r="K67" i="31" s="1"/>
  <c r="Q14" i="25"/>
  <c r="M14" i="25"/>
  <c r="N14" i="25"/>
  <c r="P14" i="25"/>
  <c r="O14" i="25"/>
  <c r="K14" i="25"/>
  <c r="J14" i="25"/>
  <c r="L14" i="25"/>
  <c r="D14" i="25"/>
  <c r="E14" i="25"/>
  <c r="C14" i="25"/>
  <c r="N64" i="31"/>
  <c r="H14" i="25"/>
  <c r="B15" i="25"/>
  <c r="I14" i="25"/>
  <c r="N65" i="31"/>
  <c r="R15" i="25" l="1"/>
  <c r="O64" i="31"/>
  <c r="O65" i="31"/>
  <c r="M66" i="31"/>
  <c r="L67" i="31"/>
  <c r="J68" i="31"/>
  <c r="K68" i="31" s="1"/>
  <c r="O15" i="25"/>
  <c r="N15" i="25"/>
  <c r="M15" i="25"/>
  <c r="P15" i="25"/>
  <c r="Q15" i="25"/>
  <c r="J15" i="25"/>
  <c r="K15" i="25"/>
  <c r="L15" i="25"/>
  <c r="H15" i="25"/>
  <c r="D15" i="25"/>
  <c r="E15" i="25"/>
  <c r="B16" i="25"/>
  <c r="N66" i="31"/>
  <c r="G15" i="25"/>
  <c r="C15" i="25"/>
  <c r="P65" i="31"/>
  <c r="I15" i="25"/>
  <c r="R16" i="25" l="1"/>
  <c r="O66" i="31"/>
  <c r="M67" i="31"/>
  <c r="L68" i="31"/>
  <c r="J69" i="31"/>
  <c r="K69" i="31" s="1"/>
  <c r="P16" i="25"/>
  <c r="N16" i="25"/>
  <c r="Q16" i="25"/>
  <c r="M16" i="25"/>
  <c r="O16" i="25"/>
  <c r="L16" i="25"/>
  <c r="J16" i="25"/>
  <c r="K16" i="25"/>
  <c r="E16" i="25"/>
  <c r="D16" i="25"/>
  <c r="B17" i="25"/>
  <c r="P66" i="31"/>
  <c r="C16" i="25"/>
  <c r="G16" i="25"/>
  <c r="H16" i="25"/>
  <c r="I16" i="25"/>
  <c r="N67" i="31"/>
  <c r="R17" i="25" l="1"/>
  <c r="O67" i="31"/>
  <c r="M68" i="31"/>
  <c r="L69" i="31"/>
  <c r="J70" i="31"/>
  <c r="K70" i="31" s="1"/>
  <c r="N17" i="25"/>
  <c r="Q17" i="25"/>
  <c r="P17" i="25"/>
  <c r="M17" i="25"/>
  <c r="O17" i="25"/>
  <c r="L17" i="25"/>
  <c r="J17" i="25"/>
  <c r="K17" i="25"/>
  <c r="P67" i="31"/>
  <c r="E17" i="25"/>
  <c r="I17" i="25"/>
  <c r="B18" i="25"/>
  <c r="C17" i="25"/>
  <c r="H17" i="25"/>
  <c r="D17" i="25"/>
  <c r="N68" i="31"/>
  <c r="R18" i="25" l="1"/>
  <c r="O68" i="31"/>
  <c r="M69" i="31"/>
  <c r="L70" i="31"/>
  <c r="J71" i="31"/>
  <c r="K71" i="31" s="1"/>
  <c r="N18" i="25"/>
  <c r="P18" i="25"/>
  <c r="O18" i="25"/>
  <c r="M18" i="25"/>
  <c r="Q18" i="25"/>
  <c r="K18" i="25"/>
  <c r="L18" i="25"/>
  <c r="J18" i="25"/>
  <c r="D18" i="25"/>
  <c r="E18" i="25"/>
  <c r="B19" i="25"/>
  <c r="C18" i="25"/>
  <c r="G18" i="25"/>
  <c r="N69" i="31"/>
  <c r="P68" i="31"/>
  <c r="H18" i="25"/>
  <c r="I18" i="25"/>
  <c r="R19" i="25" l="1"/>
  <c r="O69" i="31"/>
  <c r="M70" i="31"/>
  <c r="L71" i="31"/>
  <c r="J72" i="31"/>
  <c r="K72" i="31" s="1"/>
  <c r="M19" i="25"/>
  <c r="N19" i="25"/>
  <c r="P19" i="25"/>
  <c r="Q19" i="25"/>
  <c r="O19" i="25"/>
  <c r="L19" i="25"/>
  <c r="K19" i="25"/>
  <c r="J19" i="25"/>
  <c r="B20" i="25"/>
  <c r="E19" i="25"/>
  <c r="N70" i="31"/>
  <c r="P69" i="31"/>
  <c r="C19" i="25"/>
  <c r="H19" i="25"/>
  <c r="I19" i="25"/>
  <c r="D19" i="25"/>
  <c r="R20" i="25" l="1"/>
  <c r="O70" i="31"/>
  <c r="M71" i="31"/>
  <c r="L72" i="31"/>
  <c r="J73" i="31"/>
  <c r="K73" i="31" s="1"/>
  <c r="Q20" i="25"/>
  <c r="O20" i="25"/>
  <c r="N20" i="25"/>
  <c r="M20" i="25"/>
  <c r="P20" i="25"/>
  <c r="K20" i="25"/>
  <c r="L20" i="25"/>
  <c r="J20" i="25"/>
  <c r="D20" i="25"/>
  <c r="B21" i="25"/>
  <c r="C20" i="25"/>
  <c r="P70" i="31"/>
  <c r="E20" i="25"/>
  <c r="H20" i="25"/>
  <c r="G20" i="25"/>
  <c r="I20" i="25"/>
  <c r="N71" i="31"/>
  <c r="R21" i="25" l="1"/>
  <c r="O71" i="31"/>
  <c r="M72" i="31"/>
  <c r="L73" i="31"/>
  <c r="J74" i="31"/>
  <c r="K74" i="31" s="1"/>
  <c r="P21" i="25"/>
  <c r="M21" i="25"/>
  <c r="Q21" i="25"/>
  <c r="O21" i="25"/>
  <c r="N21" i="25"/>
  <c r="K21" i="25"/>
  <c r="L21" i="25"/>
  <c r="J21" i="25"/>
  <c r="P71" i="31"/>
  <c r="H21" i="25"/>
  <c r="C21" i="25"/>
  <c r="D21" i="25"/>
  <c r="E21" i="25"/>
  <c r="I21" i="25"/>
  <c r="B22" i="25"/>
  <c r="N72" i="31"/>
  <c r="R22" i="25" l="1"/>
  <c r="O72" i="31"/>
  <c r="M73" i="31"/>
  <c r="L74" i="31"/>
  <c r="J75" i="31"/>
  <c r="K75" i="31" s="1"/>
  <c r="P22" i="25"/>
  <c r="O22" i="25"/>
  <c r="N22" i="25"/>
  <c r="M22" i="25"/>
  <c r="Q22" i="25"/>
  <c r="J22" i="25"/>
  <c r="K22" i="25"/>
  <c r="L22" i="25"/>
  <c r="B23" i="25"/>
  <c r="E22" i="25"/>
  <c r="C22" i="25"/>
  <c r="P72" i="31"/>
  <c r="D22" i="25"/>
  <c r="H22" i="25"/>
  <c r="I22" i="25"/>
  <c r="G22" i="25"/>
  <c r="N73" i="31"/>
  <c r="R23" i="25" l="1"/>
  <c r="O73" i="31"/>
  <c r="M74" i="31"/>
  <c r="L75" i="31"/>
  <c r="J76" i="31"/>
  <c r="K76" i="31" s="1"/>
  <c r="N23" i="25"/>
  <c r="Q23" i="25"/>
  <c r="O23" i="25"/>
  <c r="M23" i="25"/>
  <c r="P23" i="25"/>
  <c r="J23" i="25"/>
  <c r="K23" i="25"/>
  <c r="L23" i="25"/>
  <c r="D23" i="25"/>
  <c r="P73" i="31"/>
  <c r="C23" i="25"/>
  <c r="E23" i="25"/>
  <c r="I23" i="25"/>
  <c r="B24" i="25"/>
  <c r="H23" i="25"/>
  <c r="N74" i="31"/>
  <c r="R24" i="25" l="1"/>
  <c r="O74" i="31"/>
  <c r="M75" i="31"/>
  <c r="L76" i="31"/>
  <c r="J77" i="31"/>
  <c r="K77" i="31" s="1"/>
  <c r="N24" i="25"/>
  <c r="Q24" i="25"/>
  <c r="P24" i="25"/>
  <c r="M24" i="25"/>
  <c r="O24" i="25"/>
  <c r="J24" i="25"/>
  <c r="L24" i="25"/>
  <c r="K24" i="25"/>
  <c r="P74" i="31"/>
  <c r="N75" i="31"/>
  <c r="D24" i="25"/>
  <c r="C24" i="25"/>
  <c r="H24" i="25"/>
  <c r="I24" i="25"/>
  <c r="E24" i="25"/>
  <c r="B25" i="25"/>
  <c r="R25" i="25" l="1"/>
  <c r="O75" i="31"/>
  <c r="M76" i="31"/>
  <c r="L77" i="31"/>
  <c r="J78" i="31"/>
  <c r="K78" i="31" s="1"/>
  <c r="M25" i="25"/>
  <c r="O25" i="25"/>
  <c r="N25" i="25"/>
  <c r="Q25" i="25"/>
  <c r="P25" i="25"/>
  <c r="L25" i="25"/>
  <c r="J25" i="25"/>
  <c r="K25" i="25"/>
  <c r="B26" i="25"/>
  <c r="P75" i="31"/>
  <c r="D25" i="25"/>
  <c r="G25" i="25"/>
  <c r="E25" i="25"/>
  <c r="I25" i="25"/>
  <c r="H25" i="25"/>
  <c r="N76" i="31"/>
  <c r="R26" i="25" l="1"/>
  <c r="O76" i="31"/>
  <c r="M77" i="31"/>
  <c r="L78" i="31"/>
  <c r="J79" i="31"/>
  <c r="K79" i="31" s="1"/>
  <c r="Q26" i="25"/>
  <c r="M26" i="25"/>
  <c r="P26" i="25"/>
  <c r="N26" i="25"/>
  <c r="O26" i="25"/>
  <c r="K26" i="25"/>
  <c r="J26" i="25"/>
  <c r="L26" i="25"/>
  <c r="D26" i="25"/>
  <c r="I26" i="25"/>
  <c r="H26" i="25"/>
  <c r="P76" i="31"/>
  <c r="B27" i="25"/>
  <c r="E26" i="25"/>
  <c r="N77" i="31"/>
  <c r="R27" i="25" l="1"/>
  <c r="O77" i="31"/>
  <c r="M78" i="31"/>
  <c r="L79" i="31"/>
  <c r="J80" i="31"/>
  <c r="K80" i="31" s="1"/>
  <c r="Q27" i="25"/>
  <c r="N27" i="25"/>
  <c r="M27" i="25"/>
  <c r="O27" i="25"/>
  <c r="P27" i="25"/>
  <c r="K27" i="25"/>
  <c r="J27" i="25"/>
  <c r="L27" i="25"/>
  <c r="B28" i="25"/>
  <c r="P77" i="31"/>
  <c r="E27" i="25"/>
  <c r="I27" i="25"/>
  <c r="D27" i="25"/>
  <c r="N78" i="31"/>
  <c r="H27" i="25"/>
  <c r="R28" i="25" l="1"/>
  <c r="O78" i="31"/>
  <c r="M79" i="31"/>
  <c r="L80" i="31"/>
  <c r="J81" i="31"/>
  <c r="K81" i="31" s="1"/>
  <c r="O28" i="25"/>
  <c r="P28" i="25"/>
  <c r="N28" i="25"/>
  <c r="Q28" i="25"/>
  <c r="M28" i="25"/>
  <c r="L28" i="25"/>
  <c r="K28" i="25"/>
  <c r="J28" i="25"/>
  <c r="P78" i="31"/>
  <c r="B29" i="25"/>
  <c r="D28" i="25"/>
  <c r="I28" i="25"/>
  <c r="H28" i="25"/>
  <c r="E28" i="25"/>
  <c r="N79" i="31"/>
  <c r="R29" i="25" l="1"/>
  <c r="O79" i="31"/>
  <c r="M80" i="31"/>
  <c r="L81" i="31"/>
  <c r="J82" i="31"/>
  <c r="K82" i="31" s="1"/>
  <c r="P29" i="25"/>
  <c r="O29" i="25"/>
  <c r="M29" i="25"/>
  <c r="N29" i="25"/>
  <c r="Q29" i="25"/>
  <c r="L29" i="25"/>
  <c r="J29" i="25"/>
  <c r="K29" i="25"/>
  <c r="D29" i="25"/>
  <c r="P79" i="31"/>
  <c r="C29" i="25"/>
  <c r="I29" i="25"/>
  <c r="E29" i="25"/>
  <c r="B30" i="25"/>
  <c r="H29" i="25"/>
  <c r="N80" i="31"/>
  <c r="R30" i="25" l="1"/>
  <c r="O80" i="31"/>
  <c r="M81" i="31"/>
  <c r="L82" i="31"/>
  <c r="J83" i="31"/>
  <c r="K83" i="31" s="1"/>
  <c r="N30" i="25"/>
  <c r="P30" i="25"/>
  <c r="M30" i="25"/>
  <c r="Q30" i="25"/>
  <c r="O30" i="25"/>
  <c r="K30" i="25"/>
  <c r="L30" i="25"/>
  <c r="J30" i="25"/>
  <c r="D30" i="25"/>
  <c r="B31" i="25"/>
  <c r="P80" i="31"/>
  <c r="I30" i="25"/>
  <c r="E30" i="25"/>
  <c r="C30" i="25"/>
  <c r="H30" i="25"/>
  <c r="N81" i="31"/>
  <c r="R31" i="25" l="1"/>
  <c r="O81" i="31"/>
  <c r="M82" i="31"/>
  <c r="L83" i="31"/>
  <c r="J84" i="31"/>
  <c r="K84" i="31" s="1"/>
  <c r="M31" i="25"/>
  <c r="N31" i="25"/>
  <c r="Q31" i="25"/>
  <c r="P31" i="25"/>
  <c r="O31" i="25"/>
  <c r="K31" i="25"/>
  <c r="L31" i="25"/>
  <c r="J31" i="25"/>
  <c r="C31" i="25"/>
  <c r="E31" i="25"/>
  <c r="B32" i="25"/>
  <c r="P81" i="31"/>
  <c r="N82" i="31"/>
  <c r="H31" i="25"/>
  <c r="I31" i="25"/>
  <c r="D31" i="25"/>
  <c r="R32" i="25" l="1"/>
  <c r="O82" i="31"/>
  <c r="M83" i="31"/>
  <c r="L84" i="31"/>
  <c r="J85" i="31"/>
  <c r="K85" i="31" s="1"/>
  <c r="N32" i="25"/>
  <c r="P32" i="25"/>
  <c r="M32" i="25"/>
  <c r="O32" i="25"/>
  <c r="Q32" i="25"/>
  <c r="L32" i="25"/>
  <c r="J32" i="25"/>
  <c r="K32" i="25"/>
  <c r="D32" i="25"/>
  <c r="E32" i="25"/>
  <c r="P82" i="31"/>
  <c r="N83" i="31"/>
  <c r="C32" i="25"/>
  <c r="I32" i="25"/>
  <c r="H32" i="25"/>
  <c r="B33" i="25"/>
  <c r="R33" i="25" l="1"/>
  <c r="O83" i="31"/>
  <c r="M84" i="31"/>
  <c r="L85" i="31"/>
  <c r="J86" i="31"/>
  <c r="K86" i="31" s="1"/>
  <c r="P33" i="25"/>
  <c r="O33" i="25"/>
  <c r="M33" i="25"/>
  <c r="Q33" i="25"/>
  <c r="N33" i="25"/>
  <c r="J33" i="25"/>
  <c r="L33" i="25"/>
  <c r="K33" i="25"/>
  <c r="E33" i="25"/>
  <c r="P83" i="31"/>
  <c r="B34" i="25"/>
  <c r="N84" i="31"/>
  <c r="C33" i="25"/>
  <c r="D33" i="25"/>
  <c r="C25" i="25"/>
  <c r="H33" i="25"/>
  <c r="I33" i="25"/>
  <c r="R34" i="25" l="1"/>
  <c r="O84" i="31"/>
  <c r="M85" i="31"/>
  <c r="L86" i="31"/>
  <c r="J87" i="31"/>
  <c r="K87" i="31" s="1"/>
  <c r="N34" i="25"/>
  <c r="M34" i="25"/>
  <c r="Q34" i="25"/>
  <c r="O34" i="25"/>
  <c r="P34" i="25"/>
  <c r="K34" i="25"/>
  <c r="J34" i="25"/>
  <c r="L34" i="25"/>
  <c r="D34" i="25"/>
  <c r="P84" i="31"/>
  <c r="E34" i="25"/>
  <c r="N85" i="31"/>
  <c r="H34" i="25"/>
  <c r="I34" i="25"/>
  <c r="C26" i="25"/>
  <c r="C34" i="25"/>
  <c r="B35" i="25"/>
  <c r="R35" i="25" l="1"/>
  <c r="O85" i="31"/>
  <c r="M86" i="31"/>
  <c r="L87" i="31"/>
  <c r="J88" i="31"/>
  <c r="K88" i="31" s="1"/>
  <c r="P35" i="25"/>
  <c r="M35" i="25"/>
  <c r="N35" i="25"/>
  <c r="Q35" i="25"/>
  <c r="O35" i="25"/>
  <c r="K35" i="25"/>
  <c r="J35" i="25"/>
  <c r="L35" i="25"/>
  <c r="B36" i="25"/>
  <c r="C27" i="25"/>
  <c r="I35" i="25"/>
  <c r="P85" i="31"/>
  <c r="E35" i="25"/>
  <c r="C35" i="25"/>
  <c r="C28" i="25"/>
  <c r="H35" i="25"/>
  <c r="N86" i="31"/>
  <c r="D35" i="25"/>
  <c r="R36" i="25" l="1"/>
  <c r="O86" i="31"/>
  <c r="M87" i="31"/>
  <c r="L88" i="31"/>
  <c r="J89" i="31"/>
  <c r="K89" i="31" s="1"/>
  <c r="O36" i="25"/>
  <c r="N36" i="25"/>
  <c r="P36" i="25"/>
  <c r="Q36" i="25"/>
  <c r="M36" i="25"/>
  <c r="K36" i="25"/>
  <c r="J36" i="25"/>
  <c r="L36" i="25"/>
  <c r="C36" i="25"/>
  <c r="D36" i="25"/>
  <c r="E36" i="25"/>
  <c r="B37" i="25"/>
  <c r="N87" i="31"/>
  <c r="I36" i="25"/>
  <c r="P86" i="31"/>
  <c r="H36" i="25"/>
  <c r="R37" i="25" l="1"/>
  <c r="O87" i="31"/>
  <c r="M88" i="31"/>
  <c r="L89" i="31"/>
  <c r="J90" i="31"/>
  <c r="K90" i="31" s="1"/>
  <c r="Q37" i="25"/>
  <c r="N37" i="25"/>
  <c r="O37" i="25"/>
  <c r="M37" i="25"/>
  <c r="P37" i="25"/>
  <c r="J37" i="25"/>
  <c r="L37" i="25"/>
  <c r="K37" i="25"/>
  <c r="E37" i="25"/>
  <c r="D37" i="25"/>
  <c r="B38" i="25"/>
  <c r="P87" i="31"/>
  <c r="N88" i="31"/>
  <c r="I37" i="25"/>
  <c r="H37" i="25"/>
  <c r="C37" i="25"/>
  <c r="R38" i="25" l="1"/>
  <c r="O88" i="31"/>
  <c r="M89" i="31"/>
  <c r="L90" i="31"/>
  <c r="J91" i="31"/>
  <c r="K91" i="31" s="1"/>
  <c r="N38" i="25"/>
  <c r="Q38" i="25"/>
  <c r="P38" i="25"/>
  <c r="O38" i="25"/>
  <c r="M38" i="25"/>
  <c r="L38" i="25"/>
  <c r="K38" i="25"/>
  <c r="J38" i="25"/>
  <c r="C38" i="25"/>
  <c r="D38" i="25"/>
  <c r="I38" i="25"/>
  <c r="P88" i="31"/>
  <c r="H38" i="25"/>
  <c r="E38" i="25"/>
  <c r="B39" i="25"/>
  <c r="N89" i="31"/>
  <c r="R39" i="25" l="1"/>
  <c r="O89" i="31"/>
  <c r="M90" i="31"/>
  <c r="L91" i="31"/>
  <c r="J92" i="31"/>
  <c r="K92" i="31" s="1"/>
  <c r="N39" i="25"/>
  <c r="P39" i="25"/>
  <c r="Q39" i="25"/>
  <c r="O39" i="25"/>
  <c r="M39" i="25"/>
  <c r="J39" i="25"/>
  <c r="L39" i="25"/>
  <c r="K39" i="25"/>
  <c r="E39" i="25"/>
  <c r="D39" i="25"/>
  <c r="C39" i="25"/>
  <c r="P89" i="31"/>
  <c r="I39" i="25"/>
  <c r="B40" i="25"/>
  <c r="N90" i="31"/>
  <c r="H39" i="25"/>
  <c r="R40" i="25" l="1"/>
  <c r="O90" i="31"/>
  <c r="M91" i="31"/>
  <c r="L92" i="31"/>
  <c r="J93" i="31"/>
  <c r="K93" i="31" s="1"/>
  <c r="Q40" i="25"/>
  <c r="P40" i="25"/>
  <c r="O40" i="25"/>
  <c r="M40" i="25"/>
  <c r="N40" i="25"/>
  <c r="L40" i="25"/>
  <c r="J40" i="25"/>
  <c r="K40" i="25"/>
  <c r="H40" i="25"/>
  <c r="C40" i="25"/>
  <c r="N91" i="31"/>
  <c r="I40" i="25"/>
  <c r="P90" i="31"/>
  <c r="E40" i="25"/>
  <c r="D40" i="25"/>
  <c r="B41" i="25"/>
  <c r="R41" i="25" l="1"/>
  <c r="O91" i="31"/>
  <c r="M92" i="31"/>
  <c r="L93" i="31"/>
  <c r="J94" i="31"/>
  <c r="K94" i="31" s="1"/>
  <c r="N41" i="25"/>
  <c r="P41" i="25"/>
  <c r="Q41" i="25"/>
  <c r="M41" i="25"/>
  <c r="O41" i="25"/>
  <c r="J41" i="25"/>
  <c r="K41" i="25"/>
  <c r="L41" i="25"/>
  <c r="I41" i="25"/>
  <c r="B42" i="25"/>
  <c r="C41" i="25"/>
  <c r="H41" i="25"/>
  <c r="P91" i="31"/>
  <c r="D41" i="25"/>
  <c r="E41" i="25"/>
  <c r="N92" i="31"/>
  <c r="R42" i="25" l="1"/>
  <c r="O92" i="31"/>
  <c r="M93" i="31"/>
  <c r="L94" i="31"/>
  <c r="J95" i="31"/>
  <c r="K95" i="31" s="1"/>
  <c r="Q42" i="25"/>
  <c r="M42" i="25"/>
  <c r="O42" i="25"/>
  <c r="N42" i="25"/>
  <c r="P42" i="25"/>
  <c r="K42" i="25"/>
  <c r="J42" i="25"/>
  <c r="L42" i="25"/>
  <c r="D42" i="25"/>
  <c r="P92" i="31"/>
  <c r="B43" i="25"/>
  <c r="H42" i="25"/>
  <c r="E42" i="25"/>
  <c r="I42" i="25"/>
  <c r="C42" i="25"/>
  <c r="N93" i="31"/>
  <c r="R43" i="25" l="1"/>
  <c r="O93" i="31"/>
  <c r="M94" i="31"/>
  <c r="L95" i="31"/>
  <c r="J96" i="31"/>
  <c r="K96" i="31" s="1"/>
  <c r="N43" i="25"/>
  <c r="P43" i="25"/>
  <c r="O43" i="25"/>
  <c r="M43" i="25"/>
  <c r="Q43" i="25"/>
  <c r="K43" i="25"/>
  <c r="J43" i="25"/>
  <c r="L43" i="25"/>
  <c r="D43" i="25"/>
  <c r="I43" i="25"/>
  <c r="H43" i="25"/>
  <c r="P93" i="31"/>
  <c r="C43" i="25"/>
  <c r="B44" i="25"/>
  <c r="E43" i="25"/>
  <c r="N94" i="31"/>
  <c r="R44" i="25" l="1"/>
  <c r="O94" i="31"/>
  <c r="M95" i="31"/>
  <c r="L96" i="31"/>
  <c r="J97" i="31"/>
  <c r="K97" i="31" s="1"/>
  <c r="O44" i="25"/>
  <c r="P44" i="25"/>
  <c r="N44" i="25"/>
  <c r="M44" i="25"/>
  <c r="Q44" i="25"/>
  <c r="J44" i="25"/>
  <c r="K44" i="25"/>
  <c r="L44" i="25"/>
  <c r="H44" i="25"/>
  <c r="C44" i="25"/>
  <c r="B45" i="25"/>
  <c r="D44" i="25"/>
  <c r="I44" i="25"/>
  <c r="P94" i="31"/>
  <c r="E44" i="25"/>
  <c r="N95" i="31"/>
  <c r="R45" i="25" l="1"/>
  <c r="O95" i="31"/>
  <c r="M96" i="31"/>
  <c r="L97" i="31"/>
  <c r="J98" i="31"/>
  <c r="K98" i="31" s="1"/>
  <c r="K45" i="25"/>
  <c r="N45" i="25"/>
  <c r="M45" i="25"/>
  <c r="P45" i="25"/>
  <c r="L45" i="25"/>
  <c r="O45" i="25"/>
  <c r="J45" i="25"/>
  <c r="Q45" i="25"/>
  <c r="D45" i="25"/>
  <c r="H45" i="25"/>
  <c r="B46" i="25"/>
  <c r="N96" i="31"/>
  <c r="E45" i="25"/>
  <c r="I45" i="25"/>
  <c r="P95" i="31"/>
  <c r="C45" i="25"/>
  <c r="R46" i="25" l="1"/>
  <c r="O96" i="31"/>
  <c r="M97" i="31"/>
  <c r="L98" i="31"/>
  <c r="J99" i="31"/>
  <c r="K99" i="31" s="1"/>
  <c r="Q46" i="25"/>
  <c r="N46" i="25"/>
  <c r="L46" i="25"/>
  <c r="M46" i="25"/>
  <c r="O46" i="25"/>
  <c r="P46" i="25"/>
  <c r="K46" i="25"/>
  <c r="J46" i="25"/>
  <c r="D46" i="25"/>
  <c r="B47" i="25"/>
  <c r="P96" i="31"/>
  <c r="E46" i="25"/>
  <c r="H46" i="25"/>
  <c r="C46" i="25"/>
  <c r="I46" i="25"/>
  <c r="N97" i="31"/>
  <c r="R47" i="25" l="1"/>
  <c r="O97" i="31"/>
  <c r="M98" i="31"/>
  <c r="L99" i="31"/>
  <c r="J100" i="31"/>
  <c r="K100" i="31" s="1"/>
  <c r="N47" i="25"/>
  <c r="J47" i="25"/>
  <c r="K47" i="25"/>
  <c r="Q47" i="25"/>
  <c r="O47" i="25"/>
  <c r="M47" i="25"/>
  <c r="L47" i="25"/>
  <c r="P47" i="25"/>
  <c r="E47" i="25"/>
  <c r="C47" i="25"/>
  <c r="I47" i="25"/>
  <c r="P97" i="31"/>
  <c r="B48" i="25"/>
  <c r="H47" i="25"/>
  <c r="D47" i="25"/>
  <c r="N98" i="31"/>
  <c r="R48" i="25" l="1"/>
  <c r="O98" i="31"/>
  <c r="M99" i="31"/>
  <c r="L100" i="31"/>
  <c r="J101" i="31"/>
  <c r="K101" i="31" s="1"/>
  <c r="K48" i="25"/>
  <c r="M48" i="25"/>
  <c r="N48" i="25"/>
  <c r="J48" i="25"/>
  <c r="Q48" i="25"/>
  <c r="L48" i="25"/>
  <c r="P48" i="25"/>
  <c r="O48" i="25"/>
  <c r="E48" i="25"/>
  <c r="I48" i="25"/>
  <c r="B49" i="25"/>
  <c r="C48" i="25"/>
  <c r="P98" i="31"/>
  <c r="H48" i="25"/>
  <c r="D48" i="25"/>
  <c r="N99" i="31"/>
  <c r="R49" i="25" l="1"/>
  <c r="O99" i="31"/>
  <c r="M100" i="31"/>
  <c r="L101" i="31"/>
  <c r="J102" i="31"/>
  <c r="K102" i="31" s="1"/>
  <c r="P49" i="25"/>
  <c r="N49" i="25"/>
  <c r="Q49" i="25"/>
  <c r="O49" i="25"/>
  <c r="J49" i="25"/>
  <c r="L49" i="25"/>
  <c r="M49" i="25"/>
  <c r="K49" i="25"/>
  <c r="E49" i="25"/>
  <c r="H49" i="25"/>
  <c r="C49" i="25"/>
  <c r="P99" i="31"/>
  <c r="N100" i="31"/>
  <c r="D49" i="25"/>
  <c r="I49" i="25"/>
  <c r="B50" i="25"/>
  <c r="K50" i="25" l="1"/>
  <c r="R50" i="25"/>
  <c r="M50" i="25"/>
  <c r="P50" i="25"/>
  <c r="N50" i="25"/>
  <c r="O50" i="25"/>
  <c r="Q50" i="25"/>
  <c r="J50" i="25"/>
  <c r="L50" i="25"/>
  <c r="O100" i="31"/>
  <c r="M101" i="31"/>
  <c r="L102" i="31"/>
  <c r="J103" i="31"/>
  <c r="K103" i="31" s="1"/>
  <c r="I50" i="25"/>
  <c r="H50" i="25"/>
  <c r="B51" i="25"/>
  <c r="P100" i="31"/>
  <c r="C50" i="25"/>
  <c r="D50" i="25"/>
  <c r="E50" i="25"/>
  <c r="N101" i="31"/>
  <c r="L51" i="25" l="1"/>
  <c r="O51" i="25"/>
  <c r="M51" i="25"/>
  <c r="Q51" i="25"/>
  <c r="J51" i="25"/>
  <c r="P51" i="25"/>
  <c r="K51" i="25"/>
  <c r="N51" i="25"/>
  <c r="R51" i="25"/>
  <c r="O101" i="31"/>
  <c r="M102" i="31"/>
  <c r="L103" i="31"/>
  <c r="J104" i="31"/>
  <c r="K104" i="31" s="1"/>
  <c r="C51" i="25"/>
  <c r="H51" i="25"/>
  <c r="P101" i="31"/>
  <c r="I51" i="25"/>
  <c r="B52" i="25"/>
  <c r="D51" i="25"/>
  <c r="E51" i="25"/>
  <c r="N102" i="31"/>
  <c r="K52" i="25" l="1"/>
  <c r="L52" i="25"/>
  <c r="J52" i="25"/>
  <c r="Q52" i="25"/>
  <c r="M52" i="25"/>
  <c r="P52" i="25"/>
  <c r="O52" i="25"/>
  <c r="N52" i="25"/>
  <c r="R52" i="25"/>
  <c r="O102" i="31"/>
  <c r="M103" i="31"/>
  <c r="L104" i="31"/>
  <c r="J105" i="31"/>
  <c r="K105" i="31" s="1"/>
  <c r="H52" i="25"/>
  <c r="N103" i="31"/>
  <c r="E52" i="25"/>
  <c r="I52" i="25"/>
  <c r="P102" i="31"/>
  <c r="C52" i="25"/>
  <c r="B53" i="25"/>
  <c r="D52" i="25"/>
  <c r="O53" i="25" l="1"/>
  <c r="P53" i="25"/>
  <c r="Q53" i="25"/>
  <c r="J53" i="25"/>
  <c r="L53" i="25"/>
  <c r="K53" i="25"/>
  <c r="N53" i="25"/>
  <c r="M53" i="25"/>
  <c r="R53" i="25"/>
  <c r="O103" i="31"/>
  <c r="M104" i="31"/>
  <c r="L105" i="31"/>
  <c r="J106" i="31"/>
  <c r="K106" i="31" s="1"/>
  <c r="B54" i="25"/>
  <c r="I53" i="25"/>
  <c r="P103" i="31"/>
  <c r="C53" i="25"/>
  <c r="D53" i="25"/>
  <c r="E53" i="25"/>
  <c r="H53" i="25"/>
  <c r="N104" i="31"/>
  <c r="P54" i="25" l="1"/>
  <c r="N54" i="25"/>
  <c r="K54" i="25"/>
  <c r="M54" i="25"/>
  <c r="O54" i="25"/>
  <c r="J54" i="25"/>
  <c r="Q54" i="25"/>
  <c r="L54" i="25"/>
  <c r="R54" i="25"/>
  <c r="O104" i="31"/>
  <c r="M105" i="31"/>
  <c r="L106" i="31"/>
  <c r="J107" i="31"/>
  <c r="K107" i="31" s="1"/>
  <c r="B55" i="25"/>
  <c r="H54" i="25"/>
  <c r="I54" i="25"/>
  <c r="P104" i="31"/>
  <c r="C54" i="25"/>
  <c r="G54" i="25"/>
  <c r="E54" i="25"/>
  <c r="D54" i="25"/>
  <c r="N105" i="31"/>
  <c r="N55" i="25" l="1"/>
  <c r="J55" i="25"/>
  <c r="P55" i="25"/>
  <c r="L55" i="25"/>
  <c r="Q55" i="25"/>
  <c r="O55" i="25"/>
  <c r="M55" i="25"/>
  <c r="K55" i="25"/>
  <c r="R55" i="25"/>
  <c r="O105" i="31"/>
  <c r="M106" i="31"/>
  <c r="L107" i="31"/>
  <c r="J108" i="31"/>
  <c r="K108" i="31" s="1"/>
  <c r="B56" i="25"/>
  <c r="C55" i="25"/>
  <c r="H55" i="25"/>
  <c r="E55" i="25"/>
  <c r="I55" i="25"/>
  <c r="P105" i="31"/>
  <c r="N106" i="31"/>
  <c r="D55" i="25"/>
  <c r="Q56" i="25" l="1"/>
  <c r="P56" i="25"/>
  <c r="O56" i="25"/>
  <c r="N56" i="25"/>
  <c r="M56" i="25"/>
  <c r="K56" i="25"/>
  <c r="L56" i="25"/>
  <c r="J56" i="25"/>
  <c r="R56" i="25"/>
  <c r="O106" i="31"/>
  <c r="M107" i="31"/>
  <c r="L108" i="31"/>
  <c r="J109" i="31"/>
  <c r="K109" i="31" s="1"/>
  <c r="I56" i="25"/>
  <c r="E56" i="25"/>
  <c r="H56" i="25"/>
  <c r="C56" i="25"/>
  <c r="D56" i="25"/>
  <c r="B57" i="25"/>
  <c r="P106" i="31"/>
  <c r="N107" i="31"/>
  <c r="K57" i="25" l="1"/>
  <c r="O57" i="25"/>
  <c r="J57" i="25"/>
  <c r="Q57" i="25"/>
  <c r="P57" i="25"/>
  <c r="M57" i="25"/>
  <c r="L57" i="25"/>
  <c r="N57" i="25"/>
  <c r="R57" i="25"/>
  <c r="O107" i="31"/>
  <c r="M108" i="31"/>
  <c r="L109" i="31"/>
  <c r="J110" i="31"/>
  <c r="K110" i="31" s="1"/>
  <c r="I57" i="25"/>
  <c r="H57" i="25"/>
  <c r="C57" i="25"/>
  <c r="E57" i="25"/>
  <c r="D57" i="25"/>
  <c r="B58" i="25"/>
  <c r="N108" i="31"/>
  <c r="P107" i="31"/>
  <c r="J58" i="25" l="1"/>
  <c r="K58" i="25"/>
  <c r="P58" i="25"/>
  <c r="O58" i="25"/>
  <c r="N58" i="25"/>
  <c r="L58" i="25"/>
  <c r="M58" i="25"/>
  <c r="Q58" i="25"/>
  <c r="R58" i="25"/>
  <c r="O108" i="31"/>
  <c r="M109" i="31"/>
  <c r="L110" i="31"/>
  <c r="J111" i="31"/>
  <c r="K111" i="31" s="1"/>
  <c r="H58" i="25"/>
  <c r="I58" i="25"/>
  <c r="B59" i="25"/>
  <c r="D58" i="25"/>
  <c r="E58" i="25"/>
  <c r="C58" i="25"/>
  <c r="P108" i="31"/>
  <c r="N109" i="31"/>
  <c r="N59" i="25" l="1"/>
  <c r="K59" i="25"/>
  <c r="L59" i="25"/>
  <c r="J59" i="25"/>
  <c r="Q59" i="25"/>
  <c r="O59" i="25"/>
  <c r="M59" i="25"/>
  <c r="P59" i="25"/>
  <c r="R59" i="25"/>
  <c r="O109" i="31"/>
  <c r="M110" i="31"/>
  <c r="L111" i="31"/>
  <c r="J112" i="31"/>
  <c r="K112" i="31" s="1"/>
  <c r="I59" i="25"/>
  <c r="H59" i="25"/>
  <c r="B60" i="25"/>
  <c r="E59" i="25"/>
  <c r="D59" i="25"/>
  <c r="C59" i="25"/>
  <c r="P109" i="31"/>
  <c r="N110" i="31"/>
  <c r="N60" i="25" l="1"/>
  <c r="M60" i="25"/>
  <c r="L60" i="25"/>
  <c r="Q60" i="25"/>
  <c r="P60" i="25"/>
  <c r="J60" i="25"/>
  <c r="K60" i="25"/>
  <c r="O60" i="25"/>
  <c r="R60" i="25"/>
  <c r="O110" i="31"/>
  <c r="M111" i="31"/>
  <c r="L112" i="31"/>
  <c r="J113" i="31"/>
  <c r="K113" i="31" s="1"/>
  <c r="H60" i="25"/>
  <c r="I60" i="25"/>
  <c r="E60" i="25"/>
  <c r="D60" i="25"/>
  <c r="C60" i="25"/>
  <c r="B61" i="25"/>
  <c r="P110" i="31"/>
  <c r="N111" i="31"/>
  <c r="M61" i="25" l="1"/>
  <c r="O61" i="25"/>
  <c r="K61" i="25"/>
  <c r="P61" i="25"/>
  <c r="L61" i="25"/>
  <c r="J61" i="25"/>
  <c r="N61" i="25"/>
  <c r="Q61" i="25"/>
  <c r="R61" i="25"/>
  <c r="O111" i="31"/>
  <c r="M112" i="31"/>
  <c r="L113" i="31"/>
  <c r="J114" i="31"/>
  <c r="K114" i="31" s="1"/>
  <c r="I61" i="25"/>
  <c r="H61" i="25"/>
  <c r="F61" i="25"/>
  <c r="D61" i="25"/>
  <c r="B62" i="25"/>
  <c r="E61" i="25"/>
  <c r="C61" i="25"/>
  <c r="P111" i="31"/>
  <c r="N112" i="31"/>
  <c r="M62" i="25" l="1"/>
  <c r="K62" i="25"/>
  <c r="P62" i="25"/>
  <c r="N62" i="25"/>
  <c r="Q62" i="25"/>
  <c r="L62" i="25"/>
  <c r="J62" i="25"/>
  <c r="O62" i="25"/>
  <c r="R62" i="25"/>
  <c r="O112" i="31"/>
  <c r="M113" i="31"/>
  <c r="L114" i="31"/>
  <c r="J115" i="31"/>
  <c r="K115" i="31" s="1"/>
  <c r="I62" i="25"/>
  <c r="H62" i="25"/>
  <c r="G62" i="25"/>
  <c r="E62" i="25"/>
  <c r="F62" i="25"/>
  <c r="C62" i="25"/>
  <c r="D62" i="25"/>
  <c r="B63" i="25"/>
  <c r="N113" i="31"/>
  <c r="P112" i="31"/>
  <c r="M63" i="25" l="1"/>
  <c r="L63" i="25"/>
  <c r="K63" i="25"/>
  <c r="J63" i="25"/>
  <c r="P63" i="25"/>
  <c r="N63" i="25"/>
  <c r="Q63" i="25"/>
  <c r="O63" i="25"/>
  <c r="R63" i="25"/>
  <c r="O113" i="31"/>
  <c r="M114" i="31"/>
  <c r="L115" i="31"/>
  <c r="J116" i="31"/>
  <c r="K116" i="31" s="1"/>
  <c r="I63" i="25"/>
  <c r="H63" i="25"/>
  <c r="F63" i="25"/>
  <c r="D63" i="25"/>
  <c r="E63" i="25"/>
  <c r="B64" i="25"/>
  <c r="C63" i="25"/>
  <c r="G63" i="25"/>
  <c r="P113" i="31"/>
  <c r="N114" i="31"/>
  <c r="L64" i="25" l="1"/>
  <c r="P64" i="25"/>
  <c r="K64" i="25"/>
  <c r="J64" i="25"/>
  <c r="Q64" i="25"/>
  <c r="N64" i="25"/>
  <c r="M64" i="25"/>
  <c r="O64" i="25"/>
  <c r="R64" i="25"/>
  <c r="O114" i="31"/>
  <c r="M115" i="31"/>
  <c r="L116" i="31"/>
  <c r="J117" i="31"/>
  <c r="K117" i="31" s="1"/>
  <c r="I64" i="25"/>
  <c r="H64" i="25"/>
  <c r="C64" i="25"/>
  <c r="D64" i="25"/>
  <c r="B65" i="25"/>
  <c r="G64" i="25"/>
  <c r="F64" i="25"/>
  <c r="E64" i="25"/>
  <c r="P114" i="31"/>
  <c r="N115" i="31"/>
  <c r="M65" i="25" l="1"/>
  <c r="J65" i="25"/>
  <c r="L65" i="25"/>
  <c r="N65" i="25"/>
  <c r="K65" i="25"/>
  <c r="Q65" i="25"/>
  <c r="P65" i="25"/>
  <c r="O65" i="25"/>
  <c r="R65" i="25"/>
  <c r="O115" i="31"/>
  <c r="M116" i="31"/>
  <c r="L117" i="31"/>
  <c r="J118" i="31"/>
  <c r="K118" i="31" s="1"/>
  <c r="H65" i="25"/>
  <c r="I65" i="25"/>
  <c r="D65" i="25"/>
  <c r="E65" i="25"/>
  <c r="G65" i="25"/>
  <c r="B66" i="25"/>
  <c r="C65" i="25"/>
  <c r="F65" i="25"/>
  <c r="P115" i="31"/>
  <c r="N116" i="31"/>
  <c r="O66" i="25" l="1"/>
  <c r="P66" i="25"/>
  <c r="N66" i="25"/>
  <c r="K66" i="25"/>
  <c r="L66" i="25"/>
  <c r="Q66" i="25"/>
  <c r="M66" i="25"/>
  <c r="J66" i="25"/>
  <c r="R66" i="25"/>
  <c r="O116" i="31"/>
  <c r="M117" i="31"/>
  <c r="L118" i="31"/>
  <c r="J119" i="31"/>
  <c r="K119" i="31" s="1"/>
  <c r="I66" i="25"/>
  <c r="H66" i="25"/>
  <c r="E66" i="25"/>
  <c r="C66" i="25"/>
  <c r="D66" i="25"/>
  <c r="B67" i="25"/>
  <c r="G66" i="25"/>
  <c r="F66" i="25"/>
  <c r="N117" i="31"/>
  <c r="P116" i="31"/>
  <c r="L67" i="25" l="1"/>
  <c r="J67" i="25"/>
  <c r="P67" i="25"/>
  <c r="K67" i="25"/>
  <c r="Q67" i="25"/>
  <c r="N67" i="25"/>
  <c r="O67" i="25"/>
  <c r="M67" i="25"/>
  <c r="R67" i="25"/>
  <c r="O117" i="31"/>
  <c r="M118" i="31"/>
  <c r="L119" i="31"/>
  <c r="J120" i="31"/>
  <c r="K120" i="31" s="1"/>
  <c r="I67" i="25"/>
  <c r="H67" i="25"/>
  <c r="D67" i="25"/>
  <c r="F67" i="25"/>
  <c r="C67" i="25"/>
  <c r="B68" i="25"/>
  <c r="E67" i="25"/>
  <c r="G67" i="25"/>
  <c r="N118" i="31"/>
  <c r="P117" i="31"/>
  <c r="O68" i="25" l="1"/>
  <c r="N68" i="25"/>
  <c r="K68" i="25"/>
  <c r="Q68" i="25"/>
  <c r="M68" i="25"/>
  <c r="J68" i="25"/>
  <c r="L68" i="25"/>
  <c r="P68" i="25"/>
  <c r="R68" i="25"/>
  <c r="O118" i="31"/>
  <c r="M119" i="31"/>
  <c r="L120" i="31"/>
  <c r="J121" i="31"/>
  <c r="K121" i="31" s="1"/>
  <c r="I68" i="25"/>
  <c r="H68" i="25"/>
  <c r="E68" i="25"/>
  <c r="G68" i="25"/>
  <c r="D68" i="25"/>
  <c r="C68" i="25"/>
  <c r="B69" i="25"/>
  <c r="F68" i="25"/>
  <c r="P118" i="31"/>
  <c r="N119" i="31"/>
  <c r="J69" i="25" l="1"/>
  <c r="O69" i="25"/>
  <c r="N69" i="25"/>
  <c r="Q69" i="25"/>
  <c r="P69" i="25"/>
  <c r="M69" i="25"/>
  <c r="K69" i="25"/>
  <c r="L69" i="25"/>
  <c r="R69" i="25"/>
  <c r="O119" i="31"/>
  <c r="M120" i="31"/>
  <c r="L121" i="31"/>
  <c r="J122" i="31"/>
  <c r="K122" i="31" s="1"/>
  <c r="H69" i="25"/>
  <c r="I69" i="25"/>
  <c r="G69" i="25"/>
  <c r="B70" i="25"/>
  <c r="D69" i="25"/>
  <c r="F69" i="25"/>
  <c r="C69" i="25"/>
  <c r="E69" i="25"/>
  <c r="N120" i="31"/>
  <c r="P119" i="31"/>
  <c r="N70" i="25" l="1"/>
  <c r="M70" i="25"/>
  <c r="P70" i="25"/>
  <c r="Q70" i="25"/>
  <c r="J70" i="25"/>
  <c r="L70" i="25"/>
  <c r="K70" i="25"/>
  <c r="O70" i="25"/>
  <c r="R70" i="25"/>
  <c r="O120" i="31"/>
  <c r="M121" i="31"/>
  <c r="L122" i="31"/>
  <c r="J123" i="31"/>
  <c r="K123" i="31" s="1"/>
  <c r="I70" i="25"/>
  <c r="H70" i="25"/>
  <c r="G70" i="25"/>
  <c r="D70" i="25"/>
  <c r="B71" i="25"/>
  <c r="F70" i="25"/>
  <c r="E70" i="25"/>
  <c r="C70" i="25"/>
  <c r="P120" i="31"/>
  <c r="N121" i="31"/>
  <c r="P71" i="25" l="1"/>
  <c r="J71" i="25"/>
  <c r="N71" i="25"/>
  <c r="L71" i="25"/>
  <c r="O71" i="25"/>
  <c r="K71" i="25"/>
  <c r="M71" i="25"/>
  <c r="Q71" i="25"/>
  <c r="R71" i="25"/>
  <c r="O121" i="31"/>
  <c r="M122" i="31"/>
  <c r="L123" i="31"/>
  <c r="J124" i="31"/>
  <c r="K124" i="31" s="1"/>
  <c r="H71" i="25"/>
  <c r="I71" i="25"/>
  <c r="C71" i="25"/>
  <c r="D71" i="25"/>
  <c r="B72" i="25"/>
  <c r="G71" i="25"/>
  <c r="E71" i="25"/>
  <c r="F71" i="25"/>
  <c r="N122" i="31"/>
  <c r="P121" i="31"/>
  <c r="N72" i="25" l="1"/>
  <c r="L72" i="25"/>
  <c r="K72" i="25"/>
  <c r="J72" i="25"/>
  <c r="Q72" i="25"/>
  <c r="P72" i="25"/>
  <c r="O72" i="25"/>
  <c r="M72" i="25"/>
  <c r="R72" i="25"/>
  <c r="O122" i="31"/>
  <c r="M123" i="31"/>
  <c r="L124" i="31"/>
  <c r="J125" i="31"/>
  <c r="K125" i="31" s="1"/>
  <c r="I72" i="25"/>
  <c r="H72" i="25"/>
  <c r="D72" i="25"/>
  <c r="C72" i="25"/>
  <c r="B73" i="25"/>
  <c r="E72" i="25"/>
  <c r="G72" i="25"/>
  <c r="F72" i="25"/>
  <c r="N123" i="31"/>
  <c r="P122" i="31"/>
  <c r="L73" i="25" l="1"/>
  <c r="K73" i="25"/>
  <c r="J73" i="25"/>
  <c r="Q73" i="25"/>
  <c r="P73" i="25"/>
  <c r="O73" i="25"/>
  <c r="N73" i="25"/>
  <c r="M73" i="25"/>
  <c r="R73" i="25"/>
  <c r="O123" i="31"/>
  <c r="M124" i="31"/>
  <c r="L125" i="31"/>
  <c r="J126" i="31"/>
  <c r="K126" i="31" s="1"/>
  <c r="H73" i="25"/>
  <c r="I73" i="25"/>
  <c r="D73" i="25"/>
  <c r="C73" i="25"/>
  <c r="E73" i="25"/>
  <c r="G73" i="25"/>
  <c r="B74" i="25"/>
  <c r="F73" i="25"/>
  <c r="P123" i="31"/>
  <c r="N124" i="31"/>
  <c r="N74" i="25" l="1"/>
  <c r="M74" i="25"/>
  <c r="Q74" i="25"/>
  <c r="L74" i="25"/>
  <c r="P74" i="25"/>
  <c r="O74" i="25"/>
  <c r="J74" i="25"/>
  <c r="K74" i="25"/>
  <c r="R74" i="25"/>
  <c r="O124" i="31"/>
  <c r="M125" i="31"/>
  <c r="L126" i="31"/>
  <c r="J127" i="31"/>
  <c r="K127" i="31" s="1"/>
  <c r="H74" i="25"/>
  <c r="I74" i="25"/>
  <c r="G74" i="25"/>
  <c r="F74" i="25"/>
  <c r="B75" i="25"/>
  <c r="D74" i="25"/>
  <c r="E74" i="25"/>
  <c r="C74" i="25"/>
  <c r="P124" i="31"/>
  <c r="N125" i="31"/>
  <c r="P75" i="25" l="1"/>
  <c r="N75" i="25"/>
  <c r="L75" i="25"/>
  <c r="J75" i="25"/>
  <c r="K75" i="25"/>
  <c r="Q75" i="25"/>
  <c r="O75" i="25"/>
  <c r="M75" i="25"/>
  <c r="R75" i="25"/>
  <c r="O125" i="31"/>
  <c r="M126" i="31"/>
  <c r="L127" i="31"/>
  <c r="J128" i="31"/>
  <c r="K128" i="31" s="1"/>
  <c r="I75" i="25"/>
  <c r="H75" i="25"/>
  <c r="B76" i="25"/>
  <c r="D75" i="25"/>
  <c r="F75" i="25"/>
  <c r="G75" i="25"/>
  <c r="C75" i="25"/>
  <c r="E75" i="25"/>
  <c r="P125" i="31"/>
  <c r="N126" i="31"/>
  <c r="O76" i="25" l="1"/>
  <c r="N76" i="25"/>
  <c r="M76" i="25"/>
  <c r="L76" i="25"/>
  <c r="J76" i="25"/>
  <c r="K76" i="25"/>
  <c r="Q76" i="25"/>
  <c r="P76" i="25"/>
  <c r="R76" i="25"/>
  <c r="O126" i="31"/>
  <c r="M127" i="31"/>
  <c r="L128" i="31"/>
  <c r="J129" i="31"/>
  <c r="K129" i="31" s="1"/>
  <c r="H76" i="25"/>
  <c r="I76" i="25"/>
  <c r="B77" i="25"/>
  <c r="D76" i="25"/>
  <c r="E76" i="25"/>
  <c r="G76" i="25"/>
  <c r="C76" i="25"/>
  <c r="F76" i="25"/>
  <c r="P126" i="31"/>
  <c r="N127" i="31"/>
  <c r="J77" i="25" l="1"/>
  <c r="K77" i="25"/>
  <c r="P77" i="25"/>
  <c r="Q77" i="25"/>
  <c r="L77" i="25"/>
  <c r="O77" i="25"/>
  <c r="M77" i="25"/>
  <c r="N77" i="25"/>
  <c r="R77" i="25"/>
  <c r="O127" i="31"/>
  <c r="M128" i="31"/>
  <c r="L129" i="31"/>
  <c r="J130" i="31"/>
  <c r="K130" i="31" s="1"/>
  <c r="H77" i="25"/>
  <c r="I77" i="25"/>
  <c r="G77" i="25"/>
  <c r="E77" i="25"/>
  <c r="F77" i="25"/>
  <c r="B78" i="25"/>
  <c r="C77" i="25"/>
  <c r="D77" i="25"/>
  <c r="P127" i="31"/>
  <c r="N128" i="31"/>
  <c r="N78" i="25" l="1"/>
  <c r="Q78" i="25"/>
  <c r="M78" i="25"/>
  <c r="K78" i="25"/>
  <c r="L78" i="25"/>
  <c r="J78" i="25"/>
  <c r="O78" i="25"/>
  <c r="P78" i="25"/>
  <c r="R78" i="25"/>
  <c r="O128" i="31"/>
  <c r="M129" i="31"/>
  <c r="L130" i="31"/>
  <c r="J131" i="31"/>
  <c r="K131" i="31" s="1"/>
  <c r="H78" i="25"/>
  <c r="I78" i="25"/>
  <c r="D78" i="25"/>
  <c r="B79" i="25"/>
  <c r="C78" i="25"/>
  <c r="F78" i="25"/>
  <c r="E78" i="25"/>
  <c r="G78" i="25"/>
  <c r="N129" i="31"/>
  <c r="P128" i="31"/>
  <c r="M79" i="25" l="1"/>
  <c r="K79" i="25"/>
  <c r="N79" i="25"/>
  <c r="L79" i="25"/>
  <c r="O79" i="25"/>
  <c r="J79" i="25"/>
  <c r="P79" i="25"/>
  <c r="Q79" i="25"/>
  <c r="R79" i="25"/>
  <c r="O129" i="31"/>
  <c r="M130" i="31"/>
  <c r="L131" i="31"/>
  <c r="J132" i="31"/>
  <c r="K132" i="31" s="1"/>
  <c r="H79" i="25"/>
  <c r="I79" i="25"/>
  <c r="B80" i="25"/>
  <c r="D79" i="25"/>
  <c r="F79" i="25"/>
  <c r="G79" i="25"/>
  <c r="C79" i="25"/>
  <c r="E79" i="25"/>
  <c r="P129" i="31"/>
  <c r="N130" i="31"/>
  <c r="M80" i="25" l="1"/>
  <c r="J80" i="25"/>
  <c r="Q80" i="25"/>
  <c r="L80" i="25"/>
  <c r="K80" i="25"/>
  <c r="P80" i="25"/>
  <c r="O80" i="25"/>
  <c r="N80" i="25"/>
  <c r="R80" i="25"/>
  <c r="O130" i="31"/>
  <c r="M131" i="31"/>
  <c r="L132" i="31"/>
  <c r="J133" i="31"/>
  <c r="K133" i="31" s="1"/>
  <c r="I80" i="25"/>
  <c r="H80" i="25"/>
  <c r="D80" i="25"/>
  <c r="F80" i="25"/>
  <c r="C80" i="25"/>
  <c r="E80" i="25"/>
  <c r="B81" i="25"/>
  <c r="G80" i="25"/>
  <c r="P130" i="31"/>
  <c r="N131" i="31"/>
  <c r="N81" i="25" l="1"/>
  <c r="P81" i="25"/>
  <c r="M81" i="25"/>
  <c r="O81" i="25"/>
  <c r="L81" i="25"/>
  <c r="K81" i="25"/>
  <c r="J81" i="25"/>
  <c r="Q81" i="25"/>
  <c r="R81" i="25"/>
  <c r="O131" i="31"/>
  <c r="M132" i="31"/>
  <c r="L133" i="31"/>
  <c r="J134" i="31"/>
  <c r="K134" i="31" s="1"/>
  <c r="H81" i="25"/>
  <c r="I81" i="25"/>
  <c r="G81" i="25"/>
  <c r="F81" i="25"/>
  <c r="C81" i="25"/>
  <c r="E81" i="25"/>
  <c r="B82" i="25"/>
  <c r="D81" i="25"/>
  <c r="N132" i="31"/>
  <c r="P131" i="31"/>
  <c r="P82" i="25" l="1"/>
  <c r="Q82" i="25"/>
  <c r="J82" i="25"/>
  <c r="O82" i="25"/>
  <c r="N82" i="25"/>
  <c r="M82" i="25"/>
  <c r="K82" i="25"/>
  <c r="L82" i="25"/>
  <c r="R82" i="25"/>
  <c r="O132" i="31"/>
  <c r="M133" i="31"/>
  <c r="L134" i="31"/>
  <c r="J135" i="31"/>
  <c r="K135" i="31" s="1"/>
  <c r="I82" i="25"/>
  <c r="H82" i="25"/>
  <c r="G82" i="25"/>
  <c r="F82" i="25"/>
  <c r="E82" i="25"/>
  <c r="B83" i="25"/>
  <c r="C82" i="25"/>
  <c r="D82" i="25"/>
  <c r="P132" i="31"/>
  <c r="N133" i="31"/>
  <c r="M83" i="25" l="1"/>
  <c r="J83" i="25"/>
  <c r="P83" i="25"/>
  <c r="N83" i="25"/>
  <c r="L83" i="25"/>
  <c r="K83" i="25"/>
  <c r="Q83" i="25"/>
  <c r="O83" i="25"/>
  <c r="R83" i="25"/>
  <c r="O133" i="31"/>
  <c r="M134" i="31"/>
  <c r="L135" i="31"/>
  <c r="J136" i="31"/>
  <c r="K136" i="31" s="1"/>
  <c r="I83" i="25"/>
  <c r="H83" i="25"/>
  <c r="C83" i="25"/>
  <c r="E83" i="25"/>
  <c r="F83" i="25"/>
  <c r="D83" i="25"/>
  <c r="B84" i="25"/>
  <c r="G83" i="25"/>
  <c r="P133" i="31"/>
  <c r="N134" i="31"/>
  <c r="P84" i="25" l="1"/>
  <c r="K84" i="25"/>
  <c r="O84" i="25"/>
  <c r="N84" i="25"/>
  <c r="J84" i="25"/>
  <c r="Q84" i="25"/>
  <c r="M84" i="25"/>
  <c r="L84" i="25"/>
  <c r="R84" i="25"/>
  <c r="O134" i="31"/>
  <c r="M135" i="31"/>
  <c r="L136" i="31"/>
  <c r="J137" i="31"/>
  <c r="K137" i="31" s="1"/>
  <c r="H84" i="25"/>
  <c r="I84" i="25"/>
  <c r="D84" i="25"/>
  <c r="G84" i="25"/>
  <c r="C84" i="25"/>
  <c r="F84" i="25"/>
  <c r="B85" i="25"/>
  <c r="E84" i="25"/>
  <c r="P134" i="31"/>
  <c r="N135" i="31"/>
  <c r="K85" i="25" l="1"/>
  <c r="L85" i="25"/>
  <c r="J85" i="25"/>
  <c r="Q85" i="25"/>
  <c r="M85" i="25"/>
  <c r="P85" i="25"/>
  <c r="N85" i="25"/>
  <c r="O85" i="25"/>
  <c r="R85" i="25"/>
  <c r="O135" i="31"/>
  <c r="M136" i="31"/>
  <c r="L137" i="31"/>
  <c r="J138" i="31"/>
  <c r="K138" i="31" s="1"/>
  <c r="I85" i="25"/>
  <c r="H85" i="25"/>
  <c r="B86" i="25"/>
  <c r="E85" i="25"/>
  <c r="D85" i="25"/>
  <c r="G85" i="25"/>
  <c r="F85" i="25"/>
  <c r="C85" i="25"/>
  <c r="N136" i="31"/>
  <c r="P135" i="31"/>
  <c r="Q86" i="25" l="1"/>
  <c r="O86" i="25"/>
  <c r="M86" i="25"/>
  <c r="K86" i="25"/>
  <c r="N86" i="25"/>
  <c r="L86" i="25"/>
  <c r="P86" i="25"/>
  <c r="J86" i="25"/>
  <c r="R86" i="25"/>
  <c r="O136" i="31"/>
  <c r="M137" i="31"/>
  <c r="L138" i="31"/>
  <c r="J139" i="31"/>
  <c r="K139" i="31" s="1"/>
  <c r="H86" i="25"/>
  <c r="I86" i="25"/>
  <c r="G86" i="25"/>
  <c r="C86" i="25"/>
  <c r="D86" i="25"/>
  <c r="B87" i="25"/>
  <c r="E86" i="25"/>
  <c r="F86" i="25"/>
  <c r="P136" i="31"/>
  <c r="N137" i="31"/>
  <c r="M87" i="25" l="1"/>
  <c r="N87" i="25"/>
  <c r="Q87" i="25"/>
  <c r="P87" i="25"/>
  <c r="J87" i="25"/>
  <c r="L87" i="25"/>
  <c r="K87" i="25"/>
  <c r="O87" i="25"/>
  <c r="R87" i="25"/>
  <c r="O137" i="31"/>
  <c r="M138" i="31"/>
  <c r="L139" i="31"/>
  <c r="J140" i="31"/>
  <c r="K140" i="31" s="1"/>
  <c r="I87" i="25"/>
  <c r="H87" i="25"/>
  <c r="B88" i="25"/>
  <c r="G87" i="25"/>
  <c r="C87" i="25"/>
  <c r="E87" i="25"/>
  <c r="F87" i="25"/>
  <c r="D87" i="25"/>
  <c r="N138" i="31"/>
  <c r="P137" i="31"/>
  <c r="N88" i="25" l="1"/>
  <c r="M88" i="25"/>
  <c r="Q88" i="25"/>
  <c r="L88" i="25"/>
  <c r="O88" i="25"/>
  <c r="K88" i="25"/>
  <c r="J88" i="25"/>
  <c r="P88" i="25"/>
  <c r="R88" i="25"/>
  <c r="O138" i="31"/>
  <c r="M139" i="31"/>
  <c r="L140" i="31"/>
  <c r="J141" i="31"/>
  <c r="K141" i="31" s="1"/>
  <c r="H88" i="25"/>
  <c r="I88" i="25"/>
  <c r="F88" i="25"/>
  <c r="E88" i="25"/>
  <c r="G88" i="25"/>
  <c r="C88" i="25"/>
  <c r="B89" i="25"/>
  <c r="D88" i="25"/>
  <c r="P138" i="31"/>
  <c r="N139" i="31"/>
  <c r="N89" i="25" l="1"/>
  <c r="Q89" i="25"/>
  <c r="M89" i="25"/>
  <c r="L89" i="25"/>
  <c r="O89" i="25"/>
  <c r="K89" i="25"/>
  <c r="J89" i="25"/>
  <c r="P89" i="25"/>
  <c r="R89" i="25"/>
  <c r="O139" i="31"/>
  <c r="M140" i="31"/>
  <c r="L141" i="31"/>
  <c r="J142" i="31"/>
  <c r="K142" i="31" s="1"/>
  <c r="I89" i="25"/>
  <c r="H89" i="25"/>
  <c r="B90" i="25"/>
  <c r="C89" i="25"/>
  <c r="E89" i="25"/>
  <c r="D89" i="25"/>
  <c r="F89" i="25"/>
  <c r="G89" i="25"/>
  <c r="P139" i="31"/>
  <c r="N140" i="31"/>
  <c r="O90" i="25" l="1"/>
  <c r="M90" i="25"/>
  <c r="N90" i="25"/>
  <c r="L90" i="25"/>
  <c r="J90" i="25"/>
  <c r="K90" i="25"/>
  <c r="Q90" i="25"/>
  <c r="P90" i="25"/>
  <c r="R90" i="25"/>
  <c r="O140" i="31"/>
  <c r="M141" i="31"/>
  <c r="L142" i="31"/>
  <c r="J143" i="31"/>
  <c r="K143" i="31" s="1"/>
  <c r="I90" i="25"/>
  <c r="H90" i="25"/>
  <c r="C90" i="25"/>
  <c r="G90" i="25"/>
  <c r="B91" i="25"/>
  <c r="D90" i="25"/>
  <c r="E90" i="25"/>
  <c r="F90" i="25"/>
  <c r="P140" i="31"/>
  <c r="N141" i="31"/>
  <c r="N91" i="25" l="1"/>
  <c r="Q91" i="25"/>
  <c r="O91" i="25"/>
  <c r="L91" i="25"/>
  <c r="M91" i="25"/>
  <c r="K91" i="25"/>
  <c r="J91" i="25"/>
  <c r="P91" i="25"/>
  <c r="R91" i="25"/>
  <c r="O141" i="31"/>
  <c r="M142" i="31"/>
  <c r="L143" i="31"/>
  <c r="J144" i="31"/>
  <c r="K144" i="31" s="1"/>
  <c r="H91" i="25"/>
  <c r="I91" i="25"/>
  <c r="C91" i="25"/>
  <c r="G91" i="25"/>
  <c r="E91" i="25"/>
  <c r="B92" i="25"/>
  <c r="F91" i="25"/>
  <c r="D91" i="25"/>
  <c r="P141" i="31"/>
  <c r="N142" i="31"/>
  <c r="O92" i="25" l="1"/>
  <c r="L92" i="25"/>
  <c r="P92" i="25"/>
  <c r="N92" i="25"/>
  <c r="M92" i="25"/>
  <c r="K92" i="25"/>
  <c r="Q92" i="25"/>
  <c r="J92" i="25"/>
  <c r="R92" i="25"/>
  <c r="O142" i="31"/>
  <c r="M143" i="31"/>
  <c r="L144" i="31"/>
  <c r="J145" i="31"/>
  <c r="K145" i="31" s="1"/>
  <c r="H92" i="25"/>
  <c r="I92" i="25"/>
  <c r="F92" i="25"/>
  <c r="D92" i="25"/>
  <c r="B93" i="25"/>
  <c r="C92" i="25"/>
  <c r="G92" i="25"/>
  <c r="E92" i="25"/>
  <c r="P142" i="31"/>
  <c r="N143" i="31"/>
  <c r="O93" i="25" l="1"/>
  <c r="N93" i="25"/>
  <c r="M93" i="25"/>
  <c r="P93" i="25"/>
  <c r="K93" i="25"/>
  <c r="Q93" i="25"/>
  <c r="L93" i="25"/>
  <c r="J93" i="25"/>
  <c r="R93" i="25"/>
  <c r="O143" i="31"/>
  <c r="M144" i="31"/>
  <c r="L145" i="31"/>
  <c r="J146" i="31"/>
  <c r="K146" i="31" s="1"/>
  <c r="I93" i="25"/>
  <c r="H93" i="25"/>
  <c r="D93" i="25"/>
  <c r="G93" i="25"/>
  <c r="C93" i="25"/>
  <c r="B94" i="25"/>
  <c r="F93" i="25"/>
  <c r="E93" i="25"/>
  <c r="P143" i="31"/>
  <c r="N144" i="31"/>
  <c r="K94" i="25" l="1"/>
  <c r="J94" i="25"/>
  <c r="Q94" i="25"/>
  <c r="N94" i="25"/>
  <c r="O94" i="25"/>
  <c r="M94" i="25"/>
  <c r="P94" i="25"/>
  <c r="L94" i="25"/>
  <c r="R94" i="25"/>
  <c r="O144" i="31"/>
  <c r="M145" i="31"/>
  <c r="L146" i="31"/>
  <c r="J147" i="31"/>
  <c r="K147" i="31" s="1"/>
  <c r="I94" i="25"/>
  <c r="H94" i="25"/>
  <c r="G94" i="25"/>
  <c r="B95" i="25"/>
  <c r="C94" i="25"/>
  <c r="F94" i="25"/>
  <c r="E94" i="25"/>
  <c r="D94" i="25"/>
  <c r="N145" i="31"/>
  <c r="P144" i="31"/>
  <c r="Q95" i="25" l="1"/>
  <c r="L95" i="25"/>
  <c r="K95" i="25"/>
  <c r="J95" i="25"/>
  <c r="N95" i="25"/>
  <c r="P95" i="25"/>
  <c r="O95" i="25"/>
  <c r="M95" i="25"/>
  <c r="R95" i="25"/>
  <c r="O145" i="31"/>
  <c r="M146" i="31"/>
  <c r="L147" i="31"/>
  <c r="J148" i="31"/>
  <c r="K148" i="31" s="1"/>
  <c r="C95" i="25"/>
  <c r="H95" i="25"/>
  <c r="I95" i="25"/>
  <c r="F95" i="25"/>
  <c r="B96" i="25"/>
  <c r="G95" i="25"/>
  <c r="D95" i="25"/>
  <c r="E95" i="25"/>
  <c r="N146" i="31"/>
  <c r="P145" i="31"/>
  <c r="M96" i="25" l="1"/>
  <c r="L96" i="25"/>
  <c r="J96" i="25"/>
  <c r="O96" i="25"/>
  <c r="N96" i="25"/>
  <c r="K96" i="25"/>
  <c r="Q96" i="25"/>
  <c r="P96" i="25"/>
  <c r="R96" i="25"/>
  <c r="O146" i="31"/>
  <c r="M147" i="31"/>
  <c r="L148" i="31"/>
  <c r="J149" i="31"/>
  <c r="K149" i="31" s="1"/>
  <c r="D96" i="25"/>
  <c r="C96" i="25"/>
  <c r="I96" i="25"/>
  <c r="G96" i="25"/>
  <c r="B97" i="25"/>
  <c r="E96" i="25"/>
  <c r="F96" i="25"/>
  <c r="H96" i="25"/>
  <c r="P146" i="31"/>
  <c r="P147" i="31"/>
  <c r="M97" i="25" l="1"/>
  <c r="L97" i="25"/>
  <c r="K97" i="25"/>
  <c r="J97" i="25"/>
  <c r="O97" i="25"/>
  <c r="N97" i="25"/>
  <c r="Q97" i="25"/>
  <c r="P97" i="25"/>
  <c r="R97" i="25"/>
  <c r="M148" i="31"/>
  <c r="L149" i="31"/>
  <c r="J150" i="31"/>
  <c r="K150" i="31" s="1"/>
  <c r="E97" i="25"/>
  <c r="H97" i="25"/>
  <c r="I97" i="25"/>
  <c r="G97" i="25"/>
  <c r="B98" i="25"/>
  <c r="F97" i="25"/>
  <c r="C97" i="25"/>
  <c r="D97" i="25"/>
  <c r="N147" i="31"/>
  <c r="N148" i="31"/>
  <c r="L98" i="25" l="1"/>
  <c r="Q98" i="25"/>
  <c r="K98" i="25"/>
  <c r="P98" i="25"/>
  <c r="O98" i="25"/>
  <c r="N98" i="25"/>
  <c r="M98" i="25"/>
  <c r="J98" i="25"/>
  <c r="R98" i="25"/>
  <c r="O147" i="31"/>
  <c r="O148" i="31"/>
  <c r="M149" i="31"/>
  <c r="L150" i="31"/>
  <c r="J151" i="31"/>
  <c r="K151" i="31" s="1"/>
  <c r="D98" i="25"/>
  <c r="G98" i="25"/>
  <c r="F98" i="25"/>
  <c r="I98" i="25"/>
  <c r="B99" i="25"/>
  <c r="E98" i="25"/>
  <c r="C98" i="25"/>
  <c r="H98" i="25"/>
  <c r="P148" i="31"/>
  <c r="N149" i="31"/>
  <c r="Q99" i="25" l="1"/>
  <c r="L99" i="25"/>
  <c r="J99" i="25"/>
  <c r="P99" i="25"/>
  <c r="M99" i="25"/>
  <c r="K99" i="25"/>
  <c r="N99" i="25"/>
  <c r="O99" i="25"/>
  <c r="R99" i="25"/>
  <c r="O149" i="31"/>
  <c r="M150" i="31"/>
  <c r="L151" i="31"/>
  <c r="J152" i="31"/>
  <c r="K152" i="31" s="1"/>
  <c r="G99" i="25"/>
  <c r="D99" i="25"/>
  <c r="C99" i="25"/>
  <c r="E99" i="25"/>
  <c r="H99" i="25"/>
  <c r="F99" i="25"/>
  <c r="B100" i="25"/>
  <c r="I99" i="25"/>
  <c r="P149" i="31"/>
  <c r="N150" i="31"/>
  <c r="O100" i="25" l="1"/>
  <c r="J100" i="25"/>
  <c r="K100" i="25"/>
  <c r="Q100" i="25"/>
  <c r="P100" i="25"/>
  <c r="N100" i="25"/>
  <c r="M100" i="25"/>
  <c r="L100" i="25"/>
  <c r="R100" i="25"/>
  <c r="O150" i="31"/>
  <c r="M151" i="31"/>
  <c r="L152" i="31"/>
  <c r="J153" i="31"/>
  <c r="K153" i="31" s="1"/>
  <c r="H100" i="25"/>
  <c r="F100" i="25"/>
  <c r="G100" i="25"/>
  <c r="C100" i="25"/>
  <c r="E100" i="25"/>
  <c r="I100" i="25"/>
  <c r="D100" i="25"/>
  <c r="B101" i="25"/>
  <c r="P150" i="31"/>
  <c r="N151" i="31"/>
  <c r="O101" i="25" l="1"/>
  <c r="N101" i="25"/>
  <c r="L101" i="25"/>
  <c r="Q101" i="25"/>
  <c r="M101" i="25"/>
  <c r="P101" i="25"/>
  <c r="K101" i="25"/>
  <c r="J101" i="25"/>
  <c r="R101" i="25"/>
  <c r="O151" i="31"/>
  <c r="M152" i="31"/>
  <c r="L153" i="31"/>
  <c r="J154" i="31"/>
  <c r="K154" i="31" s="1"/>
  <c r="C101" i="25"/>
  <c r="I101" i="25"/>
  <c r="H101" i="25"/>
  <c r="F101" i="25"/>
  <c r="B102" i="25"/>
  <c r="D101" i="25"/>
  <c r="E101" i="25"/>
  <c r="G101" i="25"/>
  <c r="N152" i="31"/>
  <c r="P151" i="31"/>
  <c r="O102" i="25" l="1"/>
  <c r="J102" i="25"/>
  <c r="M102" i="25"/>
  <c r="L102" i="25"/>
  <c r="P102" i="25"/>
  <c r="N102" i="25"/>
  <c r="K102" i="25"/>
  <c r="Q102" i="25"/>
  <c r="R102" i="25"/>
  <c r="O152" i="31"/>
  <c r="M153" i="31"/>
  <c r="L154" i="31"/>
  <c r="J155" i="31"/>
  <c r="K155" i="31" s="1"/>
  <c r="D102" i="25"/>
  <c r="H102" i="25"/>
  <c r="B103" i="25"/>
  <c r="G102" i="25"/>
  <c r="F102" i="25"/>
  <c r="E102" i="25"/>
  <c r="I102" i="25"/>
  <c r="C102" i="25"/>
  <c r="N153" i="31"/>
  <c r="P152" i="31"/>
  <c r="O103" i="25" l="1"/>
  <c r="J103" i="25"/>
  <c r="N103" i="25"/>
  <c r="L103" i="25"/>
  <c r="Q103" i="25"/>
  <c r="K103" i="25"/>
  <c r="P103" i="25"/>
  <c r="M103" i="25"/>
  <c r="R103" i="25"/>
  <c r="O153" i="31"/>
  <c r="M154" i="31"/>
  <c r="L155" i="31"/>
  <c r="J156" i="31"/>
  <c r="K156" i="31" s="1"/>
  <c r="F103" i="25"/>
  <c r="G103" i="25"/>
  <c r="E103" i="25"/>
  <c r="C103" i="25"/>
  <c r="D103" i="25"/>
  <c r="H103" i="25"/>
  <c r="I103" i="25"/>
  <c r="B104" i="25"/>
  <c r="P153" i="31"/>
  <c r="N154" i="31"/>
  <c r="M104" i="25" l="1"/>
  <c r="L104" i="25"/>
  <c r="K104" i="25"/>
  <c r="J104" i="25"/>
  <c r="Q104" i="25"/>
  <c r="P104" i="25"/>
  <c r="O104" i="25"/>
  <c r="N104" i="25"/>
  <c r="R104" i="25"/>
  <c r="O154" i="31"/>
  <c r="M155" i="31"/>
  <c r="L156" i="31"/>
  <c r="J157" i="31"/>
  <c r="K157" i="31" s="1"/>
  <c r="G104" i="25"/>
  <c r="E104" i="25"/>
  <c r="I104" i="25"/>
  <c r="F104" i="25"/>
  <c r="B105" i="25"/>
  <c r="D104" i="25"/>
  <c r="H104" i="25"/>
  <c r="C104" i="25"/>
  <c r="P154" i="31"/>
  <c r="N155" i="31"/>
  <c r="M105" i="25" l="1"/>
  <c r="L105" i="25"/>
  <c r="K105" i="25"/>
  <c r="J105" i="25"/>
  <c r="Q105" i="25"/>
  <c r="P105" i="25"/>
  <c r="N105" i="25"/>
  <c r="O105" i="25"/>
  <c r="R105" i="25"/>
  <c r="O155" i="31"/>
  <c r="M156" i="31"/>
  <c r="L157" i="31"/>
  <c r="J158" i="31"/>
  <c r="K158" i="31" s="1"/>
  <c r="B106" i="25"/>
  <c r="H105" i="25"/>
  <c r="E105" i="25"/>
  <c r="G105" i="25"/>
  <c r="I105" i="25"/>
  <c r="C105" i="25"/>
  <c r="F105" i="25"/>
  <c r="D105" i="25"/>
  <c r="P155" i="31"/>
  <c r="N156" i="31"/>
  <c r="P106" i="25" l="1"/>
  <c r="O106" i="25"/>
  <c r="M106" i="25"/>
  <c r="Q106" i="25"/>
  <c r="K106" i="25"/>
  <c r="L106" i="25"/>
  <c r="N106" i="25"/>
  <c r="J106" i="25"/>
  <c r="R106" i="25"/>
  <c r="O156" i="31"/>
  <c r="M157" i="31"/>
  <c r="L158" i="31"/>
  <c r="J159" i="31"/>
  <c r="K159" i="31" s="1"/>
  <c r="E106" i="25"/>
  <c r="H106" i="25"/>
  <c r="D106" i="25"/>
  <c r="C106" i="25"/>
  <c r="F106" i="25"/>
  <c r="I106" i="25"/>
  <c r="G106" i="25"/>
  <c r="B107" i="25"/>
  <c r="N157" i="31"/>
  <c r="P156" i="31"/>
  <c r="F107" i="25" l="1"/>
  <c r="N107" i="25"/>
  <c r="L107" i="25"/>
  <c r="B108" i="25"/>
  <c r="K107" i="25"/>
  <c r="I107" i="25"/>
  <c r="E107" i="25"/>
  <c r="C107" i="25"/>
  <c r="D107" i="25"/>
  <c r="H107" i="25"/>
  <c r="M107" i="25"/>
  <c r="J107" i="25"/>
  <c r="Q107" i="25"/>
  <c r="O107" i="25"/>
  <c r="G107" i="25"/>
  <c r="P107" i="25"/>
  <c r="R107" i="25"/>
  <c r="O157" i="31"/>
  <c r="M158" i="31"/>
  <c r="L159" i="31"/>
  <c r="J160" i="31"/>
  <c r="K160" i="31" s="1"/>
  <c r="P157" i="31"/>
  <c r="N158" i="31"/>
  <c r="F108" i="25" l="1"/>
  <c r="Q108" i="25"/>
  <c r="C108" i="25"/>
  <c r="O108" i="25"/>
  <c r="B109" i="25"/>
  <c r="N108" i="25"/>
  <c r="M108" i="25"/>
  <c r="D108" i="25"/>
  <c r="P108" i="25"/>
  <c r="L108" i="25"/>
  <c r="K108" i="25"/>
  <c r="J108" i="25"/>
  <c r="E108" i="25"/>
  <c r="H108" i="25"/>
  <c r="I108" i="25"/>
  <c r="G108" i="25"/>
  <c r="R108" i="25"/>
  <c r="O158" i="31"/>
  <c r="M159" i="31"/>
  <c r="L160" i="31"/>
  <c r="J161" i="31"/>
  <c r="K161" i="31" s="1"/>
  <c r="N159" i="31"/>
  <c r="P158" i="31"/>
  <c r="H109" i="25" l="1"/>
  <c r="O109" i="25"/>
  <c r="G109" i="25"/>
  <c r="D109" i="25"/>
  <c r="M109" i="25"/>
  <c r="I109" i="25"/>
  <c r="E109" i="25"/>
  <c r="K109" i="25"/>
  <c r="N109" i="25"/>
  <c r="J109" i="25"/>
  <c r="P109" i="25"/>
  <c r="C109" i="25"/>
  <c r="Q109" i="25"/>
  <c r="F109" i="25"/>
  <c r="L109" i="25"/>
  <c r="B110" i="25"/>
  <c r="R109" i="25"/>
  <c r="O159" i="31"/>
  <c r="M160" i="31"/>
  <c r="L161" i="31"/>
  <c r="J162" i="31"/>
  <c r="K162" i="31" s="1"/>
  <c r="P159" i="31"/>
  <c r="N160" i="31"/>
  <c r="H110" i="25" l="1"/>
  <c r="C110" i="25"/>
  <c r="N110" i="25"/>
  <c r="D110" i="25"/>
  <c r="K110" i="25"/>
  <c r="B111" i="25"/>
  <c r="F110" i="25"/>
  <c r="E110" i="25"/>
  <c r="O110" i="25"/>
  <c r="Q110" i="25"/>
  <c r="L110" i="25"/>
  <c r="M110" i="25"/>
  <c r="J110" i="25"/>
  <c r="P110" i="25"/>
  <c r="I110" i="25"/>
  <c r="G110" i="25"/>
  <c r="R110" i="25"/>
  <c r="O160" i="31"/>
  <c r="M161" i="31"/>
  <c r="L162" i="31"/>
  <c r="J163" i="31"/>
  <c r="K163" i="31" s="1"/>
  <c r="P160" i="31"/>
  <c r="N161" i="31"/>
  <c r="F111" i="25" l="1"/>
  <c r="M111" i="25"/>
  <c r="L111" i="25"/>
  <c r="K111" i="25"/>
  <c r="E111" i="25"/>
  <c r="C111" i="25"/>
  <c r="I111" i="25"/>
  <c r="P111" i="25"/>
  <c r="J111" i="25"/>
  <c r="Q111" i="25"/>
  <c r="H111" i="25"/>
  <c r="N111" i="25"/>
  <c r="G111" i="25"/>
  <c r="O111" i="25"/>
  <c r="D111" i="25"/>
  <c r="B112" i="25"/>
  <c r="R111" i="25"/>
  <c r="O161" i="31"/>
  <c r="M162" i="31"/>
  <c r="L163" i="31"/>
  <c r="J164" i="31"/>
  <c r="K164" i="31" s="1"/>
  <c r="P161" i="31"/>
  <c r="N162" i="31"/>
  <c r="F112" i="25" l="1"/>
  <c r="M112" i="25"/>
  <c r="K112" i="25"/>
  <c r="Q112" i="25"/>
  <c r="I112" i="25"/>
  <c r="P112" i="25"/>
  <c r="J112" i="25"/>
  <c r="H112" i="25"/>
  <c r="O112" i="25"/>
  <c r="G112" i="25"/>
  <c r="N112" i="25"/>
  <c r="E112" i="25"/>
  <c r="C112" i="25"/>
  <c r="D112" i="25"/>
  <c r="L112" i="25"/>
  <c r="B113" i="25"/>
  <c r="R112" i="25"/>
  <c r="O162" i="31"/>
  <c r="M163" i="31"/>
  <c r="L164" i="31"/>
  <c r="J165" i="31"/>
  <c r="K165" i="31" s="1"/>
  <c r="P162" i="31"/>
  <c r="N163" i="31"/>
  <c r="E113" i="25" l="1"/>
  <c r="M113" i="25"/>
  <c r="H113" i="25"/>
  <c r="D113" i="25"/>
  <c r="L113" i="25"/>
  <c r="P113" i="25"/>
  <c r="G113" i="25"/>
  <c r="O113" i="25"/>
  <c r="I113" i="25"/>
  <c r="F113" i="25"/>
  <c r="N113" i="25"/>
  <c r="C113" i="25"/>
  <c r="K113" i="25"/>
  <c r="B114" i="25"/>
  <c r="J113" i="25"/>
  <c r="Q113" i="25"/>
  <c r="R113" i="25"/>
  <c r="O163" i="31"/>
  <c r="M164" i="31"/>
  <c r="L165" i="31"/>
  <c r="J166" i="31"/>
  <c r="K166" i="31" s="1"/>
  <c r="N164" i="31"/>
  <c r="P163" i="31"/>
  <c r="G114" i="25" l="1"/>
  <c r="F114" i="25"/>
  <c r="E114" i="25"/>
  <c r="D114" i="25"/>
  <c r="N114" i="25"/>
  <c r="L114" i="25"/>
  <c r="M114" i="25"/>
  <c r="Q114" i="25"/>
  <c r="K114" i="25"/>
  <c r="J114" i="25"/>
  <c r="C114" i="25"/>
  <c r="P114" i="25"/>
  <c r="B115" i="25"/>
  <c r="O114" i="25"/>
  <c r="I114" i="25"/>
  <c r="H114" i="25"/>
  <c r="R114" i="25"/>
  <c r="O164" i="31"/>
  <c r="M165" i="31"/>
  <c r="L166" i="31"/>
  <c r="J167" i="31"/>
  <c r="K167" i="31" s="1"/>
  <c r="P164" i="31"/>
  <c r="N165" i="31"/>
  <c r="F115" i="25" l="1"/>
  <c r="M115" i="25"/>
  <c r="D115" i="25"/>
  <c r="L115" i="25"/>
  <c r="B116" i="25"/>
  <c r="J115" i="25"/>
  <c r="Q115" i="25"/>
  <c r="G115" i="25"/>
  <c r="E115" i="25"/>
  <c r="C115" i="25"/>
  <c r="K115" i="25"/>
  <c r="I115" i="25"/>
  <c r="P115" i="25"/>
  <c r="N115" i="25"/>
  <c r="H115" i="25"/>
  <c r="O115" i="25"/>
  <c r="R115" i="25"/>
  <c r="O165" i="31"/>
  <c r="M166" i="31"/>
  <c r="L167" i="31"/>
  <c r="J168" i="31"/>
  <c r="K168" i="31" s="1"/>
  <c r="N166" i="31"/>
  <c r="P165" i="31"/>
  <c r="G116" i="25" l="1"/>
  <c r="D116" i="25"/>
  <c r="C116" i="25"/>
  <c r="P116" i="25"/>
  <c r="B117" i="25"/>
  <c r="E116" i="25"/>
  <c r="Q116" i="25"/>
  <c r="M116" i="25"/>
  <c r="L116" i="25"/>
  <c r="N116" i="25"/>
  <c r="K116" i="25"/>
  <c r="F116" i="25"/>
  <c r="I116" i="25"/>
  <c r="J116" i="25"/>
  <c r="O116" i="25"/>
  <c r="H116" i="25"/>
  <c r="R116" i="25"/>
  <c r="O166" i="31"/>
  <c r="M167" i="31"/>
  <c r="L168" i="31"/>
  <c r="J169" i="31"/>
  <c r="K169" i="31" s="1"/>
  <c r="P166" i="31"/>
  <c r="N167" i="31"/>
  <c r="E117" i="25" l="1"/>
  <c r="N117" i="25"/>
  <c r="G117" i="25"/>
  <c r="B118" i="25"/>
  <c r="K117" i="25"/>
  <c r="C117" i="25"/>
  <c r="J117" i="25"/>
  <c r="H117" i="25"/>
  <c r="M117" i="25"/>
  <c r="D117" i="25"/>
  <c r="O117" i="25"/>
  <c r="Q117" i="25"/>
  <c r="L117" i="25"/>
  <c r="F117" i="25"/>
  <c r="I117" i="25"/>
  <c r="P117" i="25"/>
  <c r="R117" i="25"/>
  <c r="O167" i="31"/>
  <c r="M168" i="31"/>
  <c r="L169" i="31"/>
  <c r="J170" i="31"/>
  <c r="K170" i="31" s="1"/>
  <c r="N168" i="31"/>
  <c r="P167" i="31"/>
  <c r="I118" i="25" l="1"/>
  <c r="M118" i="25"/>
  <c r="E118" i="25"/>
  <c r="B119" i="25"/>
  <c r="G118" i="25"/>
  <c r="C118" i="25"/>
  <c r="Q118" i="25"/>
  <c r="L118" i="25"/>
  <c r="J118" i="25"/>
  <c r="F118" i="25"/>
  <c r="O118" i="25"/>
  <c r="D118" i="25"/>
  <c r="P118" i="25"/>
  <c r="K118" i="25"/>
  <c r="N118" i="25"/>
  <c r="H118" i="25"/>
  <c r="R118" i="25"/>
  <c r="O168" i="31"/>
  <c r="M169" i="31"/>
  <c r="L170" i="31"/>
  <c r="J171" i="31"/>
  <c r="K171" i="31" s="1"/>
  <c r="P168" i="31"/>
  <c r="N169" i="31"/>
  <c r="F119" i="25" l="1"/>
  <c r="N119" i="25"/>
  <c r="Q119" i="25"/>
  <c r="E119" i="25"/>
  <c r="C119" i="25"/>
  <c r="D119" i="25"/>
  <c r="L119" i="25"/>
  <c r="B120" i="25"/>
  <c r="K119" i="25"/>
  <c r="J119" i="25"/>
  <c r="I119" i="25"/>
  <c r="O119" i="25"/>
  <c r="H119" i="25"/>
  <c r="P119" i="25"/>
  <c r="G119" i="25"/>
  <c r="M119" i="25"/>
  <c r="R119" i="25"/>
  <c r="O169" i="31"/>
  <c r="M170" i="31"/>
  <c r="L171" i="31"/>
  <c r="J172" i="31"/>
  <c r="K172" i="31" s="1"/>
  <c r="P169" i="31"/>
  <c r="N170" i="31"/>
  <c r="F120" i="25" l="1"/>
  <c r="M120" i="25"/>
  <c r="L120" i="25"/>
  <c r="B121" i="25"/>
  <c r="P120" i="25"/>
  <c r="H120" i="25"/>
  <c r="N120" i="25"/>
  <c r="E120" i="25"/>
  <c r="C120" i="25"/>
  <c r="J120" i="25"/>
  <c r="Q120" i="25"/>
  <c r="O120" i="25"/>
  <c r="G120" i="25"/>
  <c r="D120" i="25"/>
  <c r="K120" i="25"/>
  <c r="I120" i="25"/>
  <c r="R120" i="25"/>
  <c r="O170" i="31"/>
  <c r="M171" i="31"/>
  <c r="L172" i="31"/>
  <c r="J173" i="31"/>
  <c r="K173" i="31" s="1"/>
  <c r="P170" i="31"/>
  <c r="N171" i="31"/>
  <c r="E121" i="25" l="1"/>
  <c r="J121" i="25"/>
  <c r="H121" i="25"/>
  <c r="D121" i="25"/>
  <c r="L121" i="25"/>
  <c r="Q121" i="25"/>
  <c r="C121" i="25"/>
  <c r="K121" i="25"/>
  <c r="B122" i="25"/>
  <c r="I121" i="25"/>
  <c r="P121" i="25"/>
  <c r="G121" i="25"/>
  <c r="O121" i="25"/>
  <c r="F121" i="25"/>
  <c r="N121" i="25"/>
  <c r="M121" i="25"/>
  <c r="R121" i="25"/>
  <c r="O171" i="31"/>
  <c r="M172" i="31"/>
  <c r="L173" i="31"/>
  <c r="J174" i="31"/>
  <c r="K174" i="31" s="1"/>
  <c r="P171" i="31"/>
  <c r="N172" i="31"/>
  <c r="F122" i="25" l="1"/>
  <c r="P122" i="25"/>
  <c r="M122" i="25"/>
  <c r="Q122" i="25"/>
  <c r="D122" i="25"/>
  <c r="O122" i="25"/>
  <c r="K122" i="25"/>
  <c r="H122" i="25"/>
  <c r="E122" i="25"/>
  <c r="C122" i="25"/>
  <c r="N122" i="25"/>
  <c r="B123" i="25"/>
  <c r="L122" i="25"/>
  <c r="I122" i="25"/>
  <c r="J122" i="25"/>
  <c r="G122" i="25"/>
  <c r="R122" i="25"/>
  <c r="O172" i="31"/>
  <c r="M173" i="31"/>
  <c r="L174" i="31"/>
  <c r="J175" i="31"/>
  <c r="K175" i="31" s="1"/>
  <c r="N173" i="31"/>
  <c r="P172" i="31"/>
  <c r="E123" i="25" l="1"/>
  <c r="C123" i="25"/>
  <c r="D123" i="25"/>
  <c r="L123" i="25"/>
  <c r="B124" i="25"/>
  <c r="Q123" i="25"/>
  <c r="I123" i="25"/>
  <c r="M123" i="25"/>
  <c r="K123" i="25"/>
  <c r="J123" i="25"/>
  <c r="O123" i="25"/>
  <c r="H123" i="25"/>
  <c r="G123" i="25"/>
  <c r="P123" i="25"/>
  <c r="N123" i="25"/>
  <c r="F123" i="25"/>
  <c r="R123" i="25"/>
  <c r="O173" i="31"/>
  <c r="M174" i="31"/>
  <c r="L175" i="31"/>
  <c r="J176" i="31"/>
  <c r="K176" i="31" s="1"/>
  <c r="P173" i="31"/>
  <c r="N174" i="31"/>
  <c r="D124" i="25" l="1"/>
  <c r="P124" i="25"/>
  <c r="C124" i="25"/>
  <c r="O124" i="25"/>
  <c r="B125" i="25"/>
  <c r="I124" i="25"/>
  <c r="L124" i="25"/>
  <c r="J124" i="25"/>
  <c r="K124" i="25"/>
  <c r="H124" i="25"/>
  <c r="N124" i="25"/>
  <c r="M124" i="25"/>
  <c r="G124" i="25"/>
  <c r="E124" i="25"/>
  <c r="F124" i="25"/>
  <c r="Q124" i="25"/>
  <c r="R124" i="25"/>
  <c r="O174" i="31"/>
  <c r="M175" i="31"/>
  <c r="L176" i="31"/>
  <c r="J177" i="31"/>
  <c r="K177" i="31" s="1"/>
  <c r="P174" i="31"/>
  <c r="N175" i="31"/>
  <c r="D125" i="25" l="1"/>
  <c r="Q125" i="25"/>
  <c r="H125" i="25"/>
  <c r="O125" i="25"/>
  <c r="B126" i="25"/>
  <c r="I125" i="25"/>
  <c r="N125" i="25"/>
  <c r="L125" i="25"/>
  <c r="E125" i="25"/>
  <c r="J125" i="25"/>
  <c r="F125" i="25"/>
  <c r="M125" i="25"/>
  <c r="P125" i="25"/>
  <c r="C125" i="25"/>
  <c r="K125" i="25"/>
  <c r="G125" i="25"/>
  <c r="R125" i="25"/>
  <c r="O175" i="31"/>
  <c r="M176" i="31"/>
  <c r="L177" i="31"/>
  <c r="J178" i="31"/>
  <c r="K178" i="31" s="1"/>
  <c r="P175" i="31"/>
  <c r="N176" i="31"/>
  <c r="F126" i="25" l="1"/>
  <c r="C126" i="25"/>
  <c r="D126" i="25"/>
  <c r="K126" i="25"/>
  <c r="B127" i="25"/>
  <c r="I126" i="25"/>
  <c r="G126" i="25"/>
  <c r="E126" i="25"/>
  <c r="N126" i="25"/>
  <c r="J126" i="25"/>
  <c r="O126" i="25"/>
  <c r="P126" i="25"/>
  <c r="L126" i="25"/>
  <c r="Q126" i="25"/>
  <c r="H126" i="25"/>
  <c r="M126" i="25"/>
  <c r="R126" i="25"/>
  <c r="O176" i="31"/>
  <c r="M177" i="31"/>
  <c r="L178" i="31"/>
  <c r="J179" i="31"/>
  <c r="K179" i="31" s="1"/>
  <c r="N177" i="31"/>
  <c r="P176" i="31"/>
  <c r="F127" i="25" l="1"/>
  <c r="N127" i="25"/>
  <c r="E127" i="25"/>
  <c r="C127" i="25"/>
  <c r="D127" i="25"/>
  <c r="L127" i="25"/>
  <c r="B128" i="25"/>
  <c r="J127" i="25"/>
  <c r="P127" i="25"/>
  <c r="Q127" i="25"/>
  <c r="K127" i="25"/>
  <c r="I127" i="25"/>
  <c r="H127" i="25"/>
  <c r="O127" i="25"/>
  <c r="G127" i="25"/>
  <c r="M127" i="25"/>
  <c r="R127" i="25"/>
  <c r="O177" i="31"/>
  <c r="M178" i="31"/>
  <c r="L179" i="31"/>
  <c r="J180" i="31"/>
  <c r="K180" i="31" s="1"/>
  <c r="P177" i="31"/>
  <c r="N178" i="31"/>
  <c r="E128" i="25" l="1"/>
  <c r="C128" i="25"/>
  <c r="D128" i="25"/>
  <c r="L128" i="25"/>
  <c r="B129" i="25"/>
  <c r="J128" i="25"/>
  <c r="P128" i="25"/>
  <c r="H128" i="25"/>
  <c r="N128" i="25"/>
  <c r="K128" i="25"/>
  <c r="Q128" i="25"/>
  <c r="I128" i="25"/>
  <c r="F128" i="25"/>
  <c r="M128" i="25"/>
  <c r="O128" i="25"/>
  <c r="G128" i="25"/>
  <c r="R128" i="25"/>
  <c r="O178" i="31"/>
  <c r="M179" i="31"/>
  <c r="L180" i="31"/>
  <c r="J181" i="31"/>
  <c r="K181" i="31" s="1"/>
  <c r="P178" i="31"/>
  <c r="N179" i="31"/>
  <c r="E129" i="25" l="1"/>
  <c r="M129" i="25"/>
  <c r="J129" i="25"/>
  <c r="Q129" i="25"/>
  <c r="H129" i="25"/>
  <c r="G129" i="25"/>
  <c r="F129" i="25"/>
  <c r="N129" i="25"/>
  <c r="D129" i="25"/>
  <c r="L129" i="25"/>
  <c r="P129" i="25"/>
  <c r="O129" i="25"/>
  <c r="C129" i="25"/>
  <c r="K129" i="25"/>
  <c r="B130" i="25"/>
  <c r="I129" i="25"/>
  <c r="R129" i="25"/>
  <c r="O179" i="31"/>
  <c r="M180" i="31"/>
  <c r="L181" i="31"/>
  <c r="J182" i="31"/>
  <c r="K182" i="31" s="1"/>
  <c r="N180" i="31"/>
  <c r="P179" i="31"/>
  <c r="G130" i="25" l="1"/>
  <c r="D130" i="25"/>
  <c r="O130" i="25"/>
  <c r="E130" i="25"/>
  <c r="Q130" i="25"/>
  <c r="C130" i="25"/>
  <c r="P130" i="25"/>
  <c r="B131" i="25"/>
  <c r="N130" i="25"/>
  <c r="L130" i="25"/>
  <c r="M130" i="25"/>
  <c r="J130" i="25"/>
  <c r="K130" i="25"/>
  <c r="H130" i="25"/>
  <c r="I130" i="25"/>
  <c r="F130" i="25"/>
  <c r="R130" i="25"/>
  <c r="O180" i="31"/>
  <c r="M181" i="31"/>
  <c r="L182" i="31"/>
  <c r="J183" i="31"/>
  <c r="K183" i="31" s="1"/>
  <c r="N181" i="31"/>
  <c r="P180" i="31"/>
  <c r="F131" i="25" l="1"/>
  <c r="M131" i="25"/>
  <c r="I131" i="25"/>
  <c r="E131" i="25"/>
  <c r="C131" i="25"/>
  <c r="D131" i="25"/>
  <c r="L131" i="25"/>
  <c r="B132" i="25"/>
  <c r="N131" i="25"/>
  <c r="Q131" i="25"/>
  <c r="G131" i="25"/>
  <c r="O131" i="25"/>
  <c r="K131" i="25"/>
  <c r="J131" i="25"/>
  <c r="P131" i="25"/>
  <c r="H131" i="25"/>
  <c r="R131" i="25"/>
  <c r="O181" i="31"/>
  <c r="M182" i="31"/>
  <c r="L183" i="31"/>
  <c r="J184" i="31"/>
  <c r="K184" i="31" s="1"/>
  <c r="N182" i="31"/>
  <c r="P181" i="31"/>
  <c r="G132" i="25" l="1"/>
  <c r="F132" i="25"/>
  <c r="Q132" i="25"/>
  <c r="E132" i="25"/>
  <c r="C132" i="25"/>
  <c r="P132" i="25"/>
  <c r="B133" i="25"/>
  <c r="M132" i="25"/>
  <c r="D132" i="25"/>
  <c r="K132" i="25"/>
  <c r="J132" i="25"/>
  <c r="I132" i="25"/>
  <c r="H132" i="25"/>
  <c r="O132" i="25"/>
  <c r="N132" i="25"/>
  <c r="L132" i="25"/>
  <c r="R132" i="25"/>
  <c r="O182" i="31"/>
  <c r="M183" i="31"/>
  <c r="L184" i="31"/>
  <c r="J185" i="31"/>
  <c r="K185" i="31" s="1"/>
  <c r="P182" i="31"/>
  <c r="N183" i="31"/>
  <c r="E133" i="25" l="1"/>
  <c r="L133" i="25"/>
  <c r="I133" i="25"/>
  <c r="N133" i="25"/>
  <c r="B134" i="25"/>
  <c r="C133" i="25"/>
  <c r="P133" i="25"/>
  <c r="M133" i="25"/>
  <c r="J133" i="25"/>
  <c r="K133" i="25"/>
  <c r="F133" i="25"/>
  <c r="D133" i="25"/>
  <c r="G133" i="25"/>
  <c r="H133" i="25"/>
  <c r="Q133" i="25"/>
  <c r="O133" i="25"/>
  <c r="R133" i="25"/>
  <c r="O183" i="31"/>
  <c r="M184" i="31"/>
  <c r="L185" i="31"/>
  <c r="J186" i="31"/>
  <c r="K186" i="31" s="1"/>
  <c r="P183" i="31"/>
  <c r="N184" i="31"/>
  <c r="I134" i="25" l="1"/>
  <c r="Q134" i="25"/>
  <c r="H134" i="25"/>
  <c r="P134" i="25"/>
  <c r="G134" i="25"/>
  <c r="C134" i="25"/>
  <c r="J134" i="25"/>
  <c r="D134" i="25"/>
  <c r="N134" i="25"/>
  <c r="M134" i="25"/>
  <c r="F134" i="25"/>
  <c r="K134" i="25"/>
  <c r="O134" i="25"/>
  <c r="E134" i="25"/>
  <c r="L134" i="25"/>
  <c r="B135" i="25"/>
  <c r="R134" i="25"/>
  <c r="O184" i="31"/>
  <c r="M185" i="31"/>
  <c r="L186" i="31"/>
  <c r="J187" i="31"/>
  <c r="K187" i="31" s="1"/>
  <c r="N185" i="31"/>
  <c r="P184" i="31"/>
  <c r="E135" i="25" l="1"/>
  <c r="C135" i="25"/>
  <c r="D135" i="25"/>
  <c r="L135" i="25"/>
  <c r="B136" i="25"/>
  <c r="I135" i="25"/>
  <c r="N135" i="25"/>
  <c r="H135" i="25"/>
  <c r="Q135" i="25"/>
  <c r="G135" i="25"/>
  <c r="O135" i="25"/>
  <c r="F135" i="25"/>
  <c r="P135" i="25"/>
  <c r="K135" i="25"/>
  <c r="J135" i="25"/>
  <c r="M135" i="25"/>
  <c r="R135" i="25"/>
  <c r="O185" i="31"/>
  <c r="M186" i="31"/>
  <c r="L187" i="31"/>
  <c r="J188" i="31"/>
  <c r="K188" i="31" s="1"/>
  <c r="N186" i="31"/>
  <c r="P185" i="31"/>
  <c r="F136" i="25" l="1"/>
  <c r="M136" i="25"/>
  <c r="D136" i="25"/>
  <c r="L136" i="25"/>
  <c r="B137" i="25"/>
  <c r="J136" i="25"/>
  <c r="E136" i="25"/>
  <c r="C136" i="25"/>
  <c r="K136" i="25"/>
  <c r="Q136" i="25"/>
  <c r="I136" i="25"/>
  <c r="P136" i="25"/>
  <c r="H136" i="25"/>
  <c r="O136" i="25"/>
  <c r="G136" i="25"/>
  <c r="N136" i="25"/>
  <c r="R136" i="25"/>
  <c r="O186" i="31"/>
  <c r="M187" i="31"/>
  <c r="L188" i="31"/>
  <c r="J189" i="31"/>
  <c r="K189" i="31" s="1"/>
  <c r="N187" i="31"/>
  <c r="P186" i="31"/>
  <c r="E137" i="25" l="1"/>
  <c r="M137" i="25"/>
  <c r="B138" i="25"/>
  <c r="D137" i="25"/>
  <c r="L137" i="25"/>
  <c r="C137" i="25"/>
  <c r="K137" i="25"/>
  <c r="G137" i="25"/>
  <c r="O137" i="25"/>
  <c r="F137" i="25"/>
  <c r="N137" i="25"/>
  <c r="J137" i="25"/>
  <c r="I137" i="25"/>
  <c r="Q137" i="25"/>
  <c r="H137" i="25"/>
  <c r="P137" i="25"/>
  <c r="R137" i="25"/>
  <c r="O187" i="31"/>
  <c r="M188" i="31"/>
  <c r="L189" i="31"/>
  <c r="J190" i="31"/>
  <c r="K190" i="31" s="1"/>
  <c r="N188" i="31"/>
  <c r="P187" i="31"/>
  <c r="F138" i="25" l="1"/>
  <c r="E138" i="25"/>
  <c r="D138" i="25"/>
  <c r="P138" i="25"/>
  <c r="C138" i="25"/>
  <c r="O138" i="25"/>
  <c r="B139" i="25"/>
  <c r="J138" i="25"/>
  <c r="I138" i="25"/>
  <c r="N138" i="25"/>
  <c r="M138" i="25"/>
  <c r="Q138" i="25"/>
  <c r="L138" i="25"/>
  <c r="K138" i="25"/>
  <c r="H138" i="25"/>
  <c r="G138" i="25"/>
  <c r="R138" i="25"/>
  <c r="O188" i="31"/>
  <c r="M189" i="31"/>
  <c r="L190" i="31"/>
  <c r="J191" i="31"/>
  <c r="K191" i="31" s="1"/>
  <c r="P188" i="31"/>
  <c r="N189" i="31"/>
  <c r="F139" i="25" l="1"/>
  <c r="D139" i="25"/>
  <c r="B140" i="25"/>
  <c r="E139" i="25"/>
  <c r="C139" i="25"/>
  <c r="K139" i="25"/>
  <c r="I139" i="25"/>
  <c r="O139" i="25"/>
  <c r="L139" i="25"/>
  <c r="J139" i="25"/>
  <c r="Q139" i="25"/>
  <c r="H139" i="25"/>
  <c r="M139" i="25"/>
  <c r="G139" i="25"/>
  <c r="P139" i="25"/>
  <c r="N139" i="25"/>
  <c r="R139" i="25"/>
  <c r="O189" i="31"/>
  <c r="M190" i="31"/>
  <c r="L191" i="31"/>
  <c r="J192" i="31"/>
  <c r="K192" i="31" s="1"/>
  <c r="P189" i="31"/>
  <c r="N190" i="31"/>
  <c r="H140" i="25" l="1"/>
  <c r="G140" i="25"/>
  <c r="Q140" i="25"/>
  <c r="D140" i="25"/>
  <c r="P140" i="25"/>
  <c r="C140" i="25"/>
  <c r="O140" i="25"/>
  <c r="B141" i="25"/>
  <c r="M140" i="25"/>
  <c r="K140" i="25"/>
  <c r="I140" i="25"/>
  <c r="F140" i="25"/>
  <c r="N140" i="25"/>
  <c r="L140" i="25"/>
  <c r="E140" i="25"/>
  <c r="J140" i="25"/>
  <c r="R140" i="25"/>
  <c r="O190" i="31"/>
  <c r="M191" i="31"/>
  <c r="L192" i="31"/>
  <c r="J193" i="31"/>
  <c r="K193" i="31" s="1"/>
  <c r="P190" i="31"/>
  <c r="N191" i="31"/>
  <c r="D141" i="25" l="1"/>
  <c r="M141" i="25"/>
  <c r="F141" i="25"/>
  <c r="L141" i="25"/>
  <c r="B142" i="25"/>
  <c r="K141" i="25"/>
  <c r="N141" i="25"/>
  <c r="P141" i="25"/>
  <c r="C141" i="25"/>
  <c r="E141" i="25"/>
  <c r="G141" i="25"/>
  <c r="I141" i="25"/>
  <c r="Q141" i="25"/>
  <c r="H141" i="25"/>
  <c r="O141" i="25"/>
  <c r="J141" i="25"/>
  <c r="R141" i="25"/>
  <c r="O191" i="31"/>
  <c r="M192" i="31"/>
  <c r="L193" i="31"/>
  <c r="J194" i="31"/>
  <c r="K194" i="31" s="1"/>
  <c r="P191" i="31"/>
  <c r="N192" i="31"/>
  <c r="H142" i="25" l="1"/>
  <c r="N142" i="25"/>
  <c r="D142" i="25"/>
  <c r="B143" i="25"/>
  <c r="I142" i="25"/>
  <c r="G142" i="25"/>
  <c r="E142" i="25"/>
  <c r="O142" i="25"/>
  <c r="Q142" i="25"/>
  <c r="L142" i="25"/>
  <c r="M142" i="25"/>
  <c r="K142" i="25"/>
  <c r="J142" i="25"/>
  <c r="C142" i="25"/>
  <c r="F142" i="25"/>
  <c r="P142" i="25"/>
  <c r="R142" i="25"/>
  <c r="O192" i="31"/>
  <c r="M193" i="31"/>
  <c r="L194" i="31"/>
  <c r="J195" i="31"/>
  <c r="K195" i="31" s="1"/>
  <c r="N193" i="31"/>
  <c r="P192" i="31"/>
  <c r="F143" i="25" l="1"/>
  <c r="Q143" i="25"/>
  <c r="D143" i="25"/>
  <c r="L143" i="25"/>
  <c r="B144" i="25"/>
  <c r="E143" i="25"/>
  <c r="C143" i="25"/>
  <c r="I143" i="25"/>
  <c r="M143" i="25"/>
  <c r="K143" i="25"/>
  <c r="J143" i="25"/>
  <c r="H143" i="25"/>
  <c r="P143" i="25"/>
  <c r="G143" i="25"/>
  <c r="N143" i="25"/>
  <c r="O143" i="25"/>
  <c r="R143" i="25"/>
  <c r="O193" i="31"/>
  <c r="M194" i="31"/>
  <c r="L195" i="31"/>
  <c r="J196" i="31"/>
  <c r="K196" i="31" s="1"/>
  <c r="P193" i="31"/>
  <c r="N194" i="31"/>
  <c r="F144" i="25" l="1"/>
  <c r="M144" i="25"/>
  <c r="D144" i="25"/>
  <c r="L144" i="25"/>
  <c r="B145" i="25"/>
  <c r="K144" i="25"/>
  <c r="J144" i="25"/>
  <c r="G144" i="25"/>
  <c r="E144" i="25"/>
  <c r="C144" i="25"/>
  <c r="Q144" i="25"/>
  <c r="I144" i="25"/>
  <c r="P144" i="25"/>
  <c r="H144" i="25"/>
  <c r="O144" i="25"/>
  <c r="N144" i="25"/>
  <c r="R144" i="25"/>
  <c r="O194" i="31"/>
  <c r="M195" i="31"/>
  <c r="L196" i="31"/>
  <c r="J197" i="31"/>
  <c r="K197" i="31" s="1"/>
  <c r="N195" i="31"/>
  <c r="P194" i="31"/>
  <c r="E145" i="25" l="1"/>
  <c r="M145" i="25"/>
  <c r="G145" i="25"/>
  <c r="D145" i="25"/>
  <c r="L145" i="25"/>
  <c r="H145" i="25"/>
  <c r="P145" i="25"/>
  <c r="F145" i="25"/>
  <c r="N145" i="25"/>
  <c r="C145" i="25"/>
  <c r="K145" i="25"/>
  <c r="B146" i="25"/>
  <c r="J145" i="25"/>
  <c r="I145" i="25"/>
  <c r="Q145" i="25"/>
  <c r="O145" i="25"/>
  <c r="R145" i="25"/>
  <c r="O195" i="31"/>
  <c r="M196" i="31"/>
  <c r="L197" i="31"/>
  <c r="J198" i="31"/>
  <c r="K198" i="31" s="1"/>
  <c r="P195" i="31"/>
  <c r="N196" i="31"/>
  <c r="G146" i="25" l="1"/>
  <c r="D146" i="25"/>
  <c r="P146" i="25"/>
  <c r="C146" i="25"/>
  <c r="O146" i="25"/>
  <c r="B147" i="25"/>
  <c r="M146" i="25"/>
  <c r="J146" i="25"/>
  <c r="E146" i="25"/>
  <c r="K146" i="25"/>
  <c r="H146" i="25"/>
  <c r="I146" i="25"/>
  <c r="F146" i="25"/>
  <c r="N146" i="25"/>
  <c r="L146" i="25"/>
  <c r="Q146" i="25"/>
  <c r="R146" i="25"/>
  <c r="O196" i="31"/>
  <c r="M197" i="31"/>
  <c r="L198" i="31"/>
  <c r="J199" i="31"/>
  <c r="K199" i="31" s="1"/>
  <c r="P196" i="31"/>
  <c r="N197" i="31"/>
  <c r="F147" i="25" l="1"/>
  <c r="Q147" i="25"/>
  <c r="E147" i="25"/>
  <c r="C147" i="25"/>
  <c r="J147" i="25"/>
  <c r="P147" i="25"/>
  <c r="I147" i="25"/>
  <c r="N147" i="25"/>
  <c r="D147" i="25"/>
  <c r="L147" i="25"/>
  <c r="B148" i="25"/>
  <c r="G147" i="25"/>
  <c r="M147" i="25"/>
  <c r="K147" i="25"/>
  <c r="H147" i="25"/>
  <c r="O147" i="25"/>
  <c r="R147" i="25"/>
  <c r="O197" i="31"/>
  <c r="M198" i="31"/>
  <c r="L199" i="31"/>
  <c r="J200" i="31"/>
  <c r="K200" i="31" s="1"/>
  <c r="P197" i="31"/>
  <c r="N198" i="31"/>
  <c r="G148" i="25" l="1"/>
  <c r="L148" i="25"/>
  <c r="O148" i="25"/>
  <c r="E148" i="25"/>
  <c r="Q148" i="25"/>
  <c r="C148" i="25"/>
  <c r="P148" i="25"/>
  <c r="B149" i="25"/>
  <c r="N148" i="25"/>
  <c r="D148" i="25"/>
  <c r="J148" i="25"/>
  <c r="M148" i="25"/>
  <c r="K148" i="25"/>
  <c r="F148" i="25"/>
  <c r="I148" i="25"/>
  <c r="H148" i="25"/>
  <c r="R148" i="25"/>
  <c r="O198" i="31"/>
  <c r="M199" i="31"/>
  <c r="L200" i="31"/>
  <c r="J201" i="31"/>
  <c r="K201" i="31" s="1"/>
  <c r="P198" i="31"/>
  <c r="N199" i="31"/>
  <c r="G149" i="25" l="1"/>
  <c r="N149" i="25"/>
  <c r="C149" i="25"/>
  <c r="K149" i="25"/>
  <c r="E149" i="25"/>
  <c r="D149" i="25"/>
  <c r="B150" i="25"/>
  <c r="H149" i="25"/>
  <c r="L149" i="25"/>
  <c r="Q149" i="25"/>
  <c r="M149" i="25"/>
  <c r="I149" i="25"/>
  <c r="P149" i="25"/>
  <c r="J149" i="25"/>
  <c r="F149" i="25"/>
  <c r="O149" i="25"/>
  <c r="R149" i="25"/>
  <c r="O199" i="31"/>
  <c r="M200" i="31"/>
  <c r="L201" i="31"/>
  <c r="J202" i="31"/>
  <c r="K202" i="31" s="1"/>
  <c r="N200" i="31"/>
  <c r="P199" i="31"/>
  <c r="I150" i="25" l="1"/>
  <c r="O150" i="25"/>
  <c r="G150" i="25"/>
  <c r="C150" i="25"/>
  <c r="E150" i="25"/>
  <c r="L150" i="25"/>
  <c r="B151" i="25"/>
  <c r="J150" i="25"/>
  <c r="P150" i="25"/>
  <c r="N150" i="25"/>
  <c r="D150" i="25"/>
  <c r="Q150" i="25"/>
  <c r="H150" i="25"/>
  <c r="F150" i="25"/>
  <c r="K150" i="25"/>
  <c r="M150" i="25"/>
  <c r="R150" i="25"/>
  <c r="O200" i="31"/>
  <c r="M201" i="31"/>
  <c r="L202" i="31"/>
  <c r="J203" i="31"/>
  <c r="K203" i="31" s="1"/>
  <c r="N201" i="31"/>
  <c r="P200" i="31"/>
  <c r="F151" i="25" l="1"/>
  <c r="M151" i="25"/>
  <c r="D151" i="25"/>
  <c r="L151" i="25"/>
  <c r="B152" i="25"/>
  <c r="K151" i="25"/>
  <c r="J151" i="25"/>
  <c r="O151" i="25"/>
  <c r="H151" i="25"/>
  <c r="P151" i="25"/>
  <c r="Q151" i="25"/>
  <c r="I151" i="25"/>
  <c r="G151" i="25"/>
  <c r="N151" i="25"/>
  <c r="E151" i="25"/>
  <c r="C151" i="25"/>
  <c r="R151" i="25"/>
  <c r="O201" i="31"/>
  <c r="M202" i="31"/>
  <c r="L203" i="31"/>
  <c r="J204" i="31"/>
  <c r="K204" i="31" s="1"/>
  <c r="P201" i="31"/>
  <c r="N202" i="31"/>
  <c r="E152" i="25" l="1"/>
  <c r="C152" i="25"/>
  <c r="J152" i="25"/>
  <c r="P152" i="25"/>
  <c r="D152" i="25"/>
  <c r="L152" i="25"/>
  <c r="B153" i="25"/>
  <c r="K152" i="25"/>
  <c r="H152" i="25"/>
  <c r="O152" i="25"/>
  <c r="F152" i="25"/>
  <c r="G152" i="25"/>
  <c r="N152" i="25"/>
  <c r="M152" i="25"/>
  <c r="Q152" i="25"/>
  <c r="I152" i="25"/>
  <c r="R152" i="25"/>
  <c r="O202" i="31"/>
  <c r="M203" i="31"/>
  <c r="L204" i="31"/>
  <c r="J205" i="31"/>
  <c r="K205" i="31" s="1"/>
  <c r="N203" i="31"/>
  <c r="P202" i="31"/>
  <c r="E153" i="25" l="1"/>
  <c r="M153" i="25"/>
  <c r="D153" i="25"/>
  <c r="L153" i="25"/>
  <c r="C153" i="25"/>
  <c r="K153" i="25"/>
  <c r="B154" i="25"/>
  <c r="J153" i="25"/>
  <c r="I153" i="25"/>
  <c r="P153" i="25"/>
  <c r="Q153" i="25"/>
  <c r="G153" i="25"/>
  <c r="O153" i="25"/>
  <c r="H153" i="25"/>
  <c r="F153" i="25"/>
  <c r="N153" i="25"/>
  <c r="R153" i="25"/>
  <c r="O203" i="31"/>
  <c r="M204" i="31"/>
  <c r="L205" i="31"/>
  <c r="J206" i="31"/>
  <c r="K206" i="31" s="1"/>
  <c r="P203" i="31"/>
  <c r="N204" i="31"/>
  <c r="F154" i="25" l="1"/>
  <c r="E154" i="25"/>
  <c r="D154" i="25"/>
  <c r="P154" i="25"/>
  <c r="L154" i="25"/>
  <c r="C154" i="25"/>
  <c r="O154" i="25"/>
  <c r="B155" i="25"/>
  <c r="J154" i="25"/>
  <c r="I154" i="25"/>
  <c r="M154" i="25"/>
  <c r="Q154" i="25"/>
  <c r="K154" i="25"/>
  <c r="H154" i="25"/>
  <c r="G154" i="25"/>
  <c r="N154" i="25"/>
  <c r="R154" i="25"/>
  <c r="O204" i="31"/>
  <c r="M205" i="31"/>
  <c r="L206" i="31"/>
  <c r="J207" i="31"/>
  <c r="K207" i="31" s="1"/>
  <c r="P204" i="31"/>
  <c r="N205" i="31"/>
  <c r="F155" i="25" l="1"/>
  <c r="N155" i="25"/>
  <c r="L155" i="25"/>
  <c r="B156" i="25"/>
  <c r="K155" i="25"/>
  <c r="E155" i="25"/>
  <c r="C155" i="25"/>
  <c r="D155" i="25"/>
  <c r="I155" i="25"/>
  <c r="H155" i="25"/>
  <c r="M155" i="25"/>
  <c r="J155" i="25"/>
  <c r="Q155" i="25"/>
  <c r="O155" i="25"/>
  <c r="G155" i="25"/>
  <c r="P155" i="25"/>
  <c r="R155" i="25"/>
  <c r="O205" i="31"/>
  <c r="M206" i="31"/>
  <c r="L207" i="31"/>
  <c r="J208" i="31"/>
  <c r="K208" i="31" s="1"/>
  <c r="P205" i="31"/>
  <c r="N206" i="31"/>
  <c r="F156" i="25" l="1"/>
  <c r="Q156" i="25"/>
  <c r="P156" i="25"/>
  <c r="N156" i="25"/>
  <c r="D156" i="25"/>
  <c r="M156" i="25"/>
  <c r="G156" i="25"/>
  <c r="C156" i="25"/>
  <c r="O156" i="25"/>
  <c r="B157" i="25"/>
  <c r="E156" i="25"/>
  <c r="J156" i="25"/>
  <c r="I156" i="25"/>
  <c r="H156" i="25"/>
  <c r="K156" i="25"/>
  <c r="L156" i="25"/>
  <c r="R156" i="25"/>
  <c r="O206" i="31"/>
  <c r="M207" i="31"/>
  <c r="L208" i="31"/>
  <c r="J209" i="31"/>
  <c r="K209" i="31" s="1"/>
  <c r="P206" i="31"/>
  <c r="N207" i="31"/>
  <c r="H157" i="25" l="1"/>
  <c r="O157" i="25"/>
  <c r="J157" i="25"/>
  <c r="L157" i="25"/>
  <c r="P157" i="25"/>
  <c r="F157" i="25"/>
  <c r="M157" i="25"/>
  <c r="D157" i="25"/>
  <c r="C157" i="25"/>
  <c r="B158" i="25"/>
  <c r="I157" i="25"/>
  <c r="N157" i="25"/>
  <c r="E157" i="25"/>
  <c r="K157" i="25"/>
  <c r="Q157" i="25"/>
  <c r="G157" i="25"/>
  <c r="R157" i="25"/>
  <c r="O207" i="31"/>
  <c r="M208" i="31"/>
  <c r="L209" i="31"/>
  <c r="J210" i="31"/>
  <c r="K210" i="31" s="1"/>
  <c r="N208" i="31"/>
  <c r="P207" i="31"/>
  <c r="H158" i="25" l="1"/>
  <c r="C158" i="25"/>
  <c r="B159" i="25"/>
  <c r="I158" i="25"/>
  <c r="G158" i="25"/>
  <c r="Q158" i="25"/>
  <c r="F158" i="25"/>
  <c r="P158" i="25"/>
  <c r="D158" i="25"/>
  <c r="K158" i="25"/>
  <c r="N158" i="25"/>
  <c r="E158" i="25"/>
  <c r="J158" i="25"/>
  <c r="M158" i="25"/>
  <c r="L158" i="25"/>
  <c r="O158" i="25"/>
  <c r="R158" i="25"/>
  <c r="O208" i="31"/>
  <c r="M209" i="31"/>
  <c r="L210" i="31"/>
  <c r="J211" i="31"/>
  <c r="K211" i="31" s="1"/>
  <c r="P208" i="31"/>
  <c r="N209" i="31"/>
  <c r="F159" i="25" l="1"/>
  <c r="O159" i="25"/>
  <c r="E159" i="25"/>
  <c r="C159" i="25"/>
  <c r="D159" i="25"/>
  <c r="L159" i="25"/>
  <c r="B160" i="25"/>
  <c r="J159" i="25"/>
  <c r="P159" i="25"/>
  <c r="N159" i="25"/>
  <c r="H159" i="25"/>
  <c r="Q159" i="25"/>
  <c r="G159" i="25"/>
  <c r="M159" i="25"/>
  <c r="K159" i="25"/>
  <c r="I159" i="25"/>
  <c r="R159" i="25"/>
  <c r="O209" i="31"/>
  <c r="M210" i="31"/>
  <c r="L211" i="31"/>
  <c r="J212" i="31"/>
  <c r="K212" i="31" s="1"/>
  <c r="P209" i="31"/>
  <c r="N210" i="31"/>
  <c r="F160" i="25" l="1"/>
  <c r="M160" i="25"/>
  <c r="E160" i="25"/>
  <c r="J160" i="25"/>
  <c r="I160" i="25"/>
  <c r="C160" i="25"/>
  <c r="Q160" i="25"/>
  <c r="D160" i="25"/>
  <c r="L160" i="25"/>
  <c r="B161" i="25"/>
  <c r="K160" i="25"/>
  <c r="H160" i="25"/>
  <c r="O160" i="25"/>
  <c r="G160" i="25"/>
  <c r="N160" i="25"/>
  <c r="P160" i="25"/>
  <c r="R160" i="25"/>
  <c r="O210" i="31"/>
  <c r="M211" i="31"/>
  <c r="L212" i="31"/>
  <c r="J213" i="31"/>
  <c r="K213" i="31" s="1"/>
  <c r="P210" i="31"/>
  <c r="N211" i="31"/>
  <c r="E161" i="25" l="1"/>
  <c r="M161" i="25"/>
  <c r="C161" i="25"/>
  <c r="K161" i="25"/>
  <c r="B162" i="25"/>
  <c r="D161" i="25"/>
  <c r="L161" i="25"/>
  <c r="J161" i="25"/>
  <c r="I161" i="25"/>
  <c r="H161" i="25"/>
  <c r="G161" i="25"/>
  <c r="O161" i="25"/>
  <c r="F161" i="25"/>
  <c r="N161" i="25"/>
  <c r="Q161" i="25"/>
  <c r="P161" i="25"/>
  <c r="R161" i="25"/>
  <c r="O211" i="31"/>
  <c r="M212" i="31"/>
  <c r="L213" i="31"/>
  <c r="J214" i="31"/>
  <c r="K214" i="31" s="1"/>
  <c r="P211" i="31"/>
  <c r="N212" i="31"/>
  <c r="G162" i="25" l="1"/>
  <c r="D162" i="25"/>
  <c r="E162" i="25"/>
  <c r="Q162" i="25"/>
  <c r="M162" i="25"/>
  <c r="J162" i="25"/>
  <c r="C162" i="25"/>
  <c r="P162" i="25"/>
  <c r="B163" i="25"/>
  <c r="K162" i="25"/>
  <c r="H162" i="25"/>
  <c r="L162" i="25"/>
  <c r="I162" i="25"/>
  <c r="F162" i="25"/>
  <c r="O162" i="25"/>
  <c r="N162" i="25"/>
  <c r="R162" i="25"/>
  <c r="O212" i="31"/>
  <c r="M213" i="31"/>
  <c r="L214" i="31"/>
  <c r="J215" i="31"/>
  <c r="K215" i="31" s="1"/>
  <c r="N213" i="31"/>
  <c r="P212" i="31"/>
  <c r="F163" i="25" l="1"/>
  <c r="C163" i="25"/>
  <c r="D163" i="25"/>
  <c r="B164" i="25"/>
  <c r="K163" i="25"/>
  <c r="E163" i="25"/>
  <c r="M163" i="25"/>
  <c r="J163" i="25"/>
  <c r="I163" i="25"/>
  <c r="L163" i="25"/>
  <c r="H163" i="25"/>
  <c r="Q163" i="25"/>
  <c r="G163" i="25"/>
  <c r="O163" i="25"/>
  <c r="P163" i="25"/>
  <c r="N163" i="25"/>
  <c r="R163" i="25"/>
  <c r="O213" i="31"/>
  <c r="M214" i="31"/>
  <c r="L215" i="31"/>
  <c r="J216" i="31"/>
  <c r="K216" i="31" s="1"/>
  <c r="P213" i="31"/>
  <c r="N214" i="31"/>
  <c r="G164" i="25" l="1"/>
  <c r="D164" i="25"/>
  <c r="O164" i="25"/>
  <c r="E164" i="25"/>
  <c r="Q164" i="25"/>
  <c r="M164" i="25"/>
  <c r="C164" i="25"/>
  <c r="P164" i="25"/>
  <c r="B165" i="25"/>
  <c r="H164" i="25"/>
  <c r="K164" i="25"/>
  <c r="F164" i="25"/>
  <c r="N164" i="25"/>
  <c r="L164" i="25"/>
  <c r="I164" i="25"/>
  <c r="J164" i="25"/>
  <c r="R164" i="25"/>
  <c r="O214" i="31"/>
  <c r="M215" i="31"/>
  <c r="L216" i="31"/>
  <c r="J217" i="31"/>
  <c r="K217" i="31" s="1"/>
  <c r="P214" i="31"/>
  <c r="P215" i="31"/>
  <c r="E165" i="25" l="1"/>
  <c r="D165" i="25"/>
  <c r="F165" i="25"/>
  <c r="H165" i="25"/>
  <c r="M165" i="25"/>
  <c r="Q165" i="25"/>
  <c r="C165" i="25"/>
  <c r="P165" i="25"/>
  <c r="L165" i="25"/>
  <c r="G165" i="25"/>
  <c r="N165" i="25"/>
  <c r="B166" i="25"/>
  <c r="K165" i="25"/>
  <c r="O165" i="25"/>
  <c r="I165" i="25"/>
  <c r="J165" i="25"/>
  <c r="R165" i="25"/>
  <c r="M216" i="31"/>
  <c r="L217" i="31"/>
  <c r="J218" i="31"/>
  <c r="K218" i="31" s="1"/>
  <c r="N216" i="31"/>
  <c r="N215" i="31"/>
  <c r="I166" i="25" l="1"/>
  <c r="C166" i="25"/>
  <c r="H166" i="25"/>
  <c r="O166" i="25"/>
  <c r="M166" i="25"/>
  <c r="G166" i="25"/>
  <c r="L166" i="25"/>
  <c r="F166" i="25"/>
  <c r="D166" i="25"/>
  <c r="N166" i="25"/>
  <c r="E166" i="25"/>
  <c r="J166" i="25"/>
  <c r="B167" i="25"/>
  <c r="P166" i="25"/>
  <c r="K166" i="25"/>
  <c r="Q166" i="25"/>
  <c r="R166" i="25"/>
  <c r="O215" i="31"/>
  <c r="O216" i="31"/>
  <c r="M217" i="31"/>
  <c r="L218" i="31"/>
  <c r="J219" i="31"/>
  <c r="K219" i="31" s="1"/>
  <c r="P216" i="31"/>
  <c r="N217" i="31"/>
  <c r="F167" i="25" l="1"/>
  <c r="C167" i="25"/>
  <c r="J167" i="25"/>
  <c r="I167" i="25"/>
  <c r="O167" i="25"/>
  <c r="E167" i="25"/>
  <c r="M167" i="25"/>
  <c r="D167" i="25"/>
  <c r="L167" i="25"/>
  <c r="B168" i="25"/>
  <c r="K167" i="25"/>
  <c r="P167" i="25"/>
  <c r="G167" i="25"/>
  <c r="N167" i="25"/>
  <c r="Q167" i="25"/>
  <c r="H167" i="25"/>
  <c r="R167" i="25"/>
  <c r="O217" i="31"/>
  <c r="M218" i="31"/>
  <c r="L219" i="31"/>
  <c r="J220" i="31"/>
  <c r="K220" i="31" s="1"/>
  <c r="P217" i="31"/>
  <c r="C9" i="25"/>
  <c r="N218" i="31"/>
  <c r="F168" i="25" l="1"/>
  <c r="C168" i="25"/>
  <c r="H168" i="25"/>
  <c r="N168" i="25"/>
  <c r="E168" i="25"/>
  <c r="M168" i="25"/>
  <c r="O168" i="25"/>
  <c r="G168" i="25"/>
  <c r="D168" i="25"/>
  <c r="L168" i="25"/>
  <c r="B169" i="25"/>
  <c r="K168" i="25"/>
  <c r="J168" i="25"/>
  <c r="Q168" i="25"/>
  <c r="I168" i="25"/>
  <c r="P168" i="25"/>
  <c r="R168" i="25"/>
  <c r="O218" i="31"/>
  <c r="M219" i="31"/>
  <c r="L220" i="31"/>
  <c r="J221" i="31"/>
  <c r="K221" i="31" s="1"/>
  <c r="P218" i="31"/>
  <c r="N219" i="31"/>
  <c r="E169" i="25" l="1"/>
  <c r="M169" i="25"/>
  <c r="Q169" i="25"/>
  <c r="P169" i="25"/>
  <c r="G169" i="25"/>
  <c r="O169" i="25"/>
  <c r="N169" i="25"/>
  <c r="D169" i="25"/>
  <c r="L169" i="25"/>
  <c r="C169" i="25"/>
  <c r="K169" i="25"/>
  <c r="B170" i="25"/>
  <c r="J169" i="25"/>
  <c r="I169" i="25"/>
  <c r="H169" i="25"/>
  <c r="F169" i="25"/>
  <c r="R169" i="25"/>
  <c r="O219" i="31"/>
  <c r="M220" i="31"/>
  <c r="L221" i="31"/>
  <c r="J222" i="31"/>
  <c r="K222" i="31" s="1"/>
  <c r="P219" i="31"/>
  <c r="N220" i="31"/>
  <c r="F170" i="25" l="1"/>
  <c r="G170" i="25"/>
  <c r="O170" i="25"/>
  <c r="N170" i="25"/>
  <c r="Q170" i="25"/>
  <c r="D170" i="25"/>
  <c r="E170" i="25"/>
  <c r="J170" i="25"/>
  <c r="K170" i="25"/>
  <c r="C170" i="25"/>
  <c r="B171" i="25"/>
  <c r="M170" i="25"/>
  <c r="L170" i="25"/>
  <c r="H170" i="25"/>
  <c r="I170" i="25"/>
  <c r="P170" i="25"/>
  <c r="R170" i="25"/>
  <c r="O220" i="31"/>
  <c r="M221" i="31"/>
  <c r="L222" i="31"/>
  <c r="J223" i="31"/>
  <c r="K223" i="31" s="1"/>
  <c r="N221" i="31"/>
  <c r="P220" i="31"/>
  <c r="F171" i="25" l="1"/>
  <c r="C171" i="25"/>
  <c r="M171" i="25"/>
  <c r="E171" i="25"/>
  <c r="Q171" i="25"/>
  <c r="O171" i="25"/>
  <c r="G171" i="25"/>
  <c r="N171" i="25"/>
  <c r="D171" i="25"/>
  <c r="L171" i="25"/>
  <c r="B172" i="25"/>
  <c r="K171" i="25"/>
  <c r="J171" i="25"/>
  <c r="I171" i="25"/>
  <c r="H171" i="25"/>
  <c r="P171" i="25"/>
  <c r="R171" i="25"/>
  <c r="O221" i="31"/>
  <c r="M222" i="31"/>
  <c r="L223" i="31"/>
  <c r="J224" i="31"/>
  <c r="K224" i="31" s="1"/>
  <c r="N222" i="31"/>
  <c r="P221" i="31"/>
  <c r="F172" i="25" l="1"/>
  <c r="K172" i="25"/>
  <c r="L172" i="25"/>
  <c r="M172" i="25"/>
  <c r="E172" i="25"/>
  <c r="D172" i="25"/>
  <c r="Q172" i="25"/>
  <c r="C172" i="25"/>
  <c r="P172" i="25"/>
  <c r="B173" i="25"/>
  <c r="O172" i="25"/>
  <c r="N172" i="25"/>
  <c r="G172" i="25"/>
  <c r="J172" i="25"/>
  <c r="I172" i="25"/>
  <c r="H172" i="25"/>
  <c r="R172" i="25"/>
  <c r="O222" i="31"/>
  <c r="M223" i="31"/>
  <c r="L224" i="31"/>
  <c r="J225" i="31"/>
  <c r="K225" i="31" s="1"/>
  <c r="P222" i="31"/>
  <c r="N223" i="31"/>
  <c r="F173" i="25" l="1"/>
  <c r="O173" i="25"/>
  <c r="M173" i="25"/>
  <c r="I173" i="25"/>
  <c r="K173" i="25"/>
  <c r="J173" i="25"/>
  <c r="N173" i="25"/>
  <c r="C173" i="25"/>
  <c r="D173" i="25"/>
  <c r="L173" i="25"/>
  <c r="H173" i="25"/>
  <c r="G173" i="25"/>
  <c r="B174" i="25"/>
  <c r="P173" i="25"/>
  <c r="E173" i="25"/>
  <c r="Q173" i="25"/>
  <c r="R173" i="25"/>
  <c r="O223" i="31"/>
  <c r="M224" i="31"/>
  <c r="L225" i="31"/>
  <c r="J226" i="31"/>
  <c r="K226" i="31" s="1"/>
  <c r="P223" i="31"/>
  <c r="N224" i="31"/>
  <c r="H174" i="25" l="1"/>
  <c r="N174" i="25"/>
  <c r="B175" i="25"/>
  <c r="O174" i="25"/>
  <c r="J174" i="25"/>
  <c r="F174" i="25"/>
  <c r="M174" i="25"/>
  <c r="Q174" i="25"/>
  <c r="L174" i="25"/>
  <c r="C174" i="25"/>
  <c r="D174" i="25"/>
  <c r="K174" i="25"/>
  <c r="I174" i="25"/>
  <c r="G174" i="25"/>
  <c r="E174" i="25"/>
  <c r="P174" i="25"/>
  <c r="R174" i="25"/>
  <c r="O224" i="31"/>
  <c r="M225" i="31"/>
  <c r="L226" i="31"/>
  <c r="J227" i="31"/>
  <c r="K227" i="31" s="1"/>
  <c r="P224" i="31"/>
  <c r="N225" i="31"/>
  <c r="F175" i="25" l="1"/>
  <c r="C175" i="25"/>
  <c r="L175" i="25"/>
  <c r="I175" i="25"/>
  <c r="E175" i="25"/>
  <c r="M175" i="25"/>
  <c r="J175" i="25"/>
  <c r="D175" i="25"/>
  <c r="B176" i="25"/>
  <c r="K175" i="25"/>
  <c r="Q175" i="25"/>
  <c r="O175" i="25"/>
  <c r="H175" i="25"/>
  <c r="P175" i="25"/>
  <c r="G175" i="25"/>
  <c r="N175" i="25"/>
  <c r="R175" i="25"/>
  <c r="O225" i="31"/>
  <c r="M226" i="31"/>
  <c r="L227" i="31"/>
  <c r="J228" i="31"/>
  <c r="K228" i="31" s="1"/>
  <c r="P225" i="31"/>
  <c r="N226" i="31"/>
  <c r="F176" i="25" l="1"/>
  <c r="C176" i="25"/>
  <c r="K176" i="25"/>
  <c r="J176" i="25"/>
  <c r="I176" i="25"/>
  <c r="E176" i="25"/>
  <c r="M176" i="25"/>
  <c r="G176" i="25"/>
  <c r="D176" i="25"/>
  <c r="L176" i="25"/>
  <c r="B177" i="25"/>
  <c r="Q176" i="25"/>
  <c r="P176" i="25"/>
  <c r="H176" i="25"/>
  <c r="O176" i="25"/>
  <c r="N176" i="25"/>
  <c r="R176" i="25"/>
  <c r="O226" i="31"/>
  <c r="M227" i="31"/>
  <c r="L228" i="31"/>
  <c r="J229" i="31"/>
  <c r="K229" i="31" s="1"/>
  <c r="P226" i="31"/>
  <c r="N227" i="31"/>
  <c r="E177" i="25" l="1"/>
  <c r="M177" i="25"/>
  <c r="J177" i="25"/>
  <c r="I177" i="25"/>
  <c r="Q177" i="25"/>
  <c r="P177" i="25"/>
  <c r="N177" i="25"/>
  <c r="D177" i="25"/>
  <c r="L177" i="25"/>
  <c r="C177" i="25"/>
  <c r="K177" i="25"/>
  <c r="B178" i="25"/>
  <c r="H177" i="25"/>
  <c r="F177" i="25"/>
  <c r="G177" i="25"/>
  <c r="O177" i="25"/>
  <c r="R177" i="25"/>
  <c r="O227" i="31"/>
  <c r="M228" i="31"/>
  <c r="L229" i="31"/>
  <c r="J230" i="31"/>
  <c r="K230" i="31" s="1"/>
  <c r="P227" i="31"/>
  <c r="N228" i="31"/>
  <c r="G178" i="25" l="1"/>
  <c r="D178" i="25"/>
  <c r="M178" i="25"/>
  <c r="J178" i="25"/>
  <c r="K178" i="25"/>
  <c r="H178" i="25"/>
  <c r="C178" i="25"/>
  <c r="O178" i="25"/>
  <c r="B179" i="25"/>
  <c r="I178" i="25"/>
  <c r="F178" i="25"/>
  <c r="E178" i="25"/>
  <c r="P178" i="25"/>
  <c r="N178" i="25"/>
  <c r="Q178" i="25"/>
  <c r="L178" i="25"/>
  <c r="R178" i="25"/>
  <c r="O228" i="31"/>
  <c r="M229" i="31"/>
  <c r="L230" i="31"/>
  <c r="J231" i="31"/>
  <c r="K231" i="31" s="1"/>
  <c r="N229" i="31"/>
  <c r="P228" i="31"/>
  <c r="F179" i="25" l="1"/>
  <c r="C179" i="25"/>
  <c r="E179" i="25"/>
  <c r="I179" i="25"/>
  <c r="P179" i="25"/>
  <c r="H179" i="25"/>
  <c r="N179" i="25"/>
  <c r="D179" i="25"/>
  <c r="L179" i="25"/>
  <c r="B180" i="25"/>
  <c r="J179" i="25"/>
  <c r="G179" i="25"/>
  <c r="O179" i="25"/>
  <c r="M179" i="25"/>
  <c r="K179" i="25"/>
  <c r="Q179" i="25"/>
  <c r="R179" i="25"/>
  <c r="O229" i="31"/>
  <c r="M230" i="31"/>
  <c r="L231" i="31"/>
  <c r="J232" i="31"/>
  <c r="K232" i="31" s="1"/>
  <c r="P229" i="31"/>
  <c r="N230" i="31"/>
  <c r="G180" i="25" l="1"/>
  <c r="J180" i="25"/>
  <c r="D180" i="25"/>
  <c r="H180" i="25"/>
  <c r="E180" i="25"/>
  <c r="Q180" i="25"/>
  <c r="I180" i="25"/>
  <c r="C180" i="25"/>
  <c r="P180" i="25"/>
  <c r="B181" i="25"/>
  <c r="O180" i="25"/>
  <c r="N180" i="25"/>
  <c r="M180" i="25"/>
  <c r="K180" i="25"/>
  <c r="L180" i="25"/>
  <c r="F180" i="25"/>
  <c r="R180" i="25"/>
  <c r="O230" i="31"/>
  <c r="M231" i="31"/>
  <c r="L232" i="31"/>
  <c r="J233" i="31"/>
  <c r="K233" i="31" s="1"/>
  <c r="N231" i="31"/>
  <c r="P230" i="31"/>
  <c r="E181" i="25" l="1"/>
  <c r="F181" i="25"/>
  <c r="I181" i="25"/>
  <c r="N181" i="25"/>
  <c r="B182" i="25"/>
  <c r="C181" i="25"/>
  <c r="P181" i="25"/>
  <c r="D181" i="25"/>
  <c r="Q181" i="25"/>
  <c r="O181" i="25"/>
  <c r="J181" i="25"/>
  <c r="H181" i="25"/>
  <c r="K181" i="25"/>
  <c r="G181" i="25"/>
  <c r="L181" i="25"/>
  <c r="M181" i="25"/>
  <c r="R181" i="25"/>
  <c r="O231" i="31"/>
  <c r="M232" i="31"/>
  <c r="L233" i="31"/>
  <c r="J234" i="31"/>
  <c r="K234" i="31" s="1"/>
  <c r="N232" i="31"/>
  <c r="P231" i="31"/>
  <c r="I182" i="25" l="1"/>
  <c r="C182" i="25"/>
  <c r="E182" i="25"/>
  <c r="B183" i="25"/>
  <c r="G182" i="25"/>
  <c r="L182" i="25"/>
  <c r="J182" i="25"/>
  <c r="D182" i="25"/>
  <c r="P182" i="25"/>
  <c r="K182" i="25"/>
  <c r="O182" i="25"/>
  <c r="H182" i="25"/>
  <c r="F182" i="25"/>
  <c r="M182" i="25"/>
  <c r="N182" i="25"/>
  <c r="Q182" i="25"/>
  <c r="R182" i="25"/>
  <c r="O232" i="31"/>
  <c r="M233" i="31"/>
  <c r="L234" i="31"/>
  <c r="J235" i="31"/>
  <c r="K235" i="31" s="1"/>
  <c r="P233" i="31"/>
  <c r="P232" i="31"/>
  <c r="F183" i="25" l="1"/>
  <c r="C183" i="25"/>
  <c r="B184" i="25"/>
  <c r="Q183" i="25"/>
  <c r="E183" i="25"/>
  <c r="M183" i="25"/>
  <c r="J183" i="25"/>
  <c r="H183" i="25"/>
  <c r="N183" i="25"/>
  <c r="I183" i="25"/>
  <c r="G183" i="25"/>
  <c r="P183" i="25"/>
  <c r="D183" i="25"/>
  <c r="L183" i="25"/>
  <c r="K183" i="25"/>
  <c r="O183" i="25"/>
  <c r="R183" i="25"/>
  <c r="M234" i="31"/>
  <c r="L235" i="31"/>
  <c r="J236" i="31"/>
  <c r="K236" i="31" s="1"/>
  <c r="N233" i="31"/>
  <c r="N234" i="31"/>
  <c r="F184" i="25" l="1"/>
  <c r="C184" i="25"/>
  <c r="D184" i="25"/>
  <c r="L184" i="25"/>
  <c r="B185" i="25"/>
  <c r="E184" i="25"/>
  <c r="M184" i="25"/>
  <c r="I184" i="25"/>
  <c r="P184" i="25"/>
  <c r="H184" i="25"/>
  <c r="O184" i="25"/>
  <c r="G184" i="25"/>
  <c r="N184" i="25"/>
  <c r="K184" i="25"/>
  <c r="J184" i="25"/>
  <c r="Q184" i="25"/>
  <c r="R184" i="25"/>
  <c r="O233" i="31"/>
  <c r="O234" i="31"/>
  <c r="M235" i="31"/>
  <c r="L236" i="31"/>
  <c r="J237" i="31"/>
  <c r="K237" i="31" s="1"/>
  <c r="P234" i="31"/>
  <c r="N235" i="31"/>
  <c r="E185" i="25" l="1"/>
  <c r="M185" i="25"/>
  <c r="C185" i="25"/>
  <c r="K185" i="25"/>
  <c r="D185" i="25"/>
  <c r="L185" i="25"/>
  <c r="H185" i="25"/>
  <c r="P185" i="25"/>
  <c r="G185" i="25"/>
  <c r="O185" i="25"/>
  <c r="J185" i="25"/>
  <c r="I185" i="25"/>
  <c r="Q185" i="25"/>
  <c r="F185" i="25"/>
  <c r="N185" i="25"/>
  <c r="B186" i="25"/>
  <c r="R185" i="25"/>
  <c r="O235" i="31"/>
  <c r="M236" i="31"/>
  <c r="L237" i="31"/>
  <c r="J238" i="31"/>
  <c r="K238" i="31" s="1"/>
  <c r="N236" i="31"/>
  <c r="P235" i="31"/>
  <c r="F186" i="25" l="1"/>
  <c r="E186" i="25"/>
  <c r="M186" i="25"/>
  <c r="J186" i="25"/>
  <c r="I186" i="25"/>
  <c r="D186" i="25"/>
  <c r="Q186" i="25"/>
  <c r="O186" i="25"/>
  <c r="N186" i="25"/>
  <c r="L186" i="25"/>
  <c r="K186" i="25"/>
  <c r="H186" i="25"/>
  <c r="G186" i="25"/>
  <c r="C186" i="25"/>
  <c r="P186" i="25"/>
  <c r="B187" i="25"/>
  <c r="R186" i="25"/>
  <c r="O236" i="31"/>
  <c r="M237" i="31"/>
  <c r="L238" i="31"/>
  <c r="J239" i="31"/>
  <c r="K239" i="31" s="1"/>
  <c r="N237" i="31"/>
  <c r="P236" i="31"/>
  <c r="F187" i="25" l="1"/>
  <c r="C187" i="25"/>
  <c r="D187" i="25"/>
  <c r="B188" i="25"/>
  <c r="O187" i="25"/>
  <c r="E187" i="25"/>
  <c r="M187" i="25"/>
  <c r="J187" i="25"/>
  <c r="K187" i="25"/>
  <c r="I187" i="25"/>
  <c r="H187" i="25"/>
  <c r="P187" i="25"/>
  <c r="G187" i="25"/>
  <c r="N187" i="25"/>
  <c r="L187" i="25"/>
  <c r="Q187" i="25"/>
  <c r="R187" i="25"/>
  <c r="O237" i="31"/>
  <c r="M238" i="31"/>
  <c r="L239" i="31"/>
  <c r="J240" i="31"/>
  <c r="K240" i="31" s="1"/>
  <c r="P237" i="31"/>
  <c r="N238" i="31"/>
  <c r="F188" i="25" l="1"/>
  <c r="E188" i="25"/>
  <c r="C188" i="25"/>
  <c r="P188" i="25"/>
  <c r="B189" i="25"/>
  <c r="N188" i="25"/>
  <c r="M188" i="25"/>
  <c r="D188" i="25"/>
  <c r="Q188" i="25"/>
  <c r="O188" i="25"/>
  <c r="L188" i="25"/>
  <c r="J188" i="25"/>
  <c r="G188" i="25"/>
  <c r="H188" i="25"/>
  <c r="K188" i="25"/>
  <c r="I188" i="25"/>
  <c r="R188" i="25"/>
  <c r="O238" i="31"/>
  <c r="M239" i="31"/>
  <c r="L240" i="31"/>
  <c r="J241" i="31"/>
  <c r="K241" i="31" s="1"/>
  <c r="P238" i="31"/>
  <c r="N239" i="31"/>
  <c r="H189" i="25" l="1"/>
  <c r="G189" i="25"/>
  <c r="F189" i="25"/>
  <c r="Q189" i="25"/>
  <c r="C189" i="25"/>
  <c r="K189" i="25"/>
  <c r="P189" i="25"/>
  <c r="N189" i="25"/>
  <c r="E189" i="25"/>
  <c r="M189" i="25"/>
  <c r="L189" i="25"/>
  <c r="D189" i="25"/>
  <c r="O189" i="25"/>
  <c r="B190" i="25"/>
  <c r="I189" i="25"/>
  <c r="J189" i="25"/>
  <c r="R189" i="25"/>
  <c r="O239" i="31"/>
  <c r="M240" i="31"/>
  <c r="L241" i="31"/>
  <c r="J242" i="31"/>
  <c r="K242" i="31" s="1"/>
  <c r="P239" i="31"/>
  <c r="N240" i="31"/>
  <c r="H190" i="25" l="1"/>
  <c r="C190" i="25"/>
  <c r="D190" i="25"/>
  <c r="K190" i="25"/>
  <c r="F190" i="25"/>
  <c r="M190" i="25"/>
  <c r="I190" i="25"/>
  <c r="G190" i="25"/>
  <c r="E190" i="25"/>
  <c r="N190" i="25"/>
  <c r="J190" i="25"/>
  <c r="O190" i="25"/>
  <c r="B191" i="25"/>
  <c r="P190" i="25"/>
  <c r="L190" i="25"/>
  <c r="Q190" i="25"/>
  <c r="R190" i="25"/>
  <c r="O240" i="31"/>
  <c r="M241" i="31"/>
  <c r="L242" i="31"/>
  <c r="J243" i="31"/>
  <c r="K243" i="31" s="1"/>
  <c r="P240" i="31"/>
  <c r="N241" i="31"/>
  <c r="F191" i="25" l="1"/>
  <c r="C191" i="25"/>
  <c r="K191" i="25"/>
  <c r="J191" i="25"/>
  <c r="P191" i="25"/>
  <c r="H191" i="25"/>
  <c r="O191" i="25"/>
  <c r="E191" i="25"/>
  <c r="M191" i="25"/>
  <c r="I191" i="25"/>
  <c r="N191" i="25"/>
  <c r="G191" i="25"/>
  <c r="Q191" i="25"/>
  <c r="D191" i="25"/>
  <c r="L191" i="25"/>
  <c r="B192" i="25"/>
  <c r="R191" i="25"/>
  <c r="O241" i="31"/>
  <c r="M242" i="31"/>
  <c r="L243" i="31"/>
  <c r="J244" i="31"/>
  <c r="K244" i="31" s="1"/>
  <c r="N242" i="31"/>
  <c r="P241" i="31"/>
  <c r="F192" i="25" l="1"/>
  <c r="C192" i="25"/>
  <c r="L192" i="25"/>
  <c r="K192" i="25"/>
  <c r="J192" i="25"/>
  <c r="E192" i="25"/>
  <c r="M192" i="25"/>
  <c r="D192" i="25"/>
  <c r="B193" i="25"/>
  <c r="I192" i="25"/>
  <c r="P192" i="25"/>
  <c r="Q192" i="25"/>
  <c r="H192" i="25"/>
  <c r="O192" i="25"/>
  <c r="G192" i="25"/>
  <c r="N192" i="25"/>
  <c r="R192" i="25"/>
  <c r="O242" i="31"/>
  <c r="M243" i="31"/>
  <c r="L244" i="31"/>
  <c r="J245" i="31"/>
  <c r="K245" i="31" s="1"/>
  <c r="P242" i="31"/>
  <c r="N243" i="31"/>
  <c r="E193" i="25" l="1"/>
  <c r="M193" i="25"/>
  <c r="J193" i="25"/>
  <c r="H193" i="25"/>
  <c r="P193" i="25"/>
  <c r="I193" i="25"/>
  <c r="Q193" i="25"/>
  <c r="G193" i="25"/>
  <c r="O193" i="25"/>
  <c r="C193" i="25"/>
  <c r="K193" i="25"/>
  <c r="B194" i="25"/>
  <c r="F193" i="25"/>
  <c r="N193" i="25"/>
  <c r="D193" i="25"/>
  <c r="L193" i="25"/>
  <c r="R193" i="25"/>
  <c r="O243" i="31"/>
  <c r="M244" i="31"/>
  <c r="L245" i="31"/>
  <c r="J246" i="31"/>
  <c r="K246" i="31" s="1"/>
  <c r="P243" i="31"/>
  <c r="N244" i="31"/>
  <c r="N194" i="25" l="1"/>
  <c r="Q194" i="25"/>
  <c r="E194" i="25"/>
  <c r="D194" i="25"/>
  <c r="O194" i="25"/>
  <c r="M194" i="25"/>
  <c r="L194" i="25"/>
  <c r="K194" i="25"/>
  <c r="J194" i="25"/>
  <c r="G194" i="25"/>
  <c r="F194" i="25"/>
  <c r="I194" i="25"/>
  <c r="H194" i="25"/>
  <c r="C194" i="25"/>
  <c r="P194" i="25"/>
  <c r="B195" i="25"/>
  <c r="R194" i="25"/>
  <c r="O244" i="31"/>
  <c r="M245" i="31"/>
  <c r="L246" i="31"/>
  <c r="J247" i="31"/>
  <c r="K247" i="31" s="1"/>
  <c r="N245" i="31"/>
  <c r="P244" i="31"/>
  <c r="F195" i="25" l="1"/>
  <c r="C195" i="25"/>
  <c r="M195" i="25"/>
  <c r="E195" i="25"/>
  <c r="D195" i="25"/>
  <c r="L195" i="25"/>
  <c r="B196" i="25"/>
  <c r="K195" i="25"/>
  <c r="J195" i="25"/>
  <c r="I195" i="25"/>
  <c r="N195" i="25"/>
  <c r="H195" i="25"/>
  <c r="Q195" i="25"/>
  <c r="G195" i="25"/>
  <c r="O195" i="25"/>
  <c r="P195" i="25"/>
  <c r="R195" i="25"/>
  <c r="O245" i="31"/>
  <c r="M246" i="31"/>
  <c r="L247" i="31"/>
  <c r="J248" i="31"/>
  <c r="K248" i="31" s="1"/>
  <c r="P245" i="31"/>
  <c r="N246" i="31"/>
  <c r="G196" i="25" l="1"/>
  <c r="F196" i="25"/>
  <c r="E196" i="25"/>
  <c r="Q196" i="25"/>
  <c r="J196" i="25"/>
  <c r="M196" i="25"/>
  <c r="D196" i="25"/>
  <c r="N196" i="25"/>
  <c r="K196" i="25"/>
  <c r="H196" i="25"/>
  <c r="I196" i="25"/>
  <c r="L196" i="25"/>
  <c r="C196" i="25"/>
  <c r="P196" i="25"/>
  <c r="B197" i="25"/>
  <c r="O196" i="25"/>
  <c r="R196" i="25"/>
  <c r="O246" i="31"/>
  <c r="M247" i="31"/>
  <c r="L248" i="31"/>
  <c r="J249" i="31"/>
  <c r="K249" i="31" s="1"/>
  <c r="P246" i="31"/>
  <c r="N247" i="31"/>
  <c r="G197" i="25" l="1"/>
  <c r="H197" i="25"/>
  <c r="F197" i="25"/>
  <c r="Q197" i="25"/>
  <c r="L197" i="25"/>
  <c r="O197" i="25"/>
  <c r="E197" i="25"/>
  <c r="M197" i="25"/>
  <c r="I197" i="25"/>
  <c r="K197" i="25"/>
  <c r="P197" i="25"/>
  <c r="C197" i="25"/>
  <c r="N197" i="25"/>
  <c r="B198" i="25"/>
  <c r="J197" i="25"/>
  <c r="D197" i="25"/>
  <c r="R197" i="25"/>
  <c r="O247" i="31"/>
  <c r="M248" i="31"/>
  <c r="L249" i="31"/>
  <c r="J250" i="31"/>
  <c r="K250" i="31" s="1"/>
  <c r="N248" i="31"/>
  <c r="P247" i="31"/>
  <c r="G198" i="25" l="1"/>
  <c r="L198" i="25"/>
  <c r="C198" i="25"/>
  <c r="H198" i="25"/>
  <c r="B199" i="25"/>
  <c r="P198" i="25"/>
  <c r="E198" i="25"/>
  <c r="J198" i="25"/>
  <c r="M198" i="25"/>
  <c r="N198" i="25"/>
  <c r="K198" i="25"/>
  <c r="Q198" i="25"/>
  <c r="I198" i="25"/>
  <c r="O198" i="25"/>
  <c r="F198" i="25"/>
  <c r="D198" i="25"/>
  <c r="R198" i="25"/>
  <c r="O248" i="31"/>
  <c r="M249" i="31"/>
  <c r="L250" i="31"/>
  <c r="J251" i="31"/>
  <c r="K251" i="31" s="1"/>
  <c r="P249" i="31"/>
  <c r="P248" i="31"/>
  <c r="F199" i="25" l="1"/>
  <c r="C199" i="25"/>
  <c r="E199" i="25"/>
  <c r="M199" i="25"/>
  <c r="D199" i="25"/>
  <c r="L199" i="25"/>
  <c r="B200" i="25"/>
  <c r="I199" i="25"/>
  <c r="N199" i="25"/>
  <c r="O199" i="25"/>
  <c r="P199" i="25"/>
  <c r="H199" i="25"/>
  <c r="Q199" i="25"/>
  <c r="G199" i="25"/>
  <c r="K199" i="25"/>
  <c r="J199" i="25"/>
  <c r="R199" i="25"/>
  <c r="M250" i="31"/>
  <c r="L251" i="31"/>
  <c r="J252" i="31"/>
  <c r="K252" i="31" s="1"/>
  <c r="N250" i="31"/>
  <c r="N249" i="31"/>
  <c r="F200" i="25" l="1"/>
  <c r="C200" i="25"/>
  <c r="D200" i="25"/>
  <c r="L200" i="25"/>
  <c r="B201" i="25"/>
  <c r="Q200" i="25"/>
  <c r="E200" i="25"/>
  <c r="M200" i="25"/>
  <c r="K200" i="25"/>
  <c r="J200" i="25"/>
  <c r="I200" i="25"/>
  <c r="P200" i="25"/>
  <c r="H200" i="25"/>
  <c r="O200" i="25"/>
  <c r="G200" i="25"/>
  <c r="N200" i="25"/>
  <c r="R200" i="25"/>
  <c r="O249" i="31"/>
  <c r="O250" i="31"/>
  <c r="M251" i="31"/>
  <c r="L252" i="31"/>
  <c r="J253" i="31"/>
  <c r="K253" i="31" s="1"/>
  <c r="P250" i="31"/>
  <c r="N251" i="31"/>
  <c r="E201" i="25" l="1"/>
  <c r="M201" i="25"/>
  <c r="K201" i="25"/>
  <c r="B202" i="25"/>
  <c r="H201" i="25"/>
  <c r="G201" i="25"/>
  <c r="F201" i="25"/>
  <c r="D201" i="25"/>
  <c r="L201" i="25"/>
  <c r="I201" i="25"/>
  <c r="O201" i="25"/>
  <c r="N201" i="25"/>
  <c r="C201" i="25"/>
  <c r="J201" i="25"/>
  <c r="Q201" i="25"/>
  <c r="P201" i="25"/>
  <c r="R201" i="25"/>
  <c r="O251" i="31"/>
  <c r="M252" i="31"/>
  <c r="L253" i="31"/>
  <c r="J254" i="31"/>
  <c r="K254" i="31" s="1"/>
  <c r="N252" i="31"/>
  <c r="P251" i="31"/>
  <c r="F202" i="25" l="1"/>
  <c r="E202" i="25"/>
  <c r="O202" i="25"/>
  <c r="N202" i="25"/>
  <c r="M202" i="25"/>
  <c r="K202" i="25"/>
  <c r="J202" i="25"/>
  <c r="H202" i="25"/>
  <c r="G202" i="25"/>
  <c r="D202" i="25"/>
  <c r="Q202" i="25"/>
  <c r="I202" i="25"/>
  <c r="C202" i="25"/>
  <c r="P202" i="25"/>
  <c r="B203" i="25"/>
  <c r="L202" i="25"/>
  <c r="R202" i="25"/>
  <c r="O252" i="31"/>
  <c r="M253" i="31"/>
  <c r="L254" i="31"/>
  <c r="J255" i="31"/>
  <c r="K255" i="31" s="1"/>
  <c r="P252" i="31"/>
  <c r="N253" i="31"/>
  <c r="F203" i="25" l="1"/>
  <c r="C203" i="25"/>
  <c r="B204" i="25"/>
  <c r="K203" i="25"/>
  <c r="J203" i="25"/>
  <c r="Q203" i="25"/>
  <c r="G203" i="25"/>
  <c r="E203" i="25"/>
  <c r="M203" i="25"/>
  <c r="O203" i="25"/>
  <c r="D203" i="25"/>
  <c r="L203" i="25"/>
  <c r="I203" i="25"/>
  <c r="N203" i="25"/>
  <c r="H203" i="25"/>
  <c r="P203" i="25"/>
  <c r="R203" i="25"/>
  <c r="O253" i="31"/>
  <c r="M254" i="31"/>
  <c r="L255" i="31"/>
  <c r="J256" i="31"/>
  <c r="K256" i="31" s="1"/>
  <c r="P253" i="31"/>
  <c r="N254" i="31"/>
  <c r="F204" i="25" l="1"/>
  <c r="G204" i="25"/>
  <c r="O204" i="25"/>
  <c r="N204" i="25"/>
  <c r="L204" i="25"/>
  <c r="I204" i="25"/>
  <c r="D204" i="25"/>
  <c r="Q204" i="25"/>
  <c r="K204" i="25"/>
  <c r="C204" i="25"/>
  <c r="P204" i="25"/>
  <c r="B205" i="25"/>
  <c r="E204" i="25"/>
  <c r="J204" i="25"/>
  <c r="H204" i="25"/>
  <c r="M204" i="25"/>
  <c r="R204" i="25"/>
  <c r="O254" i="31"/>
  <c r="M255" i="31"/>
  <c r="L256" i="31"/>
  <c r="J257" i="31"/>
  <c r="K257" i="31" s="1"/>
  <c r="P254" i="31"/>
  <c r="N255" i="31"/>
  <c r="D205" i="25" l="1"/>
  <c r="I205" i="25"/>
  <c r="L205" i="25"/>
  <c r="N205" i="25"/>
  <c r="M205" i="25"/>
  <c r="K205" i="25"/>
  <c r="C205" i="25"/>
  <c r="G205" i="25"/>
  <c r="E205" i="25"/>
  <c r="H205" i="25"/>
  <c r="Q205" i="25"/>
  <c r="F205" i="25"/>
  <c r="O205" i="25"/>
  <c r="B206" i="25"/>
  <c r="J205" i="25"/>
  <c r="P205" i="25"/>
  <c r="R205" i="25"/>
  <c r="O255" i="31"/>
  <c r="M256" i="31"/>
  <c r="L257" i="31"/>
  <c r="J258" i="31"/>
  <c r="K258" i="31" s="1"/>
  <c r="N256" i="31"/>
  <c r="P255" i="31"/>
  <c r="H206" i="25" l="1"/>
  <c r="N206" i="25"/>
  <c r="E206" i="25"/>
  <c r="L206" i="25"/>
  <c r="C206" i="25"/>
  <c r="F206" i="25"/>
  <c r="M206" i="25"/>
  <c r="J206" i="25"/>
  <c r="P206" i="25"/>
  <c r="D206" i="25"/>
  <c r="K206" i="25"/>
  <c r="B207" i="25"/>
  <c r="I206" i="25"/>
  <c r="G206" i="25"/>
  <c r="Q206" i="25"/>
  <c r="O206" i="25"/>
  <c r="R206" i="25"/>
  <c r="O256" i="31"/>
  <c r="M257" i="31"/>
  <c r="L258" i="31"/>
  <c r="J259" i="31"/>
  <c r="K259" i="31" s="1"/>
  <c r="P256" i="31"/>
  <c r="N257" i="31"/>
  <c r="F207" i="25" l="1"/>
  <c r="C207" i="25"/>
  <c r="M207" i="25"/>
  <c r="P207" i="25"/>
  <c r="E207" i="25"/>
  <c r="D207" i="25"/>
  <c r="L207" i="25"/>
  <c r="B208" i="25"/>
  <c r="K207" i="25"/>
  <c r="J207" i="25"/>
  <c r="I207" i="25"/>
  <c r="H207" i="25"/>
  <c r="N207" i="25"/>
  <c r="G207" i="25"/>
  <c r="O207" i="25"/>
  <c r="Q207" i="25"/>
  <c r="R207" i="25"/>
  <c r="O257" i="31"/>
  <c r="M258" i="31"/>
  <c r="L259" i="31"/>
  <c r="J260" i="31"/>
  <c r="K260" i="31" s="1"/>
  <c r="P257" i="31"/>
  <c r="N258" i="31"/>
  <c r="G208" i="25" l="1"/>
  <c r="N208" i="25"/>
  <c r="C208" i="25"/>
  <c r="K208" i="25"/>
  <c r="F208" i="25"/>
  <c r="D208" i="25"/>
  <c r="L208" i="25"/>
  <c r="J208" i="25"/>
  <c r="Q208" i="25"/>
  <c r="E208" i="25"/>
  <c r="M208" i="25"/>
  <c r="I208" i="25"/>
  <c r="P208" i="25"/>
  <c r="H208" i="25"/>
  <c r="O208" i="25"/>
  <c r="R208" i="25"/>
  <c r="O258" i="3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N262" i="31"/>
  <c r="P261" i="31"/>
  <c r="O262" i="31" l="1"/>
  <c r="M263" i="31"/>
  <c r="L264" i="31"/>
  <c r="J265" i="31"/>
  <c r="K265" i="31" s="1"/>
  <c r="N263" i="31"/>
  <c r="P262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P266" i="31"/>
  <c r="N267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N271" i="31"/>
  <c r="P270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N275" i="31"/>
  <c r="P274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N280" i="31"/>
  <c r="P279" i="31"/>
  <c r="O280" i="31" l="1"/>
  <c r="M281" i="31"/>
  <c r="L282" i="31"/>
  <c r="J283" i="31"/>
  <c r="K283" i="31" s="1"/>
  <c r="N281" i="31"/>
  <c r="P280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N283" i="31"/>
  <c r="P282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N285" i="31"/>
  <c r="P284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P287" i="31"/>
  <c r="N288" i="31"/>
  <c r="O288" i="31" l="1"/>
  <c r="M289" i="31"/>
  <c r="L290" i="31"/>
  <c r="J291" i="31"/>
  <c r="K291" i="31" s="1"/>
  <c r="P288" i="31"/>
  <c r="N289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N299" i="31"/>
  <c r="P298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N304" i="31"/>
  <c r="P303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N315" i="31"/>
  <c r="P314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N360" i="31"/>
  <c r="P359" i="31"/>
  <c r="O360" i="31" l="1"/>
  <c r="M361" i="31"/>
  <c r="L362" i="31"/>
  <c r="J363" i="31"/>
  <c r="K363" i="31" s="1"/>
  <c r="N361" i="31"/>
  <c r="P360" i="31"/>
  <c r="O361" i="31" l="1"/>
  <c r="M362" i="31"/>
  <c r="L363" i="31"/>
  <c r="J364" i="31"/>
  <c r="K364" i="31" s="1"/>
  <c r="N362" i="31"/>
  <c r="P361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N364" i="31"/>
  <c r="P363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N367" i="31"/>
  <c r="P366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N371" i="31"/>
  <c r="P370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N376" i="31"/>
  <c r="P375" i="31"/>
  <c r="O376" i="31" l="1"/>
  <c r="M377" i="31"/>
  <c r="L378" i="31"/>
  <c r="J379" i="31"/>
  <c r="K379" i="31" s="1"/>
  <c r="N377" i="31"/>
  <c r="P376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N379" i="31"/>
  <c r="P378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N390" i="31"/>
  <c r="P389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N392" i="31"/>
  <c r="P391" i="31"/>
  <c r="O392" i="31" l="1"/>
  <c r="M393" i="31"/>
  <c r="L394" i="31"/>
  <c r="J395" i="31"/>
  <c r="K395" i="31" s="1"/>
  <c r="N393" i="31"/>
  <c r="P392" i="31"/>
  <c r="O393" i="31" l="1"/>
  <c r="M394" i="31"/>
  <c r="L395" i="31"/>
  <c r="J396" i="31"/>
  <c r="K396" i="31" s="1"/>
  <c r="N394" i="31"/>
  <c r="P393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0" i="31"/>
  <c r="N401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N403" i="31"/>
  <c r="P402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N412" i="31"/>
  <c r="P411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N431" i="31"/>
  <c r="P430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N433" i="31"/>
  <c r="P432" i="31"/>
  <c r="O433" i="31" l="1"/>
  <c r="M434" i="31"/>
  <c r="L435" i="31"/>
  <c r="J436" i="31"/>
  <c r="K436" i="31" s="1"/>
  <c r="N434" i="31"/>
  <c r="P433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N437" i="31"/>
  <c r="P436" i="31"/>
  <c r="O437" i="31" l="1"/>
  <c r="M438" i="31"/>
  <c r="L439" i="31"/>
  <c r="J440" i="31"/>
  <c r="K440" i="31" s="1"/>
  <c r="N438" i="31"/>
  <c r="P437" i="31"/>
  <c r="O438" i="31" l="1"/>
  <c r="M439" i="31"/>
  <c r="L440" i="31"/>
  <c r="J441" i="31"/>
  <c r="K441" i="31" s="1"/>
  <c r="N439" i="31"/>
  <c r="P438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N442" i="31"/>
  <c r="P441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N445" i="31"/>
  <c r="P444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N447" i="31"/>
  <c r="P446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N449" i="31"/>
  <c r="P448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N451" i="31"/>
  <c r="P450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N466" i="31"/>
  <c r="P465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N473" i="31"/>
  <c r="P472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N475" i="31"/>
  <c r="P474" i="31"/>
  <c r="O475" i="31" l="1"/>
  <c r="M476" i="31"/>
  <c r="L477" i="31"/>
  <c r="J478" i="31"/>
  <c r="K478" i="31" s="1"/>
  <c r="N476" i="31"/>
  <c r="P475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N478" i="31"/>
  <c r="P477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N481" i="31"/>
  <c r="P480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N483" i="31"/>
  <c r="P482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N488" i="31"/>
  <c r="P487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N495" i="31"/>
  <c r="P494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F11" i="25"/>
  <c r="G14" i="25"/>
  <c r="P500" i="31"/>
  <c r="G11" i="25"/>
  <c r="N501" i="31"/>
  <c r="G13" i="25"/>
  <c r="G12" i="25"/>
  <c r="O501" i="31" l="1"/>
  <c r="G58" i="25"/>
  <c r="G60" i="25"/>
  <c r="F57" i="25"/>
  <c r="F59" i="25"/>
  <c r="G61" i="25"/>
  <c r="G57" i="25"/>
  <c r="F58" i="25"/>
  <c r="G59" i="25"/>
  <c r="F60" i="25"/>
  <c r="G52" i="25"/>
  <c r="G53" i="25"/>
  <c r="G36" i="25"/>
  <c r="F47" i="25"/>
  <c r="G48" i="25"/>
  <c r="G21" i="25"/>
  <c r="F14" i="25"/>
  <c r="F34" i="25"/>
  <c r="F29" i="25"/>
  <c r="F36" i="25"/>
  <c r="F37" i="25"/>
  <c r="G29" i="25"/>
  <c r="G55" i="25"/>
  <c r="G45" i="25"/>
  <c r="G38" i="25"/>
  <c r="G44" i="25"/>
  <c r="G42" i="25"/>
  <c r="G23" i="25"/>
  <c r="F33" i="25"/>
  <c r="F32" i="25"/>
  <c r="F18" i="25"/>
  <c r="F9" i="25"/>
  <c r="G56" i="25"/>
  <c r="F49" i="25"/>
  <c r="G33" i="25"/>
  <c r="G30" i="25"/>
  <c r="F40" i="25"/>
  <c r="G31" i="25"/>
  <c r="G17" i="25"/>
  <c r="F31" i="25"/>
  <c r="F39" i="25"/>
  <c r="F16" i="25"/>
  <c r="G19" i="25"/>
  <c r="F28" i="25"/>
  <c r="P501" i="31"/>
  <c r="F56" i="25"/>
  <c r="F51" i="25"/>
  <c r="G32" i="25"/>
  <c r="F46" i="25"/>
  <c r="G39" i="25"/>
  <c r="G47" i="25"/>
  <c r="F22" i="25"/>
  <c r="F30" i="25"/>
  <c r="G49" i="25"/>
  <c r="F54" i="25"/>
  <c r="G34" i="25"/>
  <c r="F44" i="25"/>
  <c r="F48" i="25"/>
  <c r="F42" i="25"/>
  <c r="F38" i="25"/>
  <c r="F13" i="25"/>
  <c r="F20" i="25"/>
  <c r="F23" i="25"/>
  <c r="F10" i="25"/>
  <c r="F15" i="25"/>
  <c r="F55" i="25"/>
  <c r="F50" i="25"/>
  <c r="G26" i="25"/>
  <c r="G24" i="25"/>
  <c r="G40" i="25"/>
  <c r="G41" i="25"/>
  <c r="F12" i="25"/>
  <c r="F21" i="25"/>
  <c r="G50" i="25"/>
  <c r="G51" i="25"/>
  <c r="G46" i="25"/>
  <c r="G35" i="25"/>
  <c r="G27" i="25"/>
  <c r="F52" i="25"/>
  <c r="F53" i="25"/>
  <c r="G43" i="25"/>
  <c r="G28" i="25"/>
  <c r="F45" i="25"/>
  <c r="G37" i="25"/>
  <c r="F19" i="25"/>
  <c r="F35" i="25"/>
  <c r="F17" i="25"/>
  <c r="R37" i="27" l="1"/>
  <c r="R35" i="27"/>
  <c r="R20" i="27"/>
  <c r="F25" i="25"/>
  <c r="F24" i="25"/>
  <c r="F43" i="25"/>
  <c r="F41" i="25"/>
  <c r="F27" i="25"/>
  <c r="F26" i="25"/>
</calcChain>
</file>

<file path=xl/sharedStrings.xml><?xml version="1.0" encoding="utf-8"?>
<sst xmlns="http://schemas.openxmlformats.org/spreadsheetml/2006/main" count="2677" uniqueCount="1283">
  <si>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</si>
  <si>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</si>
  <si>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</si>
  <si>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</si>
  <si>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</si>
  <si>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</si>
  <si>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</si>
  <si>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</si>
  <si>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</si>
  <si>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</si>
  <si>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</si>
  <si>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</si>
  <si>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</si>
  <si>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</si>
  <si>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</si>
  <si>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</si>
  <si>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</si>
  <si>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</si>
  <si>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</si>
  <si>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</si>
  <si>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</si>
  <si>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</si>
  <si>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</si>
  <si>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</si>
  <si>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</si>
  <si>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</si>
  <si>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</si>
  <si>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</si>
  <si>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</si>
  <si>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</si>
  <si>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</si>
  <si>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</si>
  <si>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</si>
  <si>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</si>
  <si>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</si>
  <si>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</si>
  <si>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</si>
  <si>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</si>
  <si>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</si>
  <si>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</si>
  <si>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</si>
  <si>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</si>
  <si>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</si>
  <si>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</si>
  <si>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</si>
  <si>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</si>
  <si>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</si>
  <si>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</si>
  <si>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</si>
  <si>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</si>
  <si>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</si>
  <si>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</si>
  <si>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</si>
  <si>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</si>
  <si>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</si>
  <si>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</si>
  <si>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</si>
  <si>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</si>
  <si>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</si>
  <si>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</si>
  <si>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</si>
  <si>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</si>
  <si>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</si>
  <si>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</si>
  <si>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</si>
  <si>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</si>
  <si>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</si>
  <si>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</si>
  <si>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</si>
  <si>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</si>
  <si>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</si>
  <si>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</si>
  <si>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</si>
  <si>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</si>
  <si>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</si>
  <si>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</si>
  <si>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</si>
  <si>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</si>
  <si>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</si>
  <si>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</si>
  <si>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</si>
  <si>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</si>
  <si>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</si>
  <si>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</si>
  <si>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</si>
  <si>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</si>
  <si>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</si>
  <si>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</si>
  <si>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</si>
  <si>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</si>
  <si>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</si>
  <si>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</si>
  <si>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</si>
  <si>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</si>
  <si>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</si>
  <si>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</si>
  <si>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</si>
  <si>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</si>
  <si>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</si>
  <si>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</si>
  <si>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</si>
  <si>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</si>
  <si>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</si>
  <si>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</si>
  <si>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</si>
  <si>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</si>
  <si>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</si>
  <si>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</si>
  <si>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</si>
  <si>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</si>
  <si>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</si>
  <si>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</si>
  <si>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</si>
  <si>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</si>
  <si>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</si>
  <si>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</si>
  <si>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</si>
  <si>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</si>
  <si>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</si>
  <si>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</si>
  <si>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</si>
  <si>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</si>
  <si>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</si>
  <si>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</si>
  <si>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</si>
  <si>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</si>
  <si>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</si>
  <si>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</si>
  <si>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</si>
  <si>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</si>
  <si>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</si>
  <si>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</si>
  <si>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</si>
  <si>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</si>
  <si>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</si>
  <si>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</si>
  <si>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</si>
  <si>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</si>
  <si>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</si>
  <si>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</si>
  <si>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</si>
  <si>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</si>
  <si>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</si>
  <si>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</si>
  <si>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</si>
  <si>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</si>
  <si>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</si>
  <si>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</si>
  <si>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</si>
  <si>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</si>
  <si>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</si>
  <si>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</si>
  <si>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</si>
  <si>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</si>
  <si>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</si>
  <si>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</si>
  <si>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</si>
  <si>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</si>
  <si>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</si>
  <si>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</si>
  <si>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</si>
  <si>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</si>
  <si>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</si>
  <si>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</si>
  <si>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</si>
  <si>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</si>
  <si>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</si>
  <si>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</si>
  <si>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</si>
  <si>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</si>
  <si>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</si>
  <si>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</si>
  <si>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</si>
  <si>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</si>
  <si>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</si>
  <si>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</si>
  <si>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</si>
  <si>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</si>
  <si>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</si>
  <si>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</si>
  <si>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</si>
  <si>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</si>
  <si>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</si>
  <si>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</si>
  <si>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</si>
  <si>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</si>
  <si>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</si>
  <si>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</si>
  <si>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</si>
  <si>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</si>
  <si>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</si>
  <si>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</si>
  <si>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</si>
  <si>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</si>
  <si>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</si>
  <si>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</si>
  <si>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</si>
  <si>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</si>
  <si>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</si>
  <si>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</si>
  <si>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</si>
  <si>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</si>
  <si>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</si>
  <si>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</si>
  <si>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</si>
  <si>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</si>
  <si>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</si>
  <si>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</si>
  <si>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</si>
  <si>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</si>
  <si>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</si>
  <si>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</si>
  <si>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</si>
  <si>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</si>
  <si>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</si>
  <si>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</si>
  <si>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</si>
  <si>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</si>
  <si>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</si>
  <si>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</si>
  <si>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</si>
  <si>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</si>
  <si>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</si>
  <si>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</si>
  <si>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</si>
  <si>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</si>
  <si>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</si>
  <si>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</si>
  <si>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</si>
  <si>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</si>
  <si>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</si>
  <si>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</si>
  <si>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</si>
  <si>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</si>
  <si>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</si>
  <si>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</si>
  <si>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</si>
  <si>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</si>
  <si>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</si>
  <si>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</si>
  <si>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</si>
  <si>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</si>
  <si>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</si>
  <si>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</si>
  <si>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</si>
  <si>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</si>
  <si>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</si>
  <si>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</si>
  <si>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</si>
  <si>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</si>
  <si>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</si>
  <si>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</si>
  <si>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</si>
  <si>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</si>
  <si>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</si>
  <si>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</si>
  <si>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</si>
  <si>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</si>
  <si>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</si>
  <si>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</si>
  <si>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</si>
  <si>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</si>
  <si>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</si>
  <si>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</si>
  <si>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</si>
  <si>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</si>
  <si>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</si>
  <si>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</si>
  <si>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</si>
  <si>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</si>
  <si>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</si>
  <si>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</si>
  <si>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</si>
  <si>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</si>
  <si>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</si>
  <si>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</si>
  <si>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</si>
  <si>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</si>
  <si>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</si>
  <si>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</si>
  <si>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</si>
  <si>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</si>
  <si>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</si>
  <si>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</si>
  <si>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</si>
  <si>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</si>
  <si>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</si>
  <si>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</si>
  <si>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</si>
  <si>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</si>
  <si>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</si>
  <si>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</si>
  <si>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</si>
  <si>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</si>
  <si>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</si>
  <si>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</si>
  <si>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</si>
  <si>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</si>
  <si>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</si>
  <si>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</si>
  <si>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</si>
  <si>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</si>
  <si>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</si>
  <si>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</si>
  <si>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</si>
  <si>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</si>
  <si>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</si>
  <si>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</si>
  <si>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</si>
  <si>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</si>
  <si>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</si>
  <si>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</si>
  <si>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</si>
  <si>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</si>
  <si>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</si>
  <si>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</si>
  <si>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</si>
  <si>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</si>
  <si>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</si>
  <si>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</si>
  <si>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</si>
  <si>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</si>
  <si>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</si>
  <si>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</si>
  <si>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</si>
  <si>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</si>
  <si>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</si>
  <si>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</si>
  <si>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</si>
  <si>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</si>
  <si>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</si>
  <si>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</si>
  <si>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</si>
  <si>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</si>
  <si>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</si>
  <si>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</si>
  <si>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</si>
  <si>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</si>
  <si>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</si>
  <si>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</si>
  <si>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</si>
  <si>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</si>
  <si>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</si>
  <si>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</si>
  <si>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</si>
  <si>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</si>
  <si>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</si>
  <si>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</si>
  <si>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</si>
  <si>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</si>
  <si>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</si>
  <si>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</si>
  <si>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</si>
  <si>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</si>
  <si>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</si>
  <si>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</si>
  <si>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</si>
  <si>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</si>
  <si>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</si>
  <si>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</si>
  <si>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</si>
  <si>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</si>
  <si>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</si>
  <si>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</si>
  <si>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</si>
  <si>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</si>
  <si>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</si>
  <si>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</si>
  <si>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</si>
  <si>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</si>
  <si>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</si>
  <si>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</si>
  <si>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</si>
  <si>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</si>
  <si>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</si>
  <si>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</si>
  <si>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</si>
  <si>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</si>
  <si>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</si>
  <si>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</si>
  <si>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</si>
  <si>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</si>
  <si>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</si>
  <si>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</si>
  <si>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</si>
  <si>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</si>
  <si>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</si>
  <si>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</si>
  <si>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</si>
  <si>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</si>
  <si>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</si>
  <si>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</si>
  <si>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</si>
  <si>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</si>
  <si>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</si>
  <si>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</si>
  <si>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</si>
  <si>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</si>
  <si>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</si>
  <si>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</si>
  <si>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</si>
  <si>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</si>
  <si>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</si>
  <si>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</si>
  <si>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</si>
  <si>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</si>
  <si>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</si>
  <si>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</si>
  <si>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</si>
  <si>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</si>
  <si>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</si>
  <si>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</si>
  <si>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</si>
  <si>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</si>
  <si>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</si>
  <si>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</si>
  <si>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</si>
  <si>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</si>
  <si>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</si>
  <si>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</si>
  <si>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</si>
  <si>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</si>
  <si>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</si>
  <si>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</si>
  <si>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</si>
  <si>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</si>
  <si>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</si>
  <si>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</si>
  <si>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</si>
  <si>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</si>
  <si>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</si>
  <si>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</si>
  <si>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</si>
  <si>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</si>
  <si>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</si>
  <si>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</si>
  <si>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</si>
  <si>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</si>
  <si>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</si>
  <si>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</si>
  <si>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</si>
  <si>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</si>
  <si>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</si>
  <si>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</si>
  <si>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</si>
  <si>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</si>
  <si>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</si>
  <si>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</si>
  <si>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</si>
  <si>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</si>
  <si>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</si>
  <si>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</si>
  <si>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</si>
  <si>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</si>
  <si>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</si>
  <si>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</si>
  <si>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</si>
  <si>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</si>
  <si>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</si>
  <si>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</si>
  <si>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</si>
  <si>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</si>
  <si>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</si>
  <si>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</si>
  <si>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</si>
  <si>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</si>
  <si>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</si>
  <si>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</si>
  <si>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</si>
  <si>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</si>
  <si>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</si>
  <si>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</si>
  <si>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</si>
  <si>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</si>
  <si>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</si>
  <si>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</si>
  <si>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</si>
  <si>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</si>
  <si>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</si>
  <si>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</si>
  <si>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</si>
  <si>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</si>
  <si>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</si>
  <si>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</si>
  <si>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</si>
  <si>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</si>
  <si>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</si>
  <si>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</si>
  <si>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</si>
  <si>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</si>
  <si>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</si>
  <si>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</si>
  <si>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2019_01_24_000002_create___groups_table.php</t>
  </si>
  <si>
    <t>2019_01_24_000003_create___group_users_table.php</t>
  </si>
  <si>
    <t>2019_01_24_000004_create___roles_table.php</t>
  </si>
  <si>
    <t>2019_01_24_000005_create___group_roles_table.php</t>
  </si>
  <si>
    <t>2019_01_24_000006_create___resources_table.php</t>
  </si>
  <si>
    <t>2019_01_24_000007_create___resource_roles_table.php</t>
  </si>
  <si>
    <t>2019_01_24_000008_create___resource_relations_table.php</t>
  </si>
  <si>
    <t>2019_01_24_000009_create___resource_scopes_table.php</t>
  </si>
  <si>
    <t>2019_01_24_000010_create___resource_forms_table.php</t>
  </si>
  <si>
    <t>2019_01_24_000011_create___resource_form_fields_table.php</t>
  </si>
  <si>
    <t>2019_01_24_000012_create___resource_form_field_attrs_table.php</t>
  </si>
  <si>
    <t>2019_01_24_000013_create___resource_form_field_data_table.php</t>
  </si>
  <si>
    <t>2019_01_24_000014_create___resource_form_field_validations_table.php</t>
  </si>
  <si>
    <t>2019_01_24_000015_create___resource_form_field_options_table.php</t>
  </si>
  <si>
    <t>2019_01_24_000016_create___resource_form_field_depends_table.php</t>
  </si>
  <si>
    <t>2019_01_24_000017_create___resource_form_field_dynamic_table.php</t>
  </si>
  <si>
    <t>2019_01_24_000018_create___resource_form_layout_table.php</t>
  </si>
  <si>
    <t>2019_01_24_000019_create___resource_form_data_map_table.php</t>
  </si>
  <si>
    <t>2019_01_24_000020_create___resource_form_collection_table.php</t>
  </si>
  <si>
    <t>2019_01_24_000021_create___resource_form_upload_table.php</t>
  </si>
  <si>
    <t>2019_01_24_000022_create___resource_form_defaults_table.php</t>
  </si>
  <si>
    <t>2019_01_24_000023_create___resource_lists_table.php</t>
  </si>
  <si>
    <t>2019_01_24_000024_create___resource_list_relations_table.php</t>
  </si>
  <si>
    <t>2019_01_24_000025_create___resource_list_scopes_table.php</t>
  </si>
  <si>
    <t>2019_01_24_000026_create___resource_list_layout_table.php</t>
  </si>
  <si>
    <t>2019_01_24_000027_create___resource_list_search_table.php</t>
  </si>
  <si>
    <t>2019_01_24_000028_create___resource_data_table.php</t>
  </si>
  <si>
    <t>2019_01_24_000029_create___resource_data_relations_table.php</t>
  </si>
  <si>
    <t>2019_01_24_000030_create___resource_data_scopes_table.php</t>
  </si>
  <si>
    <t>2019_01_24_000031_create___resource_data_view_sections_table.php</t>
  </si>
  <si>
    <t>2019_01_24_000032_create___resource_data_view_section_items_table.php</t>
  </si>
  <si>
    <t>2019_01_24_000033_create___resource_actions_table.php</t>
  </si>
  <si>
    <t>2019_01_24_000034_create___resource_action_attrs_table.php</t>
  </si>
  <si>
    <t>2019_01_24_000035_create___resource_action_methods_table.php</t>
  </si>
  <si>
    <t>2019_01_24_000036_create___resource_action_lists_table.php</t>
  </si>
  <si>
    <t>2019_01_24_000037_create___resource_action_data_table.php</t>
  </si>
  <si>
    <t>2019_01_24_000038_create___resource_defaults_table.php</t>
  </si>
  <si>
    <t>2019_01_24_000039_create___resource_metrics_table.php</t>
  </si>
  <si>
    <t>2019_01_24_000040_create___resource_dashboard_table.php</t>
  </si>
  <si>
    <t>2019_01_24_000041_create___resource_dashboard_sections_table.php</t>
  </si>
  <si>
    <t>2019_01_24_000042_create___resource_dashboard_section_items_table.php</t>
  </si>
  <si>
    <t>2019_01_24_000043_create___organisation_table.php</t>
  </si>
  <si>
    <t>2019_01_24_000044_create___organisation_contacts_table.php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</si>
  <si>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</si>
  <si>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</si>
  <si>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</si>
  <si>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</si>
  <si>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</si>
  <si>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</si>
  <si>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</si>
  <si>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</si>
  <si>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</si>
  <si>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</si>
  <si>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</si>
  <si>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</si>
  <si>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</si>
  <si>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</si>
  <si>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</si>
  <si>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</si>
  <si>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</si>
  <si>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</si>
  <si>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</si>
  <si>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</si>
  <si>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</si>
  <si>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</si>
  <si>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</si>
  <si>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</si>
  <si>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</si>
  <si>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</si>
  <si>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</si>
  <si>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</si>
  <si>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</si>
  <si>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</si>
  <si>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</si>
  <si>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</si>
  <si>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</si>
  <si>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</si>
  <si>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</si>
  <si>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</si>
  <si>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</si>
  <si>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</si>
  <si>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</si>
  <si>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</si>
  <si>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</si>
  <si>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</si>
  <si>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</si>
  <si>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</si>
  <si>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</si>
  <si>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</si>
  <si>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</si>
  <si>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</si>
  <si>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</si>
  <si>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</si>
  <si>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</si>
  <si>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</si>
  <si>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</si>
  <si>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</si>
  <si>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</si>
  <si>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</si>
  <si>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</si>
  <si>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</si>
  <si>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</si>
  <si>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</si>
  <si>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</si>
  <si>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</si>
  <si>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</si>
  <si>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</si>
  <si>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</si>
  <si>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</si>
  <si>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</si>
  <si>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</si>
  <si>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</si>
  <si>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</si>
  <si>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</si>
  <si>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</si>
  <si>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</si>
  <si>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</si>
  <si>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</si>
  <si>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</si>
  <si>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</si>
  <si>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</si>
  <si>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</si>
  <si>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</si>
  <si>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</si>
  <si>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</si>
  <si>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</si>
  <si>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</si>
  <si>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</si>
  <si>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</si>
  <si>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</si>
  <si>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</si>
  <si>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</si>
  <si>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</si>
  <si>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</si>
  <si>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</si>
  <si>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</si>
  <si>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</si>
  <si>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</si>
  <si>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</si>
  <si>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</si>
  <si>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</si>
  <si>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</si>
  <si>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</si>
  <si>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</si>
  <si>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</si>
  <si>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</si>
  <si>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</si>
  <si>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</si>
  <si>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</si>
  <si>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</si>
  <si>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</si>
  <si>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</si>
  <si>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</si>
  <si>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</si>
  <si>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</si>
  <si>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</si>
  <si>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</si>
  <si>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</si>
  <si>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</si>
  <si>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</si>
  <si>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</si>
  <si>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</si>
  <si>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</si>
  <si>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</si>
  <si>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</si>
  <si>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</si>
  <si>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</si>
  <si>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</si>
  <si>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</si>
  <si>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</si>
  <si>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</si>
  <si>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</si>
  <si>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</si>
  <si>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</si>
  <si>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</si>
  <si>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</si>
  <si>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</si>
  <si>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</si>
  <si>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</si>
  <si>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</si>
  <si>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</si>
  <si>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</si>
  <si>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</si>
  <si>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</si>
  <si>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</si>
  <si>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</si>
  <si>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</si>
  <si>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</si>
  <si>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</si>
  <si>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</si>
  <si>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</si>
  <si>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</si>
  <si>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</si>
  <si>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</si>
  <si>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</si>
  <si>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</si>
  <si>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</si>
  <si>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</si>
  <si>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</si>
  <si>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</si>
  <si>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</si>
  <si>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</si>
  <si>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</si>
  <si>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</si>
  <si>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</si>
  <si>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</si>
  <si>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</si>
  <si>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</si>
  <si>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</si>
  <si>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</si>
  <si>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</si>
  <si>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</si>
  <si>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</si>
  <si>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</si>
  <si>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</si>
  <si>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</si>
  <si>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</si>
  <si>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</si>
  <si>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</si>
  <si>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</si>
  <si>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</si>
  <si>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</si>
  <si>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</si>
  <si>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</si>
  <si>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</si>
  <si>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</si>
  <si>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</si>
  <si>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</si>
  <si>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</si>
  <si>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</si>
  <si>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</si>
  <si>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</si>
  <si>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</si>
  <si>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</si>
  <si>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</si>
  <si>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</si>
  <si>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</si>
  <si>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</si>
  <si>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</si>
  <si>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</si>
  <si>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</si>
  <si>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</si>
  <si>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</si>
  <si>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</si>
  <si>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</si>
  <si>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</si>
  <si>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</si>
  <si>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</si>
  <si>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</si>
  <si>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</si>
  <si>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</si>
  <si>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</si>
  <si>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</si>
  <si>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</si>
  <si>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</si>
  <si>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</si>
  <si>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</si>
  <si>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</si>
  <si>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</si>
  <si>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</si>
  <si>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</si>
  <si>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</si>
  <si>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</si>
  <si>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</si>
  <si>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</si>
  <si>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</si>
  <si>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</si>
  <si>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</si>
  <si>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</si>
  <si>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</si>
  <si>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</si>
  <si>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</si>
  <si>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</si>
  <si>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</si>
  <si>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</si>
  <si>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</si>
  <si>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</si>
  <si>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</si>
  <si>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</si>
  <si>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</si>
  <si>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</si>
  <si>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</si>
  <si>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</si>
  <si>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</si>
  <si>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</si>
  <si>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</si>
  <si>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</si>
  <si>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</si>
  <si>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</si>
  <si>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</si>
  <si>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</si>
  <si>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</si>
  <si>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</si>
  <si>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</si>
  <si>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</si>
  <si>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</si>
  <si>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</si>
  <si>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</si>
  <si>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</si>
  <si>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</si>
  <si>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</si>
  <si>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</si>
  <si>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</si>
  <si>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</si>
  <si>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Usage</t>
  </si>
  <si>
    <t>Reset</t>
  </si>
  <si>
    <t>Group Users</t>
  </si>
  <si>
    <t>[[Primary Method]:[IDN 5]]</t>
  </si>
  <si>
    <t>Fields</t>
  </si>
  <si>
    <t>ID No</t>
  </si>
  <si>
    <t>tasks</t>
  </si>
  <si>
    <t>partners</t>
  </si>
  <si>
    <t>group_partners</t>
  </si>
  <si>
    <t>partner_tasks</t>
  </si>
  <si>
    <t>string</t>
  </si>
  <si>
    <t>index()</t>
  </si>
  <si>
    <t>nullable()</t>
  </si>
  <si>
    <t>status</t>
  </si>
  <si>
    <t>enum</t>
  </si>
  <si>
    <t>['Active','Inactive']</t>
  </si>
  <si>
    <t>default('Active')</t>
  </si>
  <si>
    <t>foreignCascade</t>
  </si>
  <si>
    <t>partner</t>
  </si>
  <si>
    <t>partner_foreign</t>
  </si>
  <si>
    <t>group_foreign</t>
  </si>
  <si>
    <t>task_parent_foreign</t>
  </si>
  <si>
    <t>foreignNullable</t>
  </si>
  <si>
    <t>parent</t>
  </si>
  <si>
    <t>returned</t>
  </si>
  <si>
    <t>dismissed</t>
  </si>
  <si>
    <t>completed</t>
  </si>
  <si>
    <t>progress</t>
  </si>
  <si>
    <t>['No','Yes']</t>
  </si>
  <si>
    <t>returnable</t>
  </si>
  <si>
    <t>dismissable</t>
  </si>
  <si>
    <t>editable</t>
  </si>
  <si>
    <t>default('No')</t>
  </si>
  <si>
    <t>weightage</t>
  </si>
  <si>
    <t>tinyInteger</t>
  </si>
  <si>
    <t>default('100')</t>
  </si>
  <si>
    <t>completion</t>
  </si>
  <si>
    <t>['Description','Attachment','Sub Task']</t>
  </si>
  <si>
    <t>assign</t>
  </si>
  <si>
    <t>task_foreign</t>
  </si>
  <si>
    <t>task</t>
  </si>
  <si>
    <t>attachment1</t>
  </si>
  <si>
    <t>bigInteger</t>
  </si>
  <si>
    <t>attachment2</t>
  </si>
  <si>
    <t>attachment3</t>
  </si>
  <si>
    <t>task_assign</t>
  </si>
  <si>
    <t>bigIncrements</t>
  </si>
  <si>
    <t>Partner</t>
  </si>
  <si>
    <t>GroupPartner</t>
  </si>
  <si>
    <t>Task</t>
  </si>
  <si>
    <t>PartnerTask</t>
  </si>
  <si>
    <t>Users of Task Management Application</t>
  </si>
  <si>
    <t>Group of users to whom a task can assign</t>
  </si>
  <si>
    <t>Partners of groups</t>
  </si>
  <si>
    <t>Tasks</t>
  </si>
  <si>
    <t>Tasks that are assigned to partners</t>
  </si>
  <si>
    <t>Partners</t>
  </si>
  <si>
    <t>Partner Groups</t>
  </si>
  <si>
    <t>email</t>
  </si>
  <si>
    <t>password</t>
  </si>
  <si>
    <t>actions_availability</t>
  </si>
  <si>
    <t>actions</t>
  </si>
  <si>
    <t>truncate</t>
  </si>
  <si>
    <t>Task Administrator</t>
  </si>
  <si>
    <t>task_administrator</t>
  </si>
  <si>
    <t>Administrator to manage tasks</t>
  </si>
  <si>
    <t>User to handle tasks</t>
  </si>
  <si>
    <t>All</t>
  </si>
  <si>
    <t>Init</t>
  </si>
  <si>
    <t>task_administrators</t>
  </si>
  <si>
    <t>Task Administrators</t>
  </si>
  <si>
    <t>PartnerGroups</t>
  </si>
  <si>
    <t>Groups a partner belongs to</t>
  </si>
  <si>
    <t>belongsToMany</t>
  </si>
  <si>
    <t>PartnerTasks</t>
  </si>
  <si>
    <t>Tasks that assigned to a partner</t>
  </si>
  <si>
    <t>hasMany</t>
  </si>
  <si>
    <t>Progress</t>
  </si>
  <si>
    <t>GroupPartners</t>
  </si>
  <si>
    <t>The partners having this group assigned</t>
  </si>
  <si>
    <t>TaskProgress</t>
  </si>
  <si>
    <t>ParentTask</t>
  </si>
  <si>
    <t>The main task of a parent task</t>
  </si>
  <si>
    <t>Main</t>
  </si>
  <si>
    <t>belongsTo</t>
  </si>
  <si>
    <t>SubTasks</t>
  </si>
  <si>
    <t>The child tasks of a task</t>
  </si>
  <si>
    <t>default('New')</t>
  </si>
  <si>
    <t>NewTasks</t>
  </si>
  <si>
    <t>Get new tasks</t>
  </si>
  <si>
    <t>new</t>
  </si>
  <si>
    <t>Get completed tasks</t>
  </si>
  <si>
    <t>Get dismissed tasks</t>
  </si>
  <si>
    <t>CompletedTasks</t>
  </si>
  <si>
    <t>DismissedTasks</t>
  </si>
  <si>
    <t>ReturnedTasks</t>
  </si>
  <si>
    <t>Get returned tasks</t>
  </si>
  <si>
    <t>CreateGroup</t>
  </si>
  <si>
    <t>Create new partner group</t>
  </si>
  <si>
    <t>Save</t>
  </si>
  <si>
    <t>Group/CreateGroup</t>
  </si>
  <si>
    <t>text</t>
  </si>
  <si>
    <t>textarea</t>
  </si>
  <si>
    <t>select</t>
  </si>
  <si>
    <t>Group Name</t>
  </si>
  <si>
    <t>Status</t>
  </si>
  <si>
    <t>Enum</t>
  </si>
  <si>
    <t>Group/CreateGroup/name</t>
  </si>
  <si>
    <t>inline</t>
  </si>
  <si>
    <t>Group/CreateGroup/description</t>
  </si>
  <si>
    <t>Group/CreateGroup/status</t>
  </si>
  <si>
    <t>CreateFormAction</t>
  </si>
  <si>
    <t>Action to call group create form</t>
  </si>
  <si>
    <t>(Forms) Group/CreateGroup</t>
  </si>
  <si>
    <t>GroupList</t>
  </si>
  <si>
    <t>List all groups</t>
  </si>
  <si>
    <t>Group/GroupList</t>
  </si>
  <si>
    <t>ListGroupsAction</t>
  </si>
  <si>
    <t>List All</t>
  </si>
  <si>
    <t>(Lists) Group/GroupList</t>
  </si>
  <si>
    <t>CreatePartner</t>
  </si>
  <si>
    <t>Create new partner</t>
  </si>
  <si>
    <t>Partner/CreatePartner</t>
  </si>
  <si>
    <t>Email</t>
  </si>
  <si>
    <t>Password</t>
  </si>
  <si>
    <t>Partner/CreatePartner/name</t>
  </si>
  <si>
    <t>Partner/CreatePartner/email</t>
  </si>
  <si>
    <t>Partner/CreatePartner/password</t>
  </si>
  <si>
    <t>CreatePartnerAction</t>
  </si>
  <si>
    <t>Action to call create partner form</t>
  </si>
  <si>
    <t>New Partner</t>
  </si>
  <si>
    <t>(Forms) Partner/CreatePartner</t>
  </si>
  <si>
    <t>ListPartnerAction</t>
  </si>
  <si>
    <t>Action to call list to list groups</t>
  </si>
  <si>
    <t>Action to call list to list all partners</t>
  </si>
  <si>
    <t>PartnerList</t>
  </si>
  <si>
    <t>List all partners</t>
  </si>
  <si>
    <t>Partner/PartnerList</t>
  </si>
  <si>
    <t>(Lists) Partner/PartnerList</t>
  </si>
  <si>
    <t>Name is mandatory</t>
  </si>
  <si>
    <t>Email is required for partner to login</t>
  </si>
  <si>
    <t>Password is mandatory</t>
  </si>
  <si>
    <t>unique</t>
  </si>
  <si>
    <t>Email already exists.</t>
  </si>
  <si>
    <t>-r:update</t>
  </si>
  <si>
    <t>required</t>
  </si>
  <si>
    <t>ManagePartnerGroups</t>
  </si>
  <si>
    <t>Action to manage partner groups</t>
  </si>
  <si>
    <t>Manage Groups</t>
  </si>
  <si>
    <t>ManageRelation</t>
  </si>
  <si>
    <t>(Relation) Partner/Groups</t>
  </si>
  <si>
    <t>Partner/ManagePartnerGroups</t>
  </si>
  <si>
    <t>ManageGroupPartners</t>
  </si>
  <si>
    <t>Action to manage group partners</t>
  </si>
  <si>
    <t>Manage Partners</t>
  </si>
  <si>
    <t>(Relation) Group/Partners</t>
  </si>
  <si>
    <t>Group/ManageGroupPartners</t>
  </si>
  <si>
    <t>CreateTask</t>
  </si>
  <si>
    <t>Create new task</t>
  </si>
  <si>
    <t>Task/CreateTask</t>
  </si>
  <si>
    <t>Task Name</t>
  </si>
  <si>
    <t>Task/CreateTask/name</t>
  </si>
  <si>
    <t>Task/CreateTask/description</t>
  </si>
  <si>
    <t>Task List</t>
  </si>
  <si>
    <t>List all tasks</t>
  </si>
  <si>
    <t>Task/Task List</t>
  </si>
  <si>
    <t>CreateTaskAction</t>
  </si>
  <si>
    <t>Action to call form to create task</t>
  </si>
  <si>
    <t>New Task</t>
  </si>
  <si>
    <t>(Forms) Task/CreateTask</t>
  </si>
  <si>
    <t>ListTaskAction</t>
  </si>
  <si>
    <t>Action to call list to list all tasks</t>
  </si>
  <si>
    <t>(Lists) Task/Task List</t>
  </si>
  <si>
    <t>Assign To</t>
  </si>
  <si>
    <t>Task/CreateTask/assign</t>
  </si>
  <si>
    <t>TaskPartners</t>
  </si>
  <si>
    <t>The Partners assigned for this task</t>
  </si>
  <si>
    <t>The progress of tasks</t>
  </si>
  <si>
    <t>PartnerProgress</t>
  </si>
  <si>
    <t>The progress of partner</t>
  </si>
  <si>
    <t>ManageTaskPartners</t>
  </si>
  <si>
    <t>Action to manage partners for a task</t>
  </si>
  <si>
    <t>(Relation) Task/Partners</t>
  </si>
  <si>
    <t>Task/ManageTaskPartners</t>
  </si>
  <si>
    <t>NewTaskList</t>
  </si>
  <si>
    <t>List of all new task</t>
  </si>
  <si>
    <t>New Tasks</t>
  </si>
  <si>
    <t>PartnerTask/NewTaskList</t>
  </si>
  <si>
    <t>PartnerTask/NewTasks</t>
  </si>
  <si>
    <t>TaskDetails</t>
  </si>
  <si>
    <t>Details of task this record belongs to</t>
  </si>
  <si>
    <t>PartnerTask/Task</t>
  </si>
  <si>
    <t>List of all dismissed task</t>
  </si>
  <si>
    <t>Dismissed Tasks</t>
  </si>
  <si>
    <t>List of all returned task</t>
  </si>
  <si>
    <t>Returned Tasks</t>
  </si>
  <si>
    <t>List of all completed task</t>
  </si>
  <si>
    <t>Completed Tasks</t>
  </si>
  <si>
    <t>PartnerTask/DismissedTasks</t>
  </si>
  <si>
    <t>PartnerTask/ReturnedTasks</t>
  </si>
  <si>
    <t>PartnerTask/CompletedTasks</t>
  </si>
  <si>
    <t>Action to list new tasks</t>
  </si>
  <si>
    <t>(Lists) PartnerTask/NewTaskList</t>
  </si>
  <si>
    <t>(Lists) PartnerTask/DismissedTasks</t>
  </si>
  <si>
    <t>(Lists) PartnerTask/ReturnedTasks</t>
  </si>
  <si>
    <t>(Lists) PartnerTask/CompletedTasks</t>
  </si>
  <si>
    <t>Dismissed</t>
  </si>
  <si>
    <t>Completed</t>
  </si>
  <si>
    <t>Returned</t>
  </si>
  <si>
    <t>ListCompletedTasksAction</t>
  </si>
  <si>
    <t>ListDismissedTasksAction</t>
  </si>
  <si>
    <t>ListReturnedTasksAction</t>
  </si>
  <si>
    <t>ListNewTasksAction</t>
  </si>
  <si>
    <t>Action to list completed tasks</t>
  </si>
  <si>
    <t>Action to list dismissed tasks</t>
  </si>
  <si>
    <t>Action to list returned tasks</t>
  </si>
  <si>
    <t>Task progress details</t>
  </si>
  <si>
    <t>TaskCompleteDescription</t>
  </si>
  <si>
    <t>Form to make task complete by updating complete_comment</t>
  </si>
  <si>
    <t>Complete</t>
  </si>
  <si>
    <t>PartnerTask/TaskCompleteDescription</t>
  </si>
  <si>
    <t>static</t>
  </si>
  <si>
    <t>task.name</t>
  </si>
  <si>
    <t>task.description</t>
  </si>
  <si>
    <t>staticTextarea</t>
  </si>
  <si>
    <t>PartnerTask/TaskCompleteDescription/task.name</t>
  </si>
  <si>
    <t>PartnerTask/TaskCompleteDescription/task.description</t>
  </si>
  <si>
    <t>PartnerTask/TaskProgress</t>
  </si>
  <si>
    <t>PartnerTask/TaskCompleteDescription/progress</t>
  </si>
  <si>
    <t>Set new status</t>
  </si>
  <si>
    <t>CompleteDescriptionTaskFormAction</t>
  </si>
  <si>
    <t>(Forms) PartnerTask/TaskCompleteDescription</t>
  </si>
  <si>
    <t>(Data) PartnerTask/TaskProgress</t>
  </si>
  <si>
    <t>PartnerTask/CompleteDescriptionTaskFormAction</t>
  </si>
  <si>
    <t>New Status</t>
  </si>
  <si>
    <t>TaskCompleteAttachment</t>
  </si>
  <si>
    <t>Form to make task complete by attaching files</t>
  </si>
  <si>
    <t>PartnerTask/TaskCompleteAttachment</t>
  </si>
  <si>
    <t>file</t>
  </si>
  <si>
    <t>Attachment 01</t>
  </si>
  <si>
    <t>Attachment 02</t>
  </si>
  <si>
    <t>Attachment 03</t>
  </si>
  <si>
    <t>PartnerTask/TaskCompleteAttachment/task.name</t>
  </si>
  <si>
    <t>PartnerTask/TaskCompleteAttachment/task.description</t>
  </si>
  <si>
    <t>PartnerTask/TaskCompleteAttachment/progress</t>
  </si>
  <si>
    <t>CompleteAttachmentTaskFormAction</t>
  </si>
  <si>
    <t>Action to call the form for task completion with attachment</t>
  </si>
  <si>
    <t>Action to call the form for task completion with description</t>
  </si>
  <si>
    <t>(Forms) PartnerTask/TaskCompleteAttachment</t>
  </si>
  <si>
    <t>PartnerTask/CompleteAttachmentTaskFormAction</t>
  </si>
  <si>
    <t>icon</t>
  </si>
  <si>
    <t>on</t>
  </si>
  <si>
    <t>confirm</t>
  </si>
  <si>
    <t>[[Primary]:[Confirm]]</t>
  </si>
  <si>
    <t>record.task.completion === "Description"</t>
  </si>
  <si>
    <t>record.task.completion === "Attachment"</t>
  </si>
  <si>
    <t>RecentlyUpdated</t>
  </si>
  <si>
    <t>Get tasks which are updated recently</t>
  </si>
  <si>
    <t>recent</t>
  </si>
  <si>
    <t>PartnerTask/RecentlyUpdated</t>
  </si>
  <si>
    <t>recentlyCompleted</t>
  </si>
  <si>
    <t>RecentlyCompleted</t>
  </si>
  <si>
    <t>Tasks which are completed recently.</t>
  </si>
  <si>
    <t>TaskUser</t>
  </si>
  <si>
    <t>Detail of user this record belongs to</t>
  </si>
  <si>
    <t>PartnerTask/Partner</t>
  </si>
  <si>
    <t>RecentlyCompletedTasks</t>
  </si>
  <si>
    <t>List of recently completed tasks</t>
  </si>
  <si>
    <t>Date</t>
  </si>
  <si>
    <t>updated_at</t>
  </si>
  <si>
    <t>PartnerTask/RecentlyCompletedTasks</t>
  </si>
  <si>
    <t>ListRelation</t>
  </si>
  <si>
    <t>(Relation) Task/Progress</t>
  </si>
  <si>
    <t>Recently Completed Partners</t>
  </si>
  <si>
    <t>PartnerTask/TaskProgress/1</t>
  </si>
  <si>
    <t>PartnerTask/TaskProgress/2</t>
  </si>
  <si>
    <t>PartnerTask/TaskProgress/3</t>
  </si>
  <si>
    <t>Attachments</t>
  </si>
  <si>
    <t>Attachment 1</t>
  </si>
  <si>
    <t>Attachment 2</t>
  </si>
  <si>
    <t>Attachment 3</t>
  </si>
  <si>
    <t>partner.name</t>
  </si>
  <si>
    <t>Action to view completion details of a task</t>
  </si>
  <si>
    <t>TaskDismissForm</t>
  </si>
  <si>
    <t>Form to dismiss a task</t>
  </si>
  <si>
    <t>Dismiss</t>
  </si>
  <si>
    <t>PartnerTask/TaskDismissForm</t>
  </si>
  <si>
    <t>PartnerTask/TaskDismissForm/task.name</t>
  </si>
  <si>
    <t>PartnerTask/TaskDismissForm/task.description</t>
  </si>
  <si>
    <t>DismissTaskAction</t>
  </si>
  <si>
    <t>Action to call form to dismiss a task</t>
  </si>
  <si>
    <t>(Forms) PartnerTask/TaskDismissForm</t>
  </si>
  <si>
    <t>TaskPartnerProgress</t>
  </si>
  <si>
    <t>Action to view partners progress on a task</t>
  </si>
  <si>
    <t>View Partner Progress</t>
  </si>
  <si>
    <t>List task partner progress</t>
  </si>
  <si>
    <t>Task Progress</t>
  </si>
  <si>
    <t>PartnerTask/TaskPartnerProgress</t>
  </si>
  <si>
    <t>(Lists) PartnerTask/TaskPartnerProgress</t>
  </si>
  <si>
    <t>Task/TaskPartnerProgress</t>
  </si>
  <si>
    <t>PartnerTask/DismissTaskAction</t>
  </si>
  <si>
    <t>PartnerTaskProgress</t>
  </si>
  <si>
    <t>List partner task progress</t>
  </si>
  <si>
    <t>Partner Progress</t>
  </si>
  <si>
    <t>PartnerTask/PartnerTaskProgress</t>
  </si>
  <si>
    <t>PartnerTaskProgressAction</t>
  </si>
  <si>
    <t>Action to list a partner task progresses</t>
  </si>
  <si>
    <t>(Relation) Partner/Progress</t>
  </si>
  <si>
    <t>(Lists) PartnerTask/PartnerTaskProgress</t>
  </si>
  <si>
    <t>Partner/PartnerTaskProgressAction</t>
  </si>
  <si>
    <t>['New','Dismissed','Returned','Completed']</t>
  </si>
  <si>
    <t>task_type</t>
  </si>
  <si>
    <t>['Main','Sub']</t>
  </si>
  <si>
    <t>default('Main')</t>
  </si>
  <si>
    <t>Status Detail</t>
  </si>
  <si>
    <t>remarks</t>
  </si>
  <si>
    <t>Remarks</t>
  </si>
  <si>
    <t>PartnerTask/TaskCompleteDescription/remarks</t>
  </si>
  <si>
    <t>PartnerTask/TaskCompleteAttachment/remarks</t>
  </si>
  <si>
    <t>PartnerTask/TaskDismissForm/progress</t>
  </si>
  <si>
    <t>PartnerTask/TaskDismissForm/remarks</t>
  </si>
  <si>
    <t>Remarks is mandatory</t>
  </si>
  <si>
    <t>Remarks required</t>
  </si>
  <si>
    <t>TaskProgressDetails</t>
  </si>
  <si>
    <t>Progress Details</t>
  </si>
  <si>
    <t>record.progress === "New" &amp;&amp; record.task.dismissable === "Yes"</t>
  </si>
  <si>
    <t>PartnerTask/TaskProgressDetails</t>
  </si>
  <si>
    <t>categories</t>
  </si>
  <si>
    <t>category_foreign</t>
  </si>
  <si>
    <t>category</t>
  </si>
  <si>
    <t>Category</t>
  </si>
  <si>
    <t>Category of tasks</t>
  </si>
  <si>
    <t>Categories</t>
  </si>
  <si>
    <t>CreateCategory</t>
  </si>
  <si>
    <t>Form to create category</t>
  </si>
  <si>
    <t>Category/CreateCategory</t>
  </si>
  <si>
    <t>Category Name</t>
  </si>
  <si>
    <t>TaskCategoryPartner</t>
  </si>
  <si>
    <t>Category has many Tasks</t>
  </si>
  <si>
    <t>TaskCategory</t>
  </si>
  <si>
    <t>Category has many PartnerTasks</t>
  </si>
  <si>
    <t>CategoryTask</t>
  </si>
  <si>
    <t>CategoryProgress</t>
  </si>
  <si>
    <t>Partnertask belongs to Category</t>
  </si>
  <si>
    <t>Task belongs to Category</t>
  </si>
  <si>
    <t>CreateCategoryFormAction</t>
  </si>
  <si>
    <t>Action to create categories</t>
  </si>
  <si>
    <t>Task/CreateTask/category</t>
  </si>
  <si>
    <t>(Forms) Category/CreateCategory</t>
  </si>
  <si>
    <t>CategoryList</t>
  </si>
  <si>
    <t>List all categories</t>
  </si>
  <si>
    <t>Category/CategoryList</t>
  </si>
  <si>
    <t>PartnerTask/CategoryProgress</t>
  </si>
  <si>
    <t>ListCategoryAction</t>
  </si>
  <si>
    <t>Action to list all categories</t>
  </si>
  <si>
    <t>New Category</t>
  </si>
  <si>
    <t>(Lists) Category/CategoryList</t>
  </si>
  <si>
    <t>NewCategoryList</t>
  </si>
  <si>
    <t>List of partnertask categories</t>
  </si>
  <si>
    <t>New Categories</t>
  </si>
  <si>
    <t>PartnerTask/NewCategoryList</t>
  </si>
  <si>
    <t>ListNewCategoryAction</t>
  </si>
  <si>
    <t>Action to view categories of partner</t>
  </si>
  <si>
    <t>(Lists) PartnerTask/NewCategoryList</t>
  </si>
  <si>
    <t>Same as category</t>
  </si>
  <si>
    <t>CategoryTaskList</t>
  </si>
  <si>
    <t>CategoryTask/CategoryTaskList</t>
  </si>
  <si>
    <t>new_count</t>
  </si>
  <si>
    <t>completed_count</t>
  </si>
  <si>
    <t>ListCategoryTaskAction</t>
  </si>
  <si>
    <t>Action to list all category task</t>
  </si>
  <si>
    <t>(Lists) CategoryTask/CategoryTaskList</t>
  </si>
  <si>
    <t>CategoryTasks</t>
  </si>
  <si>
    <t>Tasks in a category</t>
  </si>
  <si>
    <t>ListCategorysTasksAction</t>
  </si>
  <si>
    <t>Action to list all tasks from a category</t>
  </si>
  <si>
    <t>(Relation) CategoryTask/Tasks</t>
  </si>
  <si>
    <t>CategoryTask/ListCategorysTasksAction</t>
  </si>
  <si>
    <t>Action to list all tasks which are completed from a category</t>
  </si>
  <si>
    <t>CategorysCompletedTasks</t>
  </si>
  <si>
    <t>CategorysNewTasks</t>
  </si>
  <si>
    <t>Action to list all tasks which are new from a category</t>
  </si>
  <si>
    <t>CategoryTask/CategorysCompletedTasks</t>
  </si>
  <si>
    <t>CategoryTask/CategorysNewTasks</t>
  </si>
  <si>
    <t>All Tasks</t>
  </si>
  <si>
    <t>Pending Tasks</t>
  </si>
  <si>
    <t>ProgressCount</t>
  </si>
  <si>
    <t>Categories with pending and completed numbers</t>
  </si>
  <si>
    <t>counts</t>
  </si>
  <si>
    <t>CategoryTask/ProgressCount</t>
  </si>
  <si>
    <t>record.completed_count &gt; 0</t>
  </si>
  <si>
    <t>record.new_count &gt; 0</t>
  </si>
  <si>
    <t>record.new_count &gt; 0 || record.completed_count &gt; 0</t>
  </si>
  <si>
    <t>only</t>
  </si>
  <si>
    <t>CategoryAddTasks</t>
  </si>
  <si>
    <t>Action to assign task</t>
  </si>
  <si>
    <t>AddRelation</t>
  </si>
  <si>
    <t>(Relation) Category/TaskCategory</t>
  </si>
  <si>
    <t>(Fields) Task/CreateTask/category</t>
  </si>
  <si>
    <t>Category/CategoryAddTasks</t>
  </si>
  <si>
    <t>Task/CategoryTask</t>
  </si>
  <si>
    <t>Create Task</t>
  </si>
  <si>
    <t>default('Attachment')</t>
  </si>
  <si>
    <t>Except</t>
  </si>
  <si>
    <t>803212,803213,803214,803215</t>
  </si>
  <si>
    <t>GroupData</t>
  </si>
  <si>
    <t>Groups details</t>
  </si>
  <si>
    <t>PartnersData</t>
  </si>
  <si>
    <t>Partners details</t>
  </si>
  <si>
    <t>TasksData</t>
  </si>
  <si>
    <t>Tasks details</t>
  </si>
  <si>
    <t>CategoriesData</t>
  </si>
  <si>
    <t>Categories details</t>
  </si>
  <si>
    <t>EditPartnerFormAction</t>
  </si>
  <si>
    <t>EditGroupFormAction</t>
  </si>
  <si>
    <t>EditCategoryFormAction</t>
  </si>
  <si>
    <t>EditTaskFormAction</t>
  </si>
  <si>
    <t>Action to edit users</t>
  </si>
  <si>
    <t>(Data) Partner/PartnersData</t>
  </si>
  <si>
    <t>Action to edit groups</t>
  </si>
  <si>
    <t>Action to edit categories</t>
  </si>
  <si>
    <t>Action to edit Tasks</t>
  </si>
  <si>
    <t xml:space="preserve">Edit </t>
  </si>
  <si>
    <t>(Data) Group/GroupData</t>
  </si>
  <si>
    <t>(Data) Category/CategoriesData</t>
  </si>
  <si>
    <t>(Data) Task/TasksData</t>
  </si>
  <si>
    <t>Partner/EditPartnerFormAction</t>
  </si>
  <si>
    <t>Group/EditGroupFormAction</t>
  </si>
  <si>
    <t>Task/EditTaskFormAction</t>
  </si>
  <si>
    <t>Category/EditCategoryFormAction</t>
  </si>
  <si>
    <t>Profile</t>
  </si>
  <si>
    <t>User can view their profile</t>
  </si>
  <si>
    <t>ProfileList</t>
  </si>
  <si>
    <t>List Profile List</t>
  </si>
  <si>
    <t>Profile/ProfileList</t>
  </si>
  <si>
    <t>ListPartnerProfile</t>
  </si>
  <si>
    <t>Action to list profile</t>
  </si>
  <si>
    <t>My Profile</t>
  </si>
  <si>
    <t>(Lists) Profile/ProfileList</t>
  </si>
  <si>
    <t>EditProfileAction</t>
  </si>
  <si>
    <t>Action to edit partner</t>
  </si>
  <si>
    <t>Form to create Profile</t>
  </si>
  <si>
    <t>CreateProfile</t>
  </si>
  <si>
    <t>ProfileData</t>
  </si>
  <si>
    <t>(Data) Profile/ProfileData</t>
  </si>
  <si>
    <t>Profile/EditProfileAction</t>
  </si>
  <si>
    <t>Profile/CreateProfile</t>
  </si>
  <si>
    <t>Profile/CreateProfile/name</t>
  </si>
  <si>
    <t>Profile/CreateProfile/email</t>
  </si>
  <si>
    <t>Profile/CreateProfile/password</t>
  </si>
  <si>
    <t>(Forms) Profile/CreateProfile</t>
  </si>
  <si>
    <t>TaskUpdateForm</t>
  </si>
  <si>
    <t>Form to update a task status</t>
  </si>
  <si>
    <t>PartnerTask/TaskUpdateForm</t>
  </si>
  <si>
    <t>New Progress</t>
  </si>
  <si>
    <t>PartnerTask/TaskUpdateForm/remarks</t>
  </si>
  <si>
    <t>PartnerTask/TaskUpdateForm/progress</t>
  </si>
  <si>
    <t>PartnerTask/TaskUpdateForm/task.name</t>
  </si>
  <si>
    <t>PartnerTaskStatusUpdateAction</t>
  </si>
  <si>
    <t>Action to call a form with data to update status and remarks</t>
  </si>
  <si>
    <t>Update Status</t>
  </si>
  <si>
    <t>(Forms) PartnerTask/TaskUpdateForm</t>
  </si>
  <si>
    <t>PartnerTask/PartnerTaskStatusUpdateAction</t>
  </si>
  <si>
    <t>Recent24</t>
  </si>
  <si>
    <t>Tasks which are updated with last 24 hours</t>
  </si>
  <si>
    <t>recent24</t>
  </si>
  <si>
    <t>Recent48</t>
  </si>
  <si>
    <t>Tasks which are updated with last 48 hours</t>
  </si>
  <si>
    <t>recent48</t>
  </si>
  <si>
    <t>PartnerTask/Recent24</t>
  </si>
  <si>
    <t>List of tasks that updated recently within 24 hours</t>
  </si>
  <si>
    <t>RecentlyUpdatedTasks48</t>
  </si>
  <si>
    <t>RecentlyUpdatedTasks24</t>
  </si>
  <si>
    <t>List of tasks that updated recently within 48 hours</t>
  </si>
  <si>
    <t>PartnerTask/RecentlyUpdatedTasks48</t>
  </si>
  <si>
    <t>PartnerTask/RecentlyUpdatedTasks24</t>
  </si>
  <si>
    <t>PartnerTask/Recent48</t>
  </si>
  <si>
    <t>Updated</t>
  </si>
  <si>
    <t>Recently Updated 24</t>
  </si>
  <si>
    <t>(Lists) PartnerTask/RecentlyUpdatedTasks24</t>
  </si>
  <si>
    <t>RecentlyUpdatedTaskList24Action</t>
  </si>
  <si>
    <t>RecentlyUpdatedTaskList48Action</t>
  </si>
  <si>
    <t>Action to call a list which displays tasks that are updated recently within 48 hours</t>
  </si>
  <si>
    <t>Action to call a list which displays tasks that are updated recently within 24 hours</t>
  </si>
  <si>
    <t>Recently Updated 48</t>
  </si>
  <si>
    <t>(Lists) PartnerTask/RecentlyUpdatedTasks48</t>
  </si>
  <si>
    <t>803218,803235,803236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</si>
</sst>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scheme val="minor"/>
    </font>
    <font>
      <sz val="8"/>
      <color rgb="FF000000"/>
      <name val="Calibri"/>
    </font>
    <font>
      <sz val="8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NumberFormat="1" applyFont="1" applyAlignment="1">
      <alignment horizontal="left"/>
    </xf>
    <xf numFmtId="0" fontId="13" fillId="0" borderId="0" xfId="0" applyFont="1" applyBorder="1"/>
    <xf numFmtId="0" fontId="13" fillId="0" borderId="0" xfId="0" applyNumberFormat="1" applyFont="1"/>
    <xf numFmtId="0" fontId="13" fillId="0" borderId="0" xfId="0" applyFont="1"/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"/>
    </xf>
    <xf numFmtId="0" fontId="13" fillId="0" borderId="0" xfId="0" applyNumberFormat="1" applyFont="1" applyFill="1"/>
    <xf numFmtId="0" fontId="13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5" fillId="3" borderId="0" xfId="0" applyFont="1" applyFill="1"/>
    <xf numFmtId="0" fontId="13" fillId="4" borderId="0" xfId="0" applyFont="1" applyFill="1"/>
    <xf numFmtId="0" fontId="13" fillId="4" borderId="0" xfId="0" applyNumberFormat="1" applyFont="1" applyFill="1"/>
    <xf numFmtId="0" fontId="13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13" fillId="2" borderId="0" xfId="0" applyNumberFormat="1" applyFont="1" applyFill="1"/>
    <xf numFmtId="0" fontId="13" fillId="2" borderId="0" xfId="0" applyNumberFormat="1" applyFont="1" applyFill="1" applyAlignment="1">
      <alignment horizontal="center"/>
    </xf>
    <xf numFmtId="0" fontId="13" fillId="2" borderId="0" xfId="0" applyNumberFormat="1" applyFont="1" applyFill="1" applyAlignment="1">
      <alignment horizontal="left"/>
    </xf>
    <xf numFmtId="0" fontId="4" fillId="0" borderId="0" xfId="0" applyNumberFormat="1" applyFont="1"/>
    <xf numFmtId="49" fontId="1" fillId="0" borderId="0" xfId="1" quotePrefix="1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474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1" totalsRowShown="0" dataDxfId="473">
  <autoFilter ref="A1:J51"/>
  <tableColumns count="10">
    <tableColumn id="2" name="Name" dataDxfId="472"/>
    <tableColumn id="10" name="Table" dataDxfId="471">
      <calculatedColumnFormula>Tables[Name]</calculatedColumnFormula>
    </tableColumn>
    <tableColumn id="5" name="Singular Name" dataDxfId="470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9">
      <calculatedColumnFormula>"Milestone\Task\Model"</calculatedColumnFormula>
    </tableColumn>
    <tableColumn id="4" name="Class Name" dataDxfId="468">
      <calculatedColumnFormula>SUBSTITUTE(PROPER(Tables[Singular Name]),"_","")</calculatedColumnFormula>
    </tableColumn>
    <tableColumn id="1" name="Migration Artisan" dataDxfId="467">
      <calculatedColumnFormula>"php artisan make:migration create_"&amp;Tables[Table]&amp;"_table --create="&amp;Tables[Table]</calculatedColumnFormula>
    </tableColumn>
    <tableColumn id="6" name="Model Artisan" dataDxfId="466">
      <calculatedColumnFormula>"php artisan make:model "&amp;Tables[Class Name]</calculatedColumnFormula>
    </tableColumn>
    <tableColumn id="3" name="Model Statement" dataDxfId="465">
      <calculatedColumnFormula>"protected $table = '"&amp;Tables[Table]&amp;"';"</calculatedColumnFormula>
    </tableColumn>
    <tableColumn id="7" name="Seeder Artisan" dataDxfId="464">
      <calculatedColumnFormula>"php artisan make:seed "&amp;Tables[Class Name]&amp;"TableSeeder"</calculatedColumnFormula>
    </tableColumn>
    <tableColumn id="9" name="Seeder Class" dataDxfId="463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AB38" totalsRowShown="0" headerRowDxfId="351" dataDxfId="350">
  <autoFilter ref="A1:AB38"/>
  <tableColumns count="28">
    <tableColumn id="10" name="Primary" dataDxfId="349">
      <calculatedColumnFormula>'Table Seed Map'!$A$34&amp;"-"&amp;(COUNTA($E$1:ResourceAction[[#This Row],[Resource]])-2)</calculatedColumnFormula>
    </tableColumn>
    <tableColumn id="13" name="Display" dataDxfId="348">
      <calculatedColumnFormula>ResourceAction[[#This Row],[Resource Name]]&amp;"/"&amp;ResourceAction[[#This Row],[Name]]</calculatedColumnFormula>
    </tableColumn>
    <tableColumn id="2" name="Resource Name" dataDxfId="347"/>
    <tableColumn id="11" name="No" dataDxfId="346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5">
      <calculatedColumnFormula>IFERROR(VLOOKUP(ResourceAction[[#This Row],[Resource Name]],ResourceTable[[RName]:[No]],3,0),"resource")</calculatedColumnFormula>
    </tableColumn>
    <tableColumn id="4" name="Name" dataDxfId="344"/>
    <tableColumn id="6" name="Description" dataDxfId="343"/>
    <tableColumn id="7" name="Title" dataDxfId="342"/>
    <tableColumn id="8" name="Type" dataDxfId="341"/>
    <tableColumn id="9" name="Menu" dataDxfId="340"/>
    <tableColumn id="26" name="icon" dataDxfId="339"/>
    <tableColumn id="27" name="on" dataDxfId="338"/>
    <tableColumn id="28" name="confirm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D1:AO27" totalsRowShown="0" headerRowDxfId="321" dataDxfId="320">
  <autoFilter ref="AD1:AO27"/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Map'!$A$37&amp;"-"&amp;-1+COUNTA($AF$1:ActionListNData[[#This Row],[Resource List]])</calculatedColumnFormula>
    </tableColumn>
    <tableColumn id="10" name="List ID" dataDxfId="314">
      <calculatedColumnFormula>IF(ActionListNData[[#This Row],[Action Name]]="","id",-1+COUNTA($AF$1:ActionListNData[[#This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Map'!$A$38&amp;"-"&amp;-1+COUNTA($AG$1:ActionListNData[[#This Row],[Resource Data]])</calculatedColumnFormula>
    </tableColumn>
    <tableColumn id="12" name="Data ID" dataDxfId="310">
      <calculatedColumnFormula>IF(ActionListNData[[#This Row],[Action Name]]="","id",-1+COUNTA($AG$1:ActionListNData[[#This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Q1:AV2" totalsRowShown="0" headerRowDxfId="307" dataDxfId="306">
  <autoFilter ref="AQ1:AV2"/>
  <tableColumns count="6">
    <tableColumn id="1" name="Action Name for Attr" dataDxfId="305"/>
    <tableColumn id="5" name="Primary" dataDxfId="304">
      <calculatedColumnFormula>'Table Seed Map'!$A$36&amp;"-"&amp;(COUNTA($AQ$2:ActionAttr[[#This Row],[Action Name for Attr]]))</calculatedColumnFormula>
    </tableColumn>
    <tableColumn id="6" name="No" dataDxfId="303">
      <calculatedColumnFormula>IF(ActionAttr[[#This Row],[Action Name for Attr]]="","id",IFERROR($AS1+1,IF(ISNUMBER(VLOOKUP('Table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1" totalsRowShown="0" headerRowDxfId="299" dataDxfId="298">
  <autoFilter ref="A1:K11"/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35" headerRowDxfId="286" dataDxfId="285">
  <autoFilter ref="M1:BA35"/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Row],[NO2]]=0,"nest_relation3",IF(FormFields[[#This Row],[Rel3]]="","",VLOOKUP(FormFields[[#This Row],[Rel3]],RelationTable[[Display]:[RELID]],2,0)))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FormFields[Form]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33" totalsRowShown="0" headerRowDxfId="243" dataDxfId="242">
  <autoFilter ref="BC1:BH33"/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IFERROR(VLOOKUP(FieldAttrs[ATTR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11" totalsRowShown="0" headerRowDxfId="235" dataDxfId="234">
  <autoFilter ref="BJ1:BS11"/>
  <tableColumns count="10">
    <tableColumn id="1" name="Validation Field" dataDxfId="233"/>
    <tableColumn id="10" name="ID No" dataDxfId="232">
      <calculatedColumnFormula>COUNTA($BJ$2:FieldValidations[[#This Row],[Validation Field]])</calculatedColumnFormula>
    </tableColumn>
    <tableColumn id="8" name="Primary" dataDxfId="231">
      <calculatedColumnFormula>'Table Seed Map'!$A$17&amp;"-"&amp;FieldValidations[[#This Row],[ID No]]</calculatedColumnFormula>
    </tableColumn>
    <tableColumn id="9" name="No" dataDxfId="230">
      <calculatedColumnFormula>IF(FieldValidations[[#This Row],[ID No]]=0,"id",FieldValidations[[#This Row],[ID No]]+VLOOKUP('Table Seed Map'!$A$17,SeedMap[],9,0))</calculatedColumnFormula>
    </tableColumn>
    <tableColumn id="7" name="Field" dataDxfId="229">
      <calculatedColumnFormula>VLOOKUP(FieldValidations[Validation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3">
  <autoFilter ref="CF1:CZ2"/>
  <tableColumns count="21">
    <tableColumn id="21" name="No" dataDxfId="222">
      <calculatedColumnFormula>COUNTA($CH$1:FormDefault[[#This Row],[Form for Default]])-1</calculatedColumnFormula>
    </tableColumn>
    <tableColumn id="1" name="Primary" dataDxfId="221">
      <calculatedColumnFormula>'Table Seed Map'!$A$21&amp;"-"&amp;FormDefault[[#This Row],[No]]</calculatedColumnFormula>
    </tableColumn>
    <tableColumn id="2" name="Form for Default" dataDxfId="220"/>
    <tableColumn id="3" name="ID" dataDxfId="21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18">
      <calculatedColumnFormula>IFERROR(VLOOKUP(FormDefault[[#This Row],[Form for Default]],ResourceForms[[FormName]:[ID]],4,0),"resource_form")</calculatedColumnFormula>
    </tableColumn>
    <tableColumn id="4" name="Name" dataDxfId="217"/>
    <tableColumn id="5" name="Value" dataDxfId="216"/>
    <tableColumn id="6" name="Relation" dataDxfId="215">
      <calculatedColumnFormula>IFERROR(VLOOKUP(FormDefault[[#This Row],[R]],RelationTable[[Display]:[RELID]],2,0),"")</calculatedColumnFormula>
    </tableColumn>
    <tableColumn id="7" name="Attribute" dataDxfId="214"/>
    <tableColumn id="20" name="REL1" dataDxfId="213">
      <calculatedColumnFormula>IFERROR(VLOOKUP(FormDefault[[#This Row],[R1]],RelationTable[[Display]:[RELID]],2,0),"")</calculatedColumnFormula>
    </tableColumn>
    <tableColumn id="19" name="REL2" dataDxfId="212">
      <calculatedColumnFormula>IFERROR(VLOOKUP(FormDefault[[#This Row],[R2]],RelationTable[[Display]:[RELID]],2,0),"")</calculatedColumnFormula>
    </tableColumn>
    <tableColumn id="18" name="REL3" dataDxfId="211">
      <calculatedColumnFormula>IFERROR(VLOOKUP(FormDefault[[#This Row],[R3]],RelationTable[[Display]:[RELID]],2,0),"")</calculatedColumnFormula>
    </tableColumn>
    <tableColumn id="13" name="Method" dataDxfId="210"/>
    <tableColumn id="17" name="R" dataDxfId="209"/>
    <tableColumn id="14" name="R1" dataDxfId="208"/>
    <tableColumn id="15" name="R2" dataDxfId="207"/>
    <tableColumn id="16" name="R3" dataDxfId="206"/>
    <tableColumn id="8" name="R12" dataDxfId="205"/>
    <tableColumn id="9" name="R22" dataDxfId="204"/>
    <tableColumn id="10" name="R32" dataDxfId="203"/>
    <tableColumn id="11" name="Method2" dataDxfId="20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1" dataDxfId="200">
  <autoFilter ref="BU1:CD2"/>
  <tableColumns count="10">
    <tableColumn id="1" name="Primary" dataDxfId="199">
      <calculatedColumnFormula>'Table Seed Map'!$A$22&amp;"-"&amp;COUNTA($BV$1:FormCollection[[#This Row],[Main Form for Collection]])-1</calculatedColumnFormula>
    </tableColumn>
    <tableColumn id="2" name="Main Form for Collection" dataDxfId="198"/>
    <tableColumn id="3" name="Collection Form" dataDxfId="197"/>
    <tableColumn id="4" name="Relation" dataDxfId="196"/>
    <tableColumn id="5" name="Foreign Field" dataDxfId="195"/>
    <tableColumn id="6" name="No" dataDxfId="19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3">
      <calculatedColumnFormula>IFERROR(VLOOKUP(FormCollection[Main Form for Collection],ResourceForms[[FormName]:[ID]],4,0),"resource_form")</calculatedColumnFormula>
    </tableColumn>
    <tableColumn id="8" name="Collection Form2" dataDxfId="192">
      <calculatedColumnFormula>IFERROR(VLOOKUP(FormCollection[Collection Form],ResourceForms[[FormName]:[ID]],4,0),"collection_form")</calculatedColumnFormula>
    </tableColumn>
    <tableColumn id="9" name="Relation3" dataDxfId="191">
      <calculatedColumnFormula>IFERROR(VLOOKUP(FormCollection[Relation],RelationTable[[Display]:[RELID]],2,0),"")</calculatedColumnFormula>
    </tableColumn>
    <tableColumn id="10" name="Foreign" dataDxfId="19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89" dataDxfId="188">
  <autoFilter ref="DB1:DL2"/>
  <tableColumns count="11">
    <tableColumn id="1" name="Field for Depend" dataDxfId="187"/>
    <tableColumn id="9" name="Primary" dataDxfId="186">
      <calculatedColumnFormula>'Table Seed Map'!$A$18&amp;"-"&amp;COUNTA($DB$2:FieldDepends[[#This Row],[Field for Depend]])</calculatedColumnFormula>
    </tableColumn>
    <tableColumn id="10" name="ID" dataDxfId="18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84">
      <calculatedColumnFormula>IFERROR(VLOOKUP(FieldDepends[[#This Row],[Field for Depend]],FormFields[[Field Name]:[ID]],2,0),"form_field")</calculatedColumnFormula>
    </tableColumn>
    <tableColumn id="2" name="Field name - depends on" dataDxfId="183"/>
    <tableColumn id="3" name="Database Field" dataDxfId="182"/>
    <tableColumn id="4" name="Operator" dataDxfId="181"/>
    <tableColumn id="5" name="Compare Method" dataDxfId="180"/>
    <tableColumn id="11" name="Method" dataDxfId="179"/>
    <tableColumn id="6" name="Value DB Field" dataDxfId="178"/>
    <tableColumn id="7" name="Ignore Null" dataDxfId="17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" totalsRowShown="0" dataDxfId="458">
  <autoFilter ref="A1:J24"/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6" dataDxfId="175">
  <autoFilter ref="DN1:DW2"/>
  <tableColumns count="10">
    <tableColumn id="1" name="Field for Dynamic" dataDxfId="174"/>
    <tableColumn id="9" name="Primary" dataDxfId="173">
      <calculatedColumnFormula>'Table Seed Map'!$A$16&amp;"-"&amp;COUNTA($DN$2:FieldDynamic[[#This Row],[Field for Dynamic]])</calculatedColumnFormula>
    </tableColumn>
    <tableColumn id="10" name="ID" dataDxfId="17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1">
      <calculatedColumnFormula>IFERROR(VLOOKUP(FieldDynamic[[#This Row],[Field for Dynamic]],FormFields[[Field Name]:[ID]],2,0),"form_field")</calculatedColumnFormula>
    </tableColumn>
    <tableColumn id="2" name="Type" dataDxfId="170"/>
    <tableColumn id="3" name="Depend Field" dataDxfId="169"/>
    <tableColumn id="4" name="Alter On" dataDxfId="168"/>
    <tableColumn id="5" name="Value" dataDxfId="167"/>
    <tableColumn id="11" name="Values" dataDxfId="166"/>
    <tableColumn id="6" name="Operator" dataDxfId="16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4" dataDxfId="163">
  <autoFilter ref="DY1:ES2"/>
  <tableColumns count="21">
    <tableColumn id="1" name="Form for Data Mapping" dataDxfId="162"/>
    <tableColumn id="2" name="Resource Data" dataDxfId="161"/>
    <tableColumn id="3" name="Form Field" dataDxfId="160"/>
    <tableColumn id="4" name="Primary" dataDxfId="159">
      <calculatedColumnFormula>'Table Seed Map'!$A$20&amp;"-"&amp;-1+COUNTA($DY$1:FormDataMapping[[#This Row],[Form for Data Mapping]])</calculatedColumnFormula>
    </tableColumn>
    <tableColumn id="5" name="ID" dataDxfId="15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5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5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55">
      <calculatedColumnFormula>IF(FormDataMapping[[#This Row],[Form for Data Mapping]]="","form_field",VLOOKUP(FormDataMapping[Form Field],FormFields[[Field Name]:[ID]],2,0))</calculatedColumnFormula>
    </tableColumn>
    <tableColumn id="9" name="Attribute" dataDxfId="154"/>
    <tableColumn id="10" name="R0" dataDxfId="15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5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5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5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4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4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47"/>
    <tableColumn id="17" name="Rel1" dataDxfId="146"/>
    <tableColumn id="18" name="Rel2" dataDxfId="145"/>
    <tableColumn id="19" name="Rel3" dataDxfId="144"/>
    <tableColumn id="20" name="Rel4" dataDxfId="143"/>
    <tableColumn id="21" name="Rel5" dataDxfId="14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44" totalsRowShown="0" dataDxfId="141">
  <autoFilter ref="A1:H44"/>
  <tableColumns count="8">
    <tableColumn id="1" name="No" dataDxfId="140">
      <calculatedColumnFormula>IFERROR($A1+1,1)</calculatedColumnFormula>
    </tableColumn>
    <tableColumn id="2" name="Filename" dataDxfId="139"/>
    <tableColumn id="9" name="Table" dataDxfId="138">
      <calculatedColumnFormula>MID(MigrationRenamer[Filename],26,LEN(MigrationRenamer[Filename])-35)</calculatedColumnFormula>
    </tableColumn>
    <tableColumn id="3" name="Date Part" dataDxfId="137">
      <calculatedColumnFormula>"2019_01_24_"</calculatedColumnFormula>
    </tableColumn>
    <tableColumn id="4" name="Sequence" dataDxfId="136">
      <calculatedColumnFormula>TEXT(MATCH(MigrationRenamer[[#This Row],[Table]],Tables[Table],0),"000000")</calculatedColumnFormula>
    </tableColumn>
    <tableColumn id="5" name="Name Part" dataDxfId="135">
      <calculatedColumnFormula>RIGHT(MigrationRenamer[Filename],LEN(MigrationRenamer[Filename])-LEN(MigrationRenamer[Date Part])-LEN(MigrationRenamer[Sequence]))</calculatedColumnFormula>
    </tableColumn>
    <tableColumn id="6" name="New Name" dataDxfId="134">
      <calculatedColumnFormula>MigrationRenamer[Date Part]&amp;MigrationRenamer[Sequence]&amp;MigrationRenamer[Name Part]</calculatedColumnFormula>
    </tableColumn>
    <tableColumn id="7" name="CMD" dataDxfId="13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8" totalsRowShown="0" dataDxfId="132">
  <autoFilter ref="A1:K18"/>
  <tableColumns count="11">
    <tableColumn id="1" name="Primary" dataDxfId="131">
      <calculatedColumnFormula>'Table Seed Map'!$A$24&amp;"-"&amp;COUNTA($B$1:ResourceList[[#This Row],[Resource Name]])-1</calculatedColumnFormula>
    </tableColumn>
    <tableColumn id="2" name="Resource Name" dataDxfId="130"/>
    <tableColumn id="8" name="ListDisplayName" dataDxfId="129">
      <calculatedColumnFormula>ResourceList[[#This Row],[Resource Name]]&amp;"/"&amp;ResourceList[[#This Row],[Name]]</calculatedColumnFormula>
    </tableColumn>
    <tableColumn id="3" name="No" dataDxfId="12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27">
      <calculatedColumnFormula>IFERROR(VLOOKUP(ResourceList[[#This Row],[Resource Name]],ResourceTable[[RName]:[No]],3,0),"resource")</calculatedColumnFormula>
    </tableColumn>
    <tableColumn id="4" name="Name" dataDxfId="126"/>
    <tableColumn id="5" name="Description" dataDxfId="125"/>
    <tableColumn id="6" name="Title" dataDxfId="124"/>
    <tableColumn id="11" name="Identity" dataDxfId="123"/>
    <tableColumn id="10" name="Page" dataDxfId="122"/>
    <tableColumn id="9" name="ID" dataDxfId="12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22" totalsRowShown="0" headerRowDxfId="120" dataDxfId="119">
  <autoFilter ref="M1:AD22"/>
  <tableColumns count="18">
    <tableColumn id="1" name="List Name" dataDxfId="118"/>
    <tableColumn id="2" name="LID" dataDxfId="117">
      <calculatedColumnFormula>VLOOKUP(ListExtras[[#This Row],[List Name]],ResourceList[[ListDisplayName]:[No]],2,0)</calculatedColumnFormula>
    </tableColumn>
    <tableColumn id="3" name="Scope Name" dataDxfId="116"/>
    <tableColumn id="4" name="Relation Name" dataDxfId="115"/>
    <tableColumn id="5" name="R1 Name" dataDxfId="114"/>
    <tableColumn id="6" name="R2 Name" dataDxfId="113"/>
    <tableColumn id="7" name="R3 Name" dataDxfId="112"/>
    <tableColumn id="8" name="Scope Primary" dataDxfId="111">
      <calculatedColumnFormula>'Table Seed Map'!$A$25&amp;"-"&amp;COUNT($W$1:ListExtras[[#This Row],[Scope ID]])</calculatedColumnFormula>
    </tableColumn>
    <tableColumn id="9" name="Scope Table ID" dataDxfId="11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09">
      <calculatedColumnFormula>IF(ListExtras[[#This Row],[LID]]=0,"resource_list",ListExtras[[#This Row],[LID]])</calculatedColumnFormula>
    </tableColumn>
    <tableColumn id="11" name="Scope ID" dataDxfId="10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7">
      <calculatedColumnFormula>'Table Seed Map'!$A$26&amp;"-"&amp;COUNT($AA$1:ListExtras[[#This Row],[Relation]])</calculatedColumnFormula>
    </tableColumn>
    <tableColumn id="13" name="Relation Table ID" dataDxfId="10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5">
      <calculatedColumnFormula>IF(ListExtras[[#This Row],[LID]]=0,"resource_list",ListExtras[[#This Row],[LID]])</calculatedColumnFormula>
    </tableColumn>
    <tableColumn id="15" name="Relation" dataDxfId="104">
      <calculatedColumnFormula>IFERROR(VLOOKUP(ListExtras[[#This Row],[Relation Name]],RelationTable[[Display]:[RELID]],2,0),IF(ListExtras[[#This Row],[LID]]=0,"relation",""))</calculatedColumnFormula>
    </tableColumn>
    <tableColumn id="16" name="R1" dataDxfId="103">
      <calculatedColumnFormula>IFERROR(VLOOKUP(ListExtras[[#This Row],[R1 Name]],RelationTable[[Display]:[RELID]],2,0),IF(ListExtras[[#This Row],[LID]]=0,"nest_relation1",""))</calculatedColumnFormula>
    </tableColumn>
    <tableColumn id="17" name="R2" dataDxfId="102">
      <calculatedColumnFormula>IFERROR(VLOOKUP(ListExtras[[#This Row],[R2 Name]],RelationTable[[Display]:[RELID]],2,0),IF(ListExtras[[#This Row],[LID]]=0,"nest_relation2",""))</calculatedColumnFormula>
    </tableColumn>
    <tableColumn id="18" name="R3" dataDxfId="10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39" totalsRowShown="0" headerRowDxfId="100" dataDxfId="99">
  <autoFilter ref="AF1:AR39"/>
  <tableColumns count="13">
    <tableColumn id="13" name="Primary" dataDxfId="98">
      <calculatedColumnFormula>'Table Seed Map'!$A$28&amp;"-"&amp;COUNTA($AH$1:ListSearch[[#This Row],[No]])-2</calculatedColumnFormula>
    </tableColumn>
    <tableColumn id="1" name="List Name for Search" dataDxfId="97"/>
    <tableColumn id="2" name="No" dataDxfId="9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5">
      <calculatedColumnFormula>IFERROR(VLOOKUP(ListSearch[[#This Row],[List Name for Search]],ResourceList[[ListDisplayName]:[No]],2,0),"resource_list")</calculatedColumnFormula>
    </tableColumn>
    <tableColumn id="4" name="Field" dataDxfId="94"/>
    <tableColumn id="5" name="REL" dataDxfId="9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89"/>
    <tableColumn id="10" name="Relation 1" dataDxfId="88"/>
    <tableColumn id="11" name="Relation 2" dataDxfId="87"/>
    <tableColumn id="12" name="Relation 3" dataDxfId="8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50" totalsRowShown="0" headerRowDxfId="85" dataDxfId="84">
  <autoFilter ref="AT1:BE50"/>
  <tableColumns count="12">
    <tableColumn id="13" name="Primary" dataDxfId="83">
      <calculatedColumnFormula>'Table Seed Map'!$A$27&amp;"-"&amp;COUNTA($AV$1:ListLayout[[#This Row],[No]])-2</calculatedColumnFormula>
    </tableColumn>
    <tableColumn id="1" name="List Name for Layout" dataDxfId="82"/>
    <tableColumn id="2" name="No" dataDxfId="8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0">
      <calculatedColumnFormula>IFERROR(VLOOKUP(ListLayout[[#This Row],[List Name for Layout]],ResourceList[[ListDisplayName]:[No]],2,0),"resource_list")</calculatedColumnFormula>
    </tableColumn>
    <tableColumn id="14" name="Label" dataDxfId="79"/>
    <tableColumn id="4" name="Field" dataDxfId="78"/>
    <tableColumn id="5" name="REL" dataDxfId="7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4"/>
    <tableColumn id="10" name="Relation 1" dataDxfId="73"/>
    <tableColumn id="11" name="Relation 2" dataDxfId="7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8" totalsRowShown="0" dataDxfId="71">
  <autoFilter ref="A1:J8"/>
  <tableColumns count="10">
    <tableColumn id="1" name="Primary" dataDxfId="70">
      <calculatedColumnFormula>'Table Seed Map'!$A$29&amp;"-"&amp;COUNTA($E$1:ResourceData[[#This Row],[Resource]])-2</calculatedColumnFormula>
    </tableColumn>
    <tableColumn id="2" name="Resource Name" dataDxfId="69"/>
    <tableColumn id="8" name="DataDisplayName" dataDxfId="68">
      <calculatedColumnFormula>ResourceData[[#This Row],[Resource Name]]&amp;"/"&amp;ResourceData[[#This Row],[Name]]</calculatedColumnFormula>
    </tableColumn>
    <tableColumn id="3" name="No" dataDxfId="6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6">
      <calculatedColumnFormula>IFERROR(VLOOKUP(ResourceData[[#This Row],[Resource Name]],ResourceTable[[RName]:[No]],3,0),"resource")</calculatedColumnFormula>
    </tableColumn>
    <tableColumn id="4" name="Name" dataDxfId="65"/>
    <tableColumn id="5" name="Description" dataDxfId="64"/>
    <tableColumn id="6" name="Title Field" dataDxfId="63"/>
    <tableColumn id="9" name="Method" dataDxfId="62"/>
    <tableColumn id="10" name="ID" dataDxfId="6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4" totalsRowShown="0" headerRowDxfId="60" dataDxfId="59">
  <autoFilter ref="L1:AC4"/>
  <tableColumns count="18">
    <tableColumn id="1" name="Data Name" dataDxfId="58"/>
    <tableColumn id="2" name="DID" dataDxfId="57">
      <calculatedColumnFormula>VLOOKUP(DataExtra[[#This Row],[Data Name]],ResourceData[[DataDisplayName]:[No]],2,0)</calculatedColumnFormula>
    </tableColumn>
    <tableColumn id="3" name="Scope Name" dataDxfId="56"/>
    <tableColumn id="4" name="Relation Name" dataDxfId="55"/>
    <tableColumn id="5" name="R1 Name" dataDxfId="54"/>
    <tableColumn id="6" name="R2 Name" dataDxfId="53"/>
    <tableColumn id="7" name="R3 Name" dataDxfId="52"/>
    <tableColumn id="8" name="Scope Primary" dataDxfId="51">
      <calculatedColumnFormula>'Table Seed Map'!$A$30&amp;"-"&amp;COUNT($V$1:DataExtra[[#This Row],[Scope ID]])</calculatedColumnFormula>
    </tableColumn>
    <tableColumn id="9" name="Scope Table ID" dataDxfId="5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49">
      <calculatedColumnFormula>IF(DataExtra[[#This Row],[DID]]=0,"resource_data",DataExtra[[#This Row],[DID]])</calculatedColumnFormula>
    </tableColumn>
    <tableColumn id="11" name="Scope ID" dataDxfId="4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7">
      <calculatedColumnFormula>'Table Seed Map'!$A$31&amp;"-"&amp;COUNT($Z$1:DataExtra[[#This Row],[Relation]])</calculatedColumnFormula>
    </tableColumn>
    <tableColumn id="13" name="Relation Table ID" dataDxfId="4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5">
      <calculatedColumnFormula>IF(DataExtra[[#This Row],[DID]]=0,"resource_data",DataExtra[[#This Row],[DID]])</calculatedColumnFormula>
    </tableColumn>
    <tableColumn id="15" name="Relation" dataDxfId="44">
      <calculatedColumnFormula>IFERROR(VLOOKUP(DataExtra[[#This Row],[Relation Name]],RelationTable[[Display]:[RELID]],2,0),IF(DataExtra[[#This Row],[DID]]=0,"relation",""))</calculatedColumnFormula>
    </tableColumn>
    <tableColumn id="16" name="R1" dataDxfId="43">
      <calculatedColumnFormula>IFERROR(VLOOKUP(DataExtra[[#This Row],[R1 Name]],RelationTable[[Display]:[RELID]],2,0),IF(DataExtra[[#This Row],[DID]]=0,"nest_relation1",""))</calculatedColumnFormula>
    </tableColumn>
    <tableColumn id="17" name="R2" dataDxfId="42">
      <calculatedColumnFormula>IFERROR(VLOOKUP(DataExtra[[#This Row],[R2 Name]],RelationTable[[Display]:[RELID]],2,0),IF(DataExtra[[#This Row],[DID]]=0,"nest_relation2",""))</calculatedColumnFormula>
    </tableColumn>
    <tableColumn id="18" name="R3" dataDxfId="4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5" totalsRowShown="0" headerRowDxfId="40" dataDxfId="39">
  <autoFilter ref="AE1:AN5"/>
  <tableColumns count="10">
    <tableColumn id="13" name="Primary" dataDxfId="38">
      <calculatedColumnFormula>'Table Seed Map'!$A$32&amp;"-"&amp;COUNTA($AF$1:DataViewSection[[#This Row],[Data Name for Layout]])-1</calculatedColumnFormula>
    </tableColumn>
    <tableColumn id="1" name="Data Name for Layout" dataDxfId="37"/>
    <tableColumn id="17" name="DataSectionDisplayName" dataDxfId="3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34">
      <calculatedColumnFormula>IFERROR(VLOOKUP(DataViewSection[[#This Row],[Data Name for Layout]],ResourceData[[DataDisplayName]:[No]],2,0),"resource_data")</calculatedColumnFormula>
    </tableColumn>
    <tableColumn id="14" name="Title" dataDxfId="33"/>
    <tableColumn id="15" name="Title Field" dataDxfId="32"/>
    <tableColumn id="16" name="Rel" dataDxfId="31">
      <calculatedColumnFormula>IFERROR(VLOOKUP(DataViewSection[[#This Row],[Relation]],RelationTable[[Display]:[RELID]],2,0),"")</calculatedColumnFormula>
    </tableColumn>
    <tableColumn id="4" name="Colspan" dataDxfId="30"/>
    <tableColumn id="9" name="Relation" dataDxfId="2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" totalsRowShown="0" dataDxfId="447">
  <autoFilter ref="A1:K38"/>
  <tableColumns count="11">
    <tableColumn id="2" name="Table" dataDxfId="446"/>
    <tableColumn id="3" name="Field" dataDxfId="445"/>
    <tableColumn id="5" name="Type" dataDxfId="444">
      <calculatedColumnFormula>VLOOKUP(TableFields[Field],Columns[],2,0)&amp;"("</calculatedColumnFormula>
    </tableColumn>
    <tableColumn id="4" name="Name" dataDxfId="443">
      <calculatedColumnFormula>IF(VLOOKUP(TableFields[Field],Columns[],3,0)&lt;&gt;"","'"&amp;VLOOKUP(TableFields[Field],Columns[],3,0)&amp;"'","")</calculatedColumnFormula>
    </tableColumn>
    <tableColumn id="6" name="Arg2" dataDxfId="442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1">
      <calculatedColumnFormula>IF(VLOOKUP(TableFields[Field],Columns[],5,0)=0,"","-&gt;"&amp;VLOOKUP(TableFields[Field],Columns[],5,0))</calculatedColumnFormula>
    </tableColumn>
    <tableColumn id="8" name="Method2" dataDxfId="440">
      <calculatedColumnFormula>IF(VLOOKUP(TableFields[Field],Columns[],6,0)=0,"","-&gt;"&amp;VLOOKUP(TableFields[Field],Columns[],6,0))</calculatedColumnFormula>
    </tableColumn>
    <tableColumn id="9" name="Method3" dataDxfId="439">
      <calculatedColumnFormula>IF(VLOOKUP(TableFields[Field],Columns[],7,0)=0,"","-&gt;"&amp;VLOOKUP(TableFields[Field],Columns[],7,0))</calculatedColumnFormula>
    </tableColumn>
    <tableColumn id="10" name="Method4" dataDxfId="438">
      <calculatedColumnFormula>IF(VLOOKUP(TableFields[Field],Columns[],8,0)=0,"","-&gt;"&amp;VLOOKUP(TableFields[Field],Columns[],8,0))</calculatedColumnFormula>
    </tableColumn>
    <tableColumn id="11" name="Method5" dataDxfId="437">
      <calculatedColumnFormula>IF(VLOOKUP(TableFields[Field],Columns[],9,0)=0,"","-&gt;"&amp;VLOOKUP(TableFields[Field],Columns[],9,0))</calculatedColumnFormula>
    </tableColumn>
    <tableColumn id="12" name="Statement" dataDxfId="436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0" totalsRowShown="0" headerRowDxfId="28" dataDxfId="27">
  <autoFilter ref="AP1:AW10"/>
  <tableColumns count="8">
    <tableColumn id="13" name="Primary" dataDxfId="26">
      <calculatedColumnFormula>'Table Seed Map'!$A$33&amp;"-"&amp;-1+COUNTA($AQ$1:DataViewSectionItem[[#This Row],[Data Section for Items]])</calculatedColumnFormula>
    </tableColumn>
    <tableColumn id="1" name="Data Section for Items" dataDxfId="25"/>
    <tableColumn id="2" name="No" dataDxfId="2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2"/>
    <tableColumn id="4" name="Attribute" dataDxfId="21"/>
    <tableColumn id="5" name="REL" dataDxfId="2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3" totalsRowShown="0" headerRowDxfId="435" dataDxfId="434">
  <autoFilter ref="A1:R23">
    <filterColumn colId="1">
      <filters>
        <filter val="Resource Roles"/>
      </filters>
    </filterColumn>
  </autoFilter>
  <tableColumns count="18">
    <tableColumn id="19" name="TRCode" dataDxfId="433">
      <calculatedColumnFormula>TableData[Table Name]&amp;"-"&amp;(COUNTIF($B$1:TableData[[#This Row],[Table Name]],TableData[[#This Row],[Table Name]])-1)</calculatedColumnFormula>
    </tableColumn>
    <tableColumn id="1" name="Table Name" dataDxfId="432"/>
    <tableColumn id="2" name="Record No" dataDxfId="431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0"/>
    <tableColumn id="4" name="2" dataDxfId="429"/>
    <tableColumn id="5" name="3" dataDxfId="428"/>
    <tableColumn id="6" name="4" dataDxfId="427"/>
    <tableColumn id="7" name="5" dataDxfId="426"/>
    <tableColumn id="8" name="6" dataDxfId="425"/>
    <tableColumn id="9" name="7" dataDxfId="424"/>
    <tableColumn id="10" name="8" dataDxfId="423"/>
    <tableColumn id="11" name="9" dataDxfId="422"/>
    <tableColumn id="12" name="10" dataDxfId="421"/>
    <tableColumn id="13" name="11" dataDxfId="420"/>
    <tableColumn id="14" name="12" dataDxfId="419"/>
    <tableColumn id="15" name="13" dataDxfId="418"/>
    <tableColumn id="16" name="14" dataDxfId="417"/>
    <tableColumn id="17" name="15" dataDxfId="41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L48" totalsRowShown="0" dataDxfId="415">
  <autoFilter ref="A1:L48"/>
  <tableColumns count="12">
    <tableColumn id="1" name="Name" dataDxfId="414"/>
    <tableColumn id="3" name="Table Name" dataDxfId="413"/>
    <tableColumn id="20" name="NS" dataDxfId="412">
      <calculatedColumnFormula>VLOOKUP(SeedMap[Table Name],Tables[],4,0)</calculatedColumnFormula>
    </tableColumn>
    <tableColumn id="21" name="Model" dataDxfId="411">
      <calculatedColumnFormula>VLOOKUP(SeedMap[Table Name],Tables[],5,0)</calculatedColumnFormula>
    </tableColumn>
    <tableColumn id="6" name="Data Table" dataDxfId="410"/>
    <tableColumn id="7" name="Data Range" dataDxfId="409"/>
    <tableColumn id="8" name="Skip Columns" dataDxfId="408"/>
    <tableColumn id="4" name="Query Method" dataDxfId="407"/>
    <tableColumn id="2" name="Last ID" dataDxfId="406"/>
    <tableColumn id="5" name="AI Change Query" dataDxfId="405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4">
      <calculatedColumnFormula>IF(SeedMap[[#This Row],[Query Method]]="truncate","","\DB::statement('DELETE FROM "&amp;VLOOKUP(SeedMap[[#This Row],[Table Name]],Tables[[Name]:[Table]],2,0)&amp;" WHERE id &gt; "&amp;SeedMap[[#This Row],[Last ID]]&amp;"');")</calculatedColumnFormula>
    </tableColumn>
    <tableColumn id="10" name="Init" dataDxfId="403">
      <calculatedColumnFormula>IF(SeedMap[[#This Row],[Query Method]]="truncate","","\DB::statement('ALTER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0" totalsRowShown="0" dataDxfId="402">
  <autoFilter ref="A1:M10"/>
  <tableColumns count="13">
    <tableColumn id="11" name="Primary" dataDxfId="401">
      <calculatedColumnFormula>Page&amp;"-"&amp;(COUNTA($E$1:ResourceTable[[#This Row],[Name]])-2)</calculatedColumnFormula>
    </tableColumn>
    <tableColumn id="12" name="RName" dataDxfId="400">
      <calculatedColumnFormula>ResourceTable[[#This Row],[Name]]</calculatedColumnFormula>
    </tableColumn>
    <tableColumn id="13" name="RID" dataDxfId="399">
      <calculatedColumnFormula>COUNTA($A$1:ResourceTable[[#This Row],[Primary]])-2</calculatedColumnFormula>
    </tableColumn>
    <tableColumn id="1" name="No" dataDxfId="398">
      <calculatedColumnFormula>IF(ResourceTable[[#This Row],[RID]]=0,"id",ResourceTable[[#This Row],[RID]]+IF(ISNUMBER(VLOOKUP(Page,SeedMap[],9,0)),VLOOKUP(Page,SeedMap[],9,0),0))</calculatedColumnFormula>
    </tableColumn>
    <tableColumn id="2" name="Name" dataDxfId="397"/>
    <tableColumn id="3" name="Description" dataDxfId="396"/>
    <tableColumn id="4" name="Title" dataDxfId="395"/>
    <tableColumn id="5" name="NS" dataDxfId="394">
      <calculatedColumnFormula>"Milestone\Appframe\Model"</calculatedColumnFormula>
    </tableColumn>
    <tableColumn id="6" name="Table" dataDxfId="393"/>
    <tableColumn id="8" name="Controller" dataDxfId="392"/>
    <tableColumn id="9" name="Controller NS" dataDxfId="391"/>
    <tableColumn id="7" name="Development" dataDxfId="390"/>
    <tableColumn id="10" name="RID2" dataDxfId="389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8">
  <autoFilter ref="O1:Z2"/>
  <tableColumns count="12">
    <tableColumn id="1" name="Select Resource for Default" dataDxfId="387"/>
    <tableColumn id="2" name="List" dataDxfId="386"/>
    <tableColumn id="3" name="Form" dataDxfId="385"/>
    <tableColumn id="4" name="Data" dataDxfId="384"/>
    <tableColumn id="5" name="FormWithData" dataDxfId="383"/>
    <tableColumn id="6" name="Primary" dataDxfId="382">
      <calculatedColumnFormula>'Table Seed Map'!$A$39&amp;"-"&amp;COUNTA($O$2:ResourceDefaultsTable[[#This Row],[Select Resource for Default]])</calculatedColumnFormula>
    </tableColumn>
    <tableColumn id="12" name="ID" dataDxfId="381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0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9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8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7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6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17" totalsRowShown="0" dataDxfId="375">
  <autoFilter ref="A1:N17"/>
  <tableColumns count="14">
    <tableColumn id="11" name="Primary" dataDxfId="374">
      <calculatedColumnFormula>Page&amp;"-"&amp;(COUNTA($E$1:RelationTable[[#This Row],[Resource]])-1)</calculatedColumnFormula>
    </tableColumn>
    <tableColumn id="1" name="No" dataDxfId="373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2">
      <calculatedColumnFormula>RelationTable[[#This Row],[Resource]]&amp;"/"&amp;RelationTable[[#This Row],[Method]]</calculatedColumnFormula>
    </tableColumn>
    <tableColumn id="14" name="RELID" dataDxfId="371">
      <calculatedColumnFormula>RelationTable[[#This Row],[No]]</calculatedColumnFormula>
    </tableColumn>
    <tableColumn id="3" name="Resource" dataDxfId="370"/>
    <tableColumn id="4" name="Relate Resource" dataDxfId="369"/>
    <tableColumn id="12" name="ID" dataDxfId="368">
      <calculatedColumnFormula>RelationTable[[#This Row],[No]]</calculatedColumnFormula>
    </tableColumn>
    <tableColumn id="2" name="Resource Id" dataDxfId="367">
      <calculatedColumnFormula>IF(RelationTable[[#This Row],[No]]="id","resource",VLOOKUP(RelationTable[Resource],CHOOSE({1,2},ResourceTable[Name],ResourceTable[No]),2,0))</calculatedColumnFormula>
    </tableColumn>
    <tableColumn id="5" name="Name" dataDxfId="366"/>
    <tableColumn id="6" name="Description" dataDxfId="365"/>
    <tableColumn id="7" name="Method" dataDxfId="364"/>
    <tableColumn id="8" name="Type" dataDxfId="363"/>
    <tableColumn id="10" name="Relate Id" dataDxfId="362">
      <calculatedColumnFormula>VLOOKUP(RelationTable[Relate Resource],CHOOSE({1,2},ResourceTable[Name],ResourceTable[No]),2,0)</calculatedColumnFormula>
    </tableColumn>
    <tableColumn id="9" name="RID" dataDxfId="361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1" totalsRowShown="0" dataDxfId="360">
  <autoFilter ref="P1:W11"/>
  <tableColumns count="8">
    <tableColumn id="1" name="Primary" dataDxfId="359">
      <calculatedColumnFormula>'Table Seed Map'!$A$9&amp;"-"&amp;COUNTA($Q$1:ResourceScopes[[#This Row],[Resource for Scope]])-1</calculatedColumnFormula>
    </tableColumn>
    <tableColumn id="2" name="Resource for Scope" dataDxfId="358"/>
    <tableColumn id="8" name="ScopesDisplayNames" dataDxfId="357">
      <calculatedColumnFormula>ResourceScopes[[#This Row],[Resource for Scope]]&amp;"/"&amp;ResourceScopes[[#This Row],[Name]]</calculatedColumnFormula>
    </tableColumn>
    <tableColumn id="3" name="No" dataDxfId="356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5">
      <calculatedColumnFormula>IFERROR(VLOOKUP(ResourceScopes[[#This Row],[Resource for Scope]],CHOOSE({1,2},ResourceTable[Name],ResourceTable[No]),2,0),"resource")</calculatedColumnFormula>
    </tableColumn>
    <tableColumn id="4" name="Name" dataDxfId="354"/>
    <tableColumn id="5" name="Description" dataDxfId="353"/>
    <tableColumn id="6" name="Method" dataDxfId="35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1.bin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12.bin"/><Relationship Id="rId5" Type="http://schemas.openxmlformats.org/officeDocument/2006/relationships/table" Target="../tables/table30.xml"/><Relationship Id="rId4" Type="http://schemas.openxmlformats.org/officeDocument/2006/relationships/table" Target="../tables/table2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34" workbookViewId="0">
      <selection activeCell="B48" sqref="B48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6" t="s">
        <v>545</v>
      </c>
      <c r="E2" s="8" t="s">
        <v>74</v>
      </c>
      <c r="F2" s="8" t="s">
        <v>546</v>
      </c>
      <c r="G2" s="8" t="s">
        <v>547</v>
      </c>
      <c r="H2" s="8" t="s">
        <v>548</v>
      </c>
      <c r="I2" s="8" t="s">
        <v>549</v>
      </c>
      <c r="J2" s="8" t="s">
        <v>550</v>
      </c>
    </row>
    <row r="3" spans="1:10" x14ac:dyDescent="0.25">
      <c r="A3" s="1" t="s">
        <v>59</v>
      </c>
      <c r="B3" s="8" t="s">
        <v>77</v>
      </c>
      <c r="C3" s="8" t="s">
        <v>63</v>
      </c>
      <c r="D3" s="6" t="s">
        <v>545</v>
      </c>
      <c r="E3" s="8" t="s">
        <v>96</v>
      </c>
      <c r="F3" s="8" t="s">
        <v>551</v>
      </c>
      <c r="G3" s="8" t="s">
        <v>552</v>
      </c>
      <c r="H3" s="8" t="s">
        <v>553</v>
      </c>
      <c r="I3" s="8" t="s">
        <v>554</v>
      </c>
      <c r="J3" s="8" t="s">
        <v>555</v>
      </c>
    </row>
    <row r="4" spans="1:10" x14ac:dyDescent="0.25">
      <c r="A4" s="5" t="s">
        <v>60</v>
      </c>
      <c r="B4" s="8" t="s">
        <v>556</v>
      </c>
      <c r="C4" s="8" t="s">
        <v>557</v>
      </c>
      <c r="D4" s="6" t="s">
        <v>545</v>
      </c>
      <c r="E4" s="8" t="s">
        <v>558</v>
      </c>
      <c r="F4" s="8" t="s">
        <v>559</v>
      </c>
      <c r="G4" s="8" t="s">
        <v>560</v>
      </c>
      <c r="H4" s="8" t="s">
        <v>561</v>
      </c>
      <c r="I4" s="8" t="s">
        <v>562</v>
      </c>
      <c r="J4" s="8" t="s">
        <v>563</v>
      </c>
    </row>
    <row r="5" spans="1:10" x14ac:dyDescent="0.25">
      <c r="A5" s="5" t="s">
        <v>61</v>
      </c>
      <c r="B5" s="8" t="s">
        <v>80</v>
      </c>
      <c r="C5" s="8" t="s">
        <v>65</v>
      </c>
      <c r="D5" s="6" t="s">
        <v>545</v>
      </c>
      <c r="E5" s="8" t="s">
        <v>112</v>
      </c>
      <c r="F5" s="8" t="s">
        <v>564</v>
      </c>
      <c r="G5" s="8" t="s">
        <v>565</v>
      </c>
      <c r="H5" s="8" t="s">
        <v>566</v>
      </c>
      <c r="I5" s="8" t="s">
        <v>567</v>
      </c>
      <c r="J5" s="8" t="s">
        <v>568</v>
      </c>
    </row>
    <row r="6" spans="1:10" x14ac:dyDescent="0.25">
      <c r="A6" s="5" t="s">
        <v>62</v>
      </c>
      <c r="B6" s="8" t="s">
        <v>569</v>
      </c>
      <c r="C6" s="8" t="s">
        <v>570</v>
      </c>
      <c r="D6" s="6" t="s">
        <v>545</v>
      </c>
      <c r="E6" s="8" t="s">
        <v>571</v>
      </c>
      <c r="F6" s="8" t="s">
        <v>572</v>
      </c>
      <c r="G6" s="8" t="s">
        <v>573</v>
      </c>
      <c r="H6" s="8" t="s">
        <v>574</v>
      </c>
      <c r="I6" s="8" t="s">
        <v>575</v>
      </c>
      <c r="J6" s="8" t="s">
        <v>576</v>
      </c>
    </row>
    <row r="7" spans="1:10" x14ac:dyDescent="0.25">
      <c r="A7" s="1" t="s">
        <v>2</v>
      </c>
      <c r="B7" s="6" t="s">
        <v>87</v>
      </c>
      <c r="C7" s="6" t="s">
        <v>22</v>
      </c>
      <c r="D7" s="6" t="s">
        <v>545</v>
      </c>
      <c r="E7" s="8" t="s">
        <v>86</v>
      </c>
      <c r="F7" s="8" t="s">
        <v>577</v>
      </c>
      <c r="G7" s="8" t="s">
        <v>578</v>
      </c>
      <c r="H7" s="8" t="s">
        <v>579</v>
      </c>
      <c r="I7" s="8" t="s">
        <v>580</v>
      </c>
      <c r="J7" s="8" t="s">
        <v>581</v>
      </c>
    </row>
    <row r="8" spans="1:10" x14ac:dyDescent="0.25">
      <c r="A8" s="5" t="s">
        <v>89</v>
      </c>
      <c r="B8" s="8" t="s">
        <v>132</v>
      </c>
      <c r="C8" s="8" t="s">
        <v>582</v>
      </c>
      <c r="D8" s="6" t="s">
        <v>545</v>
      </c>
      <c r="E8" s="8" t="s">
        <v>131</v>
      </c>
      <c r="F8" s="8" t="s">
        <v>583</v>
      </c>
      <c r="G8" s="8" t="s">
        <v>584</v>
      </c>
      <c r="H8" s="8" t="s">
        <v>585</v>
      </c>
      <c r="I8" s="8" t="s">
        <v>586</v>
      </c>
      <c r="J8" s="8" t="s">
        <v>587</v>
      </c>
    </row>
    <row r="9" spans="1:10" x14ac:dyDescent="0.25">
      <c r="A9" s="2" t="s">
        <v>3</v>
      </c>
      <c r="B9" s="8" t="s">
        <v>207</v>
      </c>
      <c r="C9" s="8" t="s">
        <v>184</v>
      </c>
      <c r="D9" s="6" t="s">
        <v>545</v>
      </c>
      <c r="E9" s="8" t="s">
        <v>206</v>
      </c>
      <c r="F9" s="8" t="s">
        <v>588</v>
      </c>
      <c r="G9" s="8" t="s">
        <v>589</v>
      </c>
      <c r="H9" s="8" t="s">
        <v>590</v>
      </c>
      <c r="I9" s="8" t="s">
        <v>591</v>
      </c>
      <c r="J9" s="8" t="s">
        <v>592</v>
      </c>
    </row>
    <row r="10" spans="1:10" x14ac:dyDescent="0.25">
      <c r="A10" s="2" t="s">
        <v>0</v>
      </c>
      <c r="B10" s="8" t="s">
        <v>190</v>
      </c>
      <c r="C10" s="8" t="s">
        <v>593</v>
      </c>
      <c r="D10" s="6" t="s">
        <v>545</v>
      </c>
      <c r="E10" s="8" t="s">
        <v>189</v>
      </c>
      <c r="F10" s="8" t="s">
        <v>594</v>
      </c>
      <c r="G10" s="8" t="s">
        <v>595</v>
      </c>
      <c r="H10" s="8" t="s">
        <v>596</v>
      </c>
      <c r="I10" s="8" t="s">
        <v>597</v>
      </c>
      <c r="J10" s="8" t="s">
        <v>598</v>
      </c>
    </row>
    <row r="11" spans="1:10" x14ac:dyDescent="0.25">
      <c r="A11" s="2" t="s">
        <v>6</v>
      </c>
      <c r="B11" s="8" t="s">
        <v>135</v>
      </c>
      <c r="C11" s="8" t="s">
        <v>52</v>
      </c>
      <c r="D11" s="6" t="s">
        <v>545</v>
      </c>
      <c r="E11" s="8" t="s">
        <v>133</v>
      </c>
      <c r="F11" s="8" t="s">
        <v>599</v>
      </c>
      <c r="G11" s="8" t="s">
        <v>600</v>
      </c>
      <c r="H11" s="8" t="s">
        <v>601</v>
      </c>
      <c r="I11" s="8" t="s">
        <v>602</v>
      </c>
      <c r="J11" s="8" t="s">
        <v>603</v>
      </c>
    </row>
    <row r="12" spans="1:10" x14ac:dyDescent="0.25">
      <c r="A12" s="2" t="s">
        <v>48</v>
      </c>
      <c r="B12" s="8" t="s">
        <v>138</v>
      </c>
      <c r="C12" s="8" t="s">
        <v>604</v>
      </c>
      <c r="D12" s="6" t="s">
        <v>545</v>
      </c>
      <c r="E12" s="8" t="s">
        <v>136</v>
      </c>
      <c r="F12" s="8" t="s">
        <v>605</v>
      </c>
      <c r="G12" s="8" t="s">
        <v>606</v>
      </c>
      <c r="H12" s="8" t="s">
        <v>607</v>
      </c>
      <c r="I12" s="8" t="s">
        <v>608</v>
      </c>
      <c r="J12" s="8" t="s">
        <v>609</v>
      </c>
    </row>
    <row r="13" spans="1:10" x14ac:dyDescent="0.25">
      <c r="A13" s="2" t="s">
        <v>49</v>
      </c>
      <c r="B13" s="8" t="s">
        <v>167</v>
      </c>
      <c r="C13" s="8" t="s">
        <v>610</v>
      </c>
      <c r="D13" s="6" t="s">
        <v>545</v>
      </c>
      <c r="E13" s="8" t="s">
        <v>166</v>
      </c>
      <c r="F13" s="8" t="s">
        <v>611</v>
      </c>
      <c r="G13" s="8" t="s">
        <v>612</v>
      </c>
      <c r="H13" s="8" t="s">
        <v>613</v>
      </c>
      <c r="I13" s="8" t="s">
        <v>614</v>
      </c>
      <c r="J13" s="8" t="s">
        <v>615</v>
      </c>
    </row>
    <row r="14" spans="1:10" x14ac:dyDescent="0.25">
      <c r="A14" s="2" t="s">
        <v>50</v>
      </c>
      <c r="B14" s="8" t="s">
        <v>183</v>
      </c>
      <c r="C14" s="8" t="s">
        <v>50</v>
      </c>
      <c r="D14" s="6" t="s">
        <v>545</v>
      </c>
      <c r="E14" s="8" t="s">
        <v>181</v>
      </c>
      <c r="F14" s="8" t="s">
        <v>616</v>
      </c>
      <c r="G14" s="8" t="s">
        <v>617</v>
      </c>
      <c r="H14" s="8" t="s">
        <v>618</v>
      </c>
      <c r="I14" s="8" t="s">
        <v>619</v>
      </c>
      <c r="J14" s="8" t="s">
        <v>620</v>
      </c>
    </row>
    <row r="15" spans="1:10" x14ac:dyDescent="0.25">
      <c r="A15" s="2" t="s">
        <v>51</v>
      </c>
      <c r="B15" s="8" t="s">
        <v>176</v>
      </c>
      <c r="C15" s="8" t="s">
        <v>621</v>
      </c>
      <c r="D15" s="6" t="s">
        <v>545</v>
      </c>
      <c r="E15" s="8" t="s">
        <v>175</v>
      </c>
      <c r="F15" s="8" t="s">
        <v>622</v>
      </c>
      <c r="G15" s="8" t="s">
        <v>623</v>
      </c>
      <c r="H15" s="8" t="s">
        <v>624</v>
      </c>
      <c r="I15" s="8" t="s">
        <v>625</v>
      </c>
      <c r="J15" s="8" t="s">
        <v>626</v>
      </c>
    </row>
    <row r="16" spans="1:10" x14ac:dyDescent="0.25">
      <c r="A16" s="2" t="s">
        <v>168</v>
      </c>
      <c r="B16" s="8" t="s">
        <v>174</v>
      </c>
      <c r="C16" s="8" t="s">
        <v>627</v>
      </c>
      <c r="D16" s="6" t="s">
        <v>545</v>
      </c>
      <c r="E16" s="8" t="s">
        <v>172</v>
      </c>
      <c r="F16" s="8" t="s">
        <v>628</v>
      </c>
      <c r="G16" s="8" t="s">
        <v>629</v>
      </c>
      <c r="H16" s="8" t="s">
        <v>630</v>
      </c>
      <c r="I16" s="8" t="s">
        <v>631</v>
      </c>
      <c r="J16" s="8" t="s">
        <v>632</v>
      </c>
    </row>
    <row r="17" spans="1:10" x14ac:dyDescent="0.25">
      <c r="A17" s="2" t="s">
        <v>237</v>
      </c>
      <c r="B17" s="8" t="s">
        <v>244</v>
      </c>
      <c r="C17" s="8" t="s">
        <v>633</v>
      </c>
      <c r="D17" s="6" t="s">
        <v>545</v>
      </c>
      <c r="E17" s="8" t="s">
        <v>243</v>
      </c>
      <c r="F17" s="8" t="s">
        <v>634</v>
      </c>
      <c r="G17" s="8" t="s">
        <v>635</v>
      </c>
      <c r="H17" s="8" t="s">
        <v>636</v>
      </c>
      <c r="I17" s="8" t="s">
        <v>637</v>
      </c>
      <c r="J17" s="8" t="s">
        <v>638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6" t="s">
        <v>545</v>
      </c>
      <c r="E18" s="8" t="s">
        <v>268</v>
      </c>
      <c r="F18" s="8" t="s">
        <v>639</v>
      </c>
      <c r="G18" s="8" t="s">
        <v>640</v>
      </c>
      <c r="H18" s="8" t="s">
        <v>641</v>
      </c>
      <c r="I18" s="8" t="s">
        <v>642</v>
      </c>
      <c r="J18" s="8" t="s">
        <v>643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6" t="s">
        <v>545</v>
      </c>
      <c r="E19" s="8" t="s">
        <v>213</v>
      </c>
      <c r="F19" s="8" t="s">
        <v>644</v>
      </c>
      <c r="G19" s="8" t="s">
        <v>645</v>
      </c>
      <c r="H19" s="8" t="s">
        <v>646</v>
      </c>
      <c r="I19" s="8" t="s">
        <v>647</v>
      </c>
      <c r="J19" s="8" t="s">
        <v>648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6" t="s">
        <v>545</v>
      </c>
      <c r="E20" s="8" t="s">
        <v>226</v>
      </c>
      <c r="F20" s="8" t="s">
        <v>649</v>
      </c>
      <c r="G20" s="8" t="s">
        <v>650</v>
      </c>
      <c r="H20" s="8" t="s">
        <v>651</v>
      </c>
      <c r="I20" s="8" t="s">
        <v>652</v>
      </c>
      <c r="J20" s="8" t="s">
        <v>653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6" t="s">
        <v>545</v>
      </c>
      <c r="E21" s="8" t="s">
        <v>291</v>
      </c>
      <c r="F21" s="8" t="s">
        <v>654</v>
      </c>
      <c r="G21" s="8" t="s">
        <v>655</v>
      </c>
      <c r="H21" s="8" t="s">
        <v>656</v>
      </c>
      <c r="I21" s="8" t="s">
        <v>657</v>
      </c>
      <c r="J21" s="8" t="s">
        <v>658</v>
      </c>
    </row>
    <row r="22" spans="1:10" x14ac:dyDescent="0.25">
      <c r="A22" s="2" t="s">
        <v>66</v>
      </c>
      <c r="B22" s="9" t="s">
        <v>180</v>
      </c>
      <c r="C22" s="9" t="s">
        <v>659</v>
      </c>
      <c r="D22" s="6" t="s">
        <v>545</v>
      </c>
      <c r="E22" s="8" t="s">
        <v>178</v>
      </c>
      <c r="F22" s="8" t="s">
        <v>660</v>
      </c>
      <c r="G22" s="8" t="s">
        <v>661</v>
      </c>
      <c r="H22" s="8" t="s">
        <v>662</v>
      </c>
      <c r="I22" s="8" t="s">
        <v>663</v>
      </c>
      <c r="J22" s="8" t="s">
        <v>664</v>
      </c>
    </row>
    <row r="23" spans="1:10" x14ac:dyDescent="0.25">
      <c r="A23" s="2" t="s">
        <v>5</v>
      </c>
      <c r="B23" s="9" t="s">
        <v>186</v>
      </c>
      <c r="C23" s="9" t="s">
        <v>43</v>
      </c>
      <c r="D23" s="6" t="s">
        <v>545</v>
      </c>
      <c r="E23" s="8" t="s">
        <v>185</v>
      </c>
      <c r="F23" s="8" t="s">
        <v>665</v>
      </c>
      <c r="G23" s="8" t="s">
        <v>666</v>
      </c>
      <c r="H23" s="8" t="s">
        <v>667</v>
      </c>
      <c r="I23" s="8" t="s">
        <v>668</v>
      </c>
      <c r="J23" s="8" t="s">
        <v>669</v>
      </c>
    </row>
    <row r="24" spans="1:10" x14ac:dyDescent="0.25">
      <c r="A24" s="4" t="s">
        <v>10</v>
      </c>
      <c r="B24" s="7" t="s">
        <v>188</v>
      </c>
      <c r="C24" s="7" t="s">
        <v>670</v>
      </c>
      <c r="D24" s="6" t="s">
        <v>545</v>
      </c>
      <c r="E24" s="8" t="s">
        <v>187</v>
      </c>
      <c r="F24" s="8" t="s">
        <v>671</v>
      </c>
      <c r="G24" s="8" t="s">
        <v>672</v>
      </c>
      <c r="H24" s="8" t="s">
        <v>673</v>
      </c>
      <c r="I24" s="8" t="s">
        <v>674</v>
      </c>
      <c r="J24" s="8" t="s">
        <v>675</v>
      </c>
    </row>
    <row r="25" spans="1:10" x14ac:dyDescent="0.25">
      <c r="A25" s="4" t="s">
        <v>11</v>
      </c>
      <c r="B25" s="7" t="s">
        <v>193</v>
      </c>
      <c r="C25" s="7" t="s">
        <v>676</v>
      </c>
      <c r="D25" s="6" t="s">
        <v>545</v>
      </c>
      <c r="E25" s="8" t="s">
        <v>191</v>
      </c>
      <c r="F25" s="8" t="s">
        <v>677</v>
      </c>
      <c r="G25" s="8" t="s">
        <v>678</v>
      </c>
      <c r="H25" s="8" t="s">
        <v>679</v>
      </c>
      <c r="I25" s="8" t="s">
        <v>680</v>
      </c>
      <c r="J25" s="8" t="s">
        <v>681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6" t="s">
        <v>545</v>
      </c>
      <c r="E26" s="8" t="s">
        <v>202</v>
      </c>
      <c r="F26" s="8" t="s">
        <v>682</v>
      </c>
      <c r="G26" s="8" t="s">
        <v>683</v>
      </c>
      <c r="H26" s="8" t="s">
        <v>684</v>
      </c>
      <c r="I26" s="8" t="s">
        <v>685</v>
      </c>
      <c r="J26" s="8" t="s">
        <v>686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6" t="s">
        <v>545</v>
      </c>
      <c r="E27" s="8" t="s">
        <v>234</v>
      </c>
      <c r="F27" s="8" t="s">
        <v>687</v>
      </c>
      <c r="G27" s="8" t="s">
        <v>688</v>
      </c>
      <c r="H27" s="8" t="s">
        <v>689</v>
      </c>
      <c r="I27" s="8" t="s">
        <v>690</v>
      </c>
      <c r="J27" s="8" t="s">
        <v>691</v>
      </c>
    </row>
    <row r="28" spans="1:10" x14ac:dyDescent="0.25">
      <c r="A28" s="2" t="s">
        <v>4</v>
      </c>
      <c r="B28" s="9" t="s">
        <v>195</v>
      </c>
      <c r="C28" s="9" t="s">
        <v>4</v>
      </c>
      <c r="D28" s="6" t="s">
        <v>545</v>
      </c>
      <c r="E28" s="8" t="s">
        <v>194</v>
      </c>
      <c r="F28" s="8" t="s">
        <v>692</v>
      </c>
      <c r="G28" s="8" t="s">
        <v>693</v>
      </c>
      <c r="H28" s="8" t="s">
        <v>694</v>
      </c>
      <c r="I28" s="8" t="s">
        <v>695</v>
      </c>
      <c r="J28" s="8" t="s">
        <v>696</v>
      </c>
    </row>
    <row r="29" spans="1:10" x14ac:dyDescent="0.25">
      <c r="A29" s="4" t="s">
        <v>9</v>
      </c>
      <c r="B29" s="7" t="s">
        <v>198</v>
      </c>
      <c r="C29" s="7" t="s">
        <v>697</v>
      </c>
      <c r="D29" s="6" t="s">
        <v>545</v>
      </c>
      <c r="E29" s="8" t="s">
        <v>196</v>
      </c>
      <c r="F29" s="8" t="s">
        <v>698</v>
      </c>
      <c r="G29" s="8" t="s">
        <v>699</v>
      </c>
      <c r="H29" s="8" t="s">
        <v>700</v>
      </c>
      <c r="I29" s="8" t="s">
        <v>701</v>
      </c>
      <c r="J29" s="8" t="s">
        <v>702</v>
      </c>
    </row>
    <row r="30" spans="1:10" x14ac:dyDescent="0.25">
      <c r="A30" s="4" t="s">
        <v>205</v>
      </c>
      <c r="B30" s="7" t="s">
        <v>703</v>
      </c>
      <c r="C30" s="7" t="s">
        <v>704</v>
      </c>
      <c r="D30" s="6" t="s">
        <v>545</v>
      </c>
      <c r="E30" s="8" t="s">
        <v>290</v>
      </c>
      <c r="F30" s="8" t="s">
        <v>705</v>
      </c>
      <c r="G30" s="8" t="s">
        <v>706</v>
      </c>
      <c r="H30" s="8" t="s">
        <v>707</v>
      </c>
      <c r="I30" s="8" t="s">
        <v>708</v>
      </c>
      <c r="J30" s="8" t="s">
        <v>709</v>
      </c>
    </row>
    <row r="31" spans="1:10" x14ac:dyDescent="0.25">
      <c r="A31" s="4" t="s">
        <v>216</v>
      </c>
      <c r="B31" s="7" t="s">
        <v>220</v>
      </c>
      <c r="C31" s="7" t="s">
        <v>710</v>
      </c>
      <c r="D31" s="6" t="s">
        <v>545</v>
      </c>
      <c r="E31" s="8" t="s">
        <v>218</v>
      </c>
      <c r="F31" s="8" t="s">
        <v>711</v>
      </c>
      <c r="G31" s="8" t="s">
        <v>712</v>
      </c>
      <c r="H31" s="8" t="s">
        <v>713</v>
      </c>
      <c r="I31" s="8" t="s">
        <v>714</v>
      </c>
      <c r="J31" s="8" t="s">
        <v>715</v>
      </c>
    </row>
    <row r="32" spans="1:10" x14ac:dyDescent="0.25">
      <c r="A32" s="4" t="s">
        <v>217</v>
      </c>
      <c r="B32" s="7" t="s">
        <v>223</v>
      </c>
      <c r="C32" s="7" t="s">
        <v>716</v>
      </c>
      <c r="D32" s="6" t="s">
        <v>545</v>
      </c>
      <c r="E32" s="8" t="s">
        <v>221</v>
      </c>
      <c r="F32" s="8" t="s">
        <v>717</v>
      </c>
      <c r="G32" s="8" t="s">
        <v>718</v>
      </c>
      <c r="H32" s="8" t="s">
        <v>719</v>
      </c>
      <c r="I32" s="8" t="s">
        <v>720</v>
      </c>
      <c r="J32" s="8" t="s">
        <v>721</v>
      </c>
    </row>
    <row r="33" spans="1:10" x14ac:dyDescent="0.25">
      <c r="A33" s="2" t="s">
        <v>481</v>
      </c>
      <c r="B33" s="8" t="s">
        <v>722</v>
      </c>
      <c r="C33" s="8" t="s">
        <v>481</v>
      </c>
      <c r="D33" s="6" t="s">
        <v>545</v>
      </c>
      <c r="E33" s="8" t="s">
        <v>723</v>
      </c>
      <c r="F33" s="8" t="s">
        <v>724</v>
      </c>
      <c r="G33" s="8" t="s">
        <v>725</v>
      </c>
      <c r="H33" s="8" t="s">
        <v>726</v>
      </c>
      <c r="I33" s="8" t="s">
        <v>727</v>
      </c>
      <c r="J33" s="8" t="s">
        <v>728</v>
      </c>
    </row>
    <row r="34" spans="1:10" x14ac:dyDescent="0.25">
      <c r="A34" s="2" t="s">
        <v>8</v>
      </c>
      <c r="B34" s="9" t="s">
        <v>111</v>
      </c>
      <c r="C34" s="9" t="s">
        <v>45</v>
      </c>
      <c r="D34" s="6" t="s">
        <v>545</v>
      </c>
      <c r="E34" s="8" t="s">
        <v>110</v>
      </c>
      <c r="F34" s="8" t="s">
        <v>729</v>
      </c>
      <c r="G34" s="8" t="s">
        <v>730</v>
      </c>
      <c r="H34" s="8" t="s">
        <v>731</v>
      </c>
      <c r="I34" s="8" t="s">
        <v>732</v>
      </c>
      <c r="J34" s="8" t="s">
        <v>733</v>
      </c>
    </row>
    <row r="35" spans="1:10" x14ac:dyDescent="0.25">
      <c r="A35" s="2" t="s">
        <v>46</v>
      </c>
      <c r="B35" s="7" t="s">
        <v>295</v>
      </c>
      <c r="C35" s="7" t="s">
        <v>734</v>
      </c>
      <c r="D35" s="6" t="s">
        <v>545</v>
      </c>
      <c r="E35" s="8" t="s">
        <v>294</v>
      </c>
      <c r="F35" s="8" t="s">
        <v>735</v>
      </c>
      <c r="G35" s="8" t="s">
        <v>736</v>
      </c>
      <c r="H35" s="8" t="s">
        <v>737</v>
      </c>
      <c r="I35" s="8" t="s">
        <v>738</v>
      </c>
      <c r="J35" s="8" t="s">
        <v>739</v>
      </c>
    </row>
    <row r="36" spans="1:10" x14ac:dyDescent="0.25">
      <c r="A36" s="2" t="s">
        <v>47</v>
      </c>
      <c r="B36" s="7" t="s">
        <v>124</v>
      </c>
      <c r="C36" s="7" t="s">
        <v>740</v>
      </c>
      <c r="D36" s="6" t="s">
        <v>545</v>
      </c>
      <c r="E36" s="8" t="s">
        <v>123</v>
      </c>
      <c r="F36" s="8" t="s">
        <v>741</v>
      </c>
      <c r="G36" s="8" t="s">
        <v>742</v>
      </c>
      <c r="H36" s="8" t="s">
        <v>743</v>
      </c>
      <c r="I36" s="8" t="s">
        <v>744</v>
      </c>
      <c r="J36" s="8" t="s">
        <v>745</v>
      </c>
    </row>
    <row r="37" spans="1:10" x14ac:dyDescent="0.25">
      <c r="A37" s="4" t="s">
        <v>57</v>
      </c>
      <c r="B37" s="7" t="s">
        <v>126</v>
      </c>
      <c r="C37" s="7" t="s">
        <v>746</v>
      </c>
      <c r="D37" s="6" t="s">
        <v>545</v>
      </c>
      <c r="E37" s="8" t="s">
        <v>125</v>
      </c>
      <c r="F37" s="8" t="s">
        <v>747</v>
      </c>
      <c r="G37" s="8" t="s">
        <v>748</v>
      </c>
      <c r="H37" s="8" t="s">
        <v>749</v>
      </c>
      <c r="I37" s="8" t="s">
        <v>750</v>
      </c>
      <c r="J37" s="8" t="s">
        <v>751</v>
      </c>
    </row>
    <row r="38" spans="1:10" x14ac:dyDescent="0.25">
      <c r="A38" s="4" t="s">
        <v>58</v>
      </c>
      <c r="B38" s="7" t="s">
        <v>127</v>
      </c>
      <c r="C38" s="7" t="s">
        <v>58</v>
      </c>
      <c r="D38" s="6" t="s">
        <v>545</v>
      </c>
      <c r="E38" s="8" t="s">
        <v>128</v>
      </c>
      <c r="F38" s="8" t="s">
        <v>752</v>
      </c>
      <c r="G38" s="8" t="s">
        <v>753</v>
      </c>
      <c r="H38" s="8" t="s">
        <v>754</v>
      </c>
      <c r="I38" s="8" t="s">
        <v>755</v>
      </c>
      <c r="J38" s="8" t="s">
        <v>756</v>
      </c>
    </row>
    <row r="39" spans="1:10" x14ac:dyDescent="0.25">
      <c r="A39" s="2" t="s">
        <v>7</v>
      </c>
      <c r="B39" s="9" t="s">
        <v>297</v>
      </c>
      <c r="C39" s="9" t="s">
        <v>757</v>
      </c>
      <c r="D39" s="6" t="s">
        <v>545</v>
      </c>
      <c r="E39" s="8" t="s">
        <v>296</v>
      </c>
      <c r="F39" s="8" t="s">
        <v>758</v>
      </c>
      <c r="G39" s="8" t="s">
        <v>759</v>
      </c>
      <c r="H39" s="8" t="s">
        <v>760</v>
      </c>
      <c r="I39" s="8" t="s">
        <v>761</v>
      </c>
      <c r="J39" s="8" t="s">
        <v>762</v>
      </c>
    </row>
    <row r="40" spans="1:10" x14ac:dyDescent="0.25">
      <c r="A40" s="4" t="s">
        <v>247</v>
      </c>
      <c r="B40" s="9" t="s">
        <v>264</v>
      </c>
      <c r="C40" s="7" t="s">
        <v>763</v>
      </c>
      <c r="D40" s="6" t="s">
        <v>545</v>
      </c>
      <c r="E40" s="8" t="s">
        <v>259</v>
      </c>
      <c r="F40" s="8" t="s">
        <v>764</v>
      </c>
      <c r="G40" s="8" t="s">
        <v>765</v>
      </c>
      <c r="H40" s="8" t="s">
        <v>766</v>
      </c>
      <c r="I40" s="8" t="s">
        <v>767</v>
      </c>
      <c r="J40" s="8" t="s">
        <v>768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6" t="s">
        <v>545</v>
      </c>
      <c r="E41" s="8" t="s">
        <v>256</v>
      </c>
      <c r="F41" s="8" t="s">
        <v>769</v>
      </c>
      <c r="G41" s="8" t="s">
        <v>770</v>
      </c>
      <c r="H41" s="8" t="s">
        <v>771</v>
      </c>
      <c r="I41" s="8" t="s">
        <v>772</v>
      </c>
      <c r="J41" s="8" t="s">
        <v>773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6" t="s">
        <v>545</v>
      </c>
      <c r="E42" s="8" t="s">
        <v>257</v>
      </c>
      <c r="F42" s="8" t="s">
        <v>774</v>
      </c>
      <c r="G42" s="8" t="s">
        <v>775</v>
      </c>
      <c r="H42" s="8" t="s">
        <v>776</v>
      </c>
      <c r="I42" s="8" t="s">
        <v>777</v>
      </c>
      <c r="J42" s="8" t="s">
        <v>778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6" t="s">
        <v>545</v>
      </c>
      <c r="E43" s="8" t="s">
        <v>258</v>
      </c>
      <c r="F43" s="8" t="s">
        <v>779</v>
      </c>
      <c r="G43" s="8" t="s">
        <v>780</v>
      </c>
      <c r="H43" s="8" t="s">
        <v>781</v>
      </c>
      <c r="I43" s="8" t="s">
        <v>782</v>
      </c>
      <c r="J43" s="8" t="s">
        <v>783</v>
      </c>
    </row>
    <row r="44" spans="1:10" x14ac:dyDescent="0.25">
      <c r="A44" s="2" t="s">
        <v>81</v>
      </c>
      <c r="B44" s="9" t="s">
        <v>85</v>
      </c>
      <c r="C44" s="9" t="s">
        <v>81</v>
      </c>
      <c r="D44" s="6" t="s">
        <v>545</v>
      </c>
      <c r="E44" s="9" t="s">
        <v>84</v>
      </c>
      <c r="F44" s="9" t="s">
        <v>784</v>
      </c>
      <c r="G44" s="9" t="s">
        <v>785</v>
      </c>
      <c r="H44" s="9" t="s">
        <v>786</v>
      </c>
      <c r="I44" s="9" t="s">
        <v>787</v>
      </c>
      <c r="J44" s="9" t="s">
        <v>788</v>
      </c>
    </row>
    <row r="45" spans="1:10" x14ac:dyDescent="0.25">
      <c r="A45" s="2" t="s">
        <v>82</v>
      </c>
      <c r="B45" s="9" t="s">
        <v>107</v>
      </c>
      <c r="C45" s="9" t="s">
        <v>789</v>
      </c>
      <c r="D45" s="6" t="s">
        <v>545</v>
      </c>
      <c r="E45" s="9" t="s">
        <v>113</v>
      </c>
      <c r="F45" s="9" t="s">
        <v>790</v>
      </c>
      <c r="G45" s="9" t="s">
        <v>791</v>
      </c>
      <c r="H45" s="9" t="s">
        <v>792</v>
      </c>
      <c r="I45" s="9" t="s">
        <v>793</v>
      </c>
      <c r="J45" s="9" t="s">
        <v>794</v>
      </c>
    </row>
    <row r="46" spans="1:10" x14ac:dyDescent="0.25">
      <c r="A46" s="2" t="s">
        <v>803</v>
      </c>
      <c r="B46" s="9" t="s">
        <v>75</v>
      </c>
      <c r="C46" s="7" t="str">
        <f>IF(RIGHT(Tables[Name],3)="ies",MID(Tables[Name],1,LEN(Tables[Name])-3)&amp;"y",IF(RIGHT(Tables[Name],1)="s",MID(Tables[Name],1,LEN(Tables[Name])-1),Tables[Name]))</f>
        <v>partner</v>
      </c>
      <c r="D46" s="7" t="str">
        <f t="shared" ref="D46:D47" si="0">"Milestone\Task\Model"</f>
        <v>Milestone\Task\Model</v>
      </c>
      <c r="E46" s="7" t="str">
        <f>SUBSTITUTE(PROPER(Tables[Singular Name]),"_","")</f>
        <v>Partner</v>
      </c>
      <c r="F46" s="7" t="str">
        <f>"php artisan make:migration create_"&amp;Tables[Table]&amp;"_table --create="&amp;Tables[Table]</f>
        <v>php artisan make:migration create_users_table --create=users</v>
      </c>
      <c r="G46" s="7" t="str">
        <f>"php artisan make:model "&amp;Tables[Class Name]</f>
        <v>php artisan make:model Partner</v>
      </c>
      <c r="H46" s="7" t="str">
        <f>"protected $table = '"&amp;Tables[Table]&amp;"';"</f>
        <v>protected $table = 'users';</v>
      </c>
      <c r="I46" s="7" t="str">
        <f>"php artisan make:seed "&amp;Tables[Class Name]&amp;"TableSeeder"</f>
        <v>php artisan make:seed PartnerTableSeeder</v>
      </c>
      <c r="J46" s="7" t="str">
        <f>Tables[Class Name]&amp;"TableSeeder"&amp;"::class,"</f>
        <v>PartnerTableSeeder::class,</v>
      </c>
    </row>
    <row r="47" spans="1:10" x14ac:dyDescent="0.25">
      <c r="A47" s="61" t="s">
        <v>59</v>
      </c>
      <c r="B47" s="62" t="str">
        <f>Tables[Name]</f>
        <v>groups</v>
      </c>
      <c r="C47" s="62" t="str">
        <f>IF(RIGHT(Tables[Name],3)="ies",MID(Tables[Name],1,LEN(Tables[Name])-3)&amp;"y",IF(RIGHT(Tables[Name],1)="s",MID(Tables[Name],1,LEN(Tables[Name])-1),Tables[Name]))</f>
        <v>group</v>
      </c>
      <c r="D47" s="62" t="str">
        <f t="shared" si="0"/>
        <v>Milestone\Task\Model</v>
      </c>
      <c r="E47" s="62" t="str">
        <f>SUBSTITUTE(PROPER(Tables[Singular Name]),"_","")</f>
        <v>Group</v>
      </c>
      <c r="F47" s="62" t="str">
        <f>"php artisan make:migration create_"&amp;Tables[Table]&amp;"_table --create="&amp;Tables[Table]</f>
        <v>php artisan make:migration create_groups_table --create=groups</v>
      </c>
      <c r="G47" s="62" t="str">
        <f>"php artisan make:model "&amp;Tables[Class Name]</f>
        <v>php artisan make:model Group</v>
      </c>
      <c r="H47" s="62" t="str">
        <f>"protected $table = '"&amp;Tables[Table]&amp;"';"</f>
        <v>protected $table = 'groups';</v>
      </c>
      <c r="I47" s="62" t="str">
        <f>"php artisan make:seed "&amp;Tables[Class Name]&amp;"TableSeeder"</f>
        <v>php artisan make:seed GroupTableSeeder</v>
      </c>
      <c r="J47" s="62" t="str">
        <f>Tables[Class Name]&amp;"TableSeeder"&amp;"::class,"</f>
        <v>GroupTableSeeder::class,</v>
      </c>
    </row>
    <row r="48" spans="1:10" x14ac:dyDescent="0.25">
      <c r="A48" s="63" t="s">
        <v>1123</v>
      </c>
      <c r="B48" s="62" t="str">
        <f>Tables[Name]</f>
        <v>categories</v>
      </c>
      <c r="C48" s="62" t="str">
        <f>IF(RIGHT(Tables[Name],3)="ies",MID(Tables[Name],1,LEN(Tables[Name])-3)&amp;"y",IF(RIGHT(Tables[Name],1)="s",MID(Tables[Name],1,LEN(Tables[Name])-1),Tables[Name]))</f>
        <v>category</v>
      </c>
      <c r="D48" s="62" t="str">
        <f>"Milestone\Task\Model"</f>
        <v>Milestone\Task\Model</v>
      </c>
      <c r="E48" s="62" t="str">
        <f>SUBSTITUTE(PROPER(Tables[Singular Name]),"_","")</f>
        <v>Category</v>
      </c>
      <c r="F48" s="62" t="str">
        <f>"php artisan make:migration create_"&amp;Tables[Table]&amp;"_table --create="&amp;Tables[Table]</f>
        <v>php artisan make:migration create_categories_table --create=categories</v>
      </c>
      <c r="G48" s="62" t="str">
        <f>"php artisan make:model "&amp;Tables[Class Name]</f>
        <v>php artisan make:model Category</v>
      </c>
      <c r="H48" s="62" t="str">
        <f>"protected $table = '"&amp;Tables[Table]&amp;"';"</f>
        <v>protected $table = 'categories';</v>
      </c>
      <c r="I48" s="62" t="str">
        <f>"php artisan make:seed "&amp;Tables[Class Name]&amp;"TableSeeder"</f>
        <v>php artisan make:seed CategoryTableSeeder</v>
      </c>
      <c r="J48" s="62" t="str">
        <f>Tables[Class Name]&amp;"TableSeeder"&amp;"::class,"</f>
        <v>CategoryTableSeeder::class,</v>
      </c>
    </row>
    <row r="49" spans="1:10" x14ac:dyDescent="0.25">
      <c r="A49" s="63" t="s">
        <v>804</v>
      </c>
      <c r="B49" s="62" t="str">
        <f>Tables[Name]</f>
        <v>group_partners</v>
      </c>
      <c r="C49" s="62" t="str">
        <f>IF(RIGHT(Tables[Name],3)="ies",MID(Tables[Name],1,LEN(Tables[Name])-3)&amp;"y",IF(RIGHT(Tables[Name],1)="s",MID(Tables[Name],1,LEN(Tables[Name])-1),Tables[Name]))</f>
        <v>group_partner</v>
      </c>
      <c r="D49" s="62" t="str">
        <f>"Milestone\Task\Model"</f>
        <v>Milestone\Task\Model</v>
      </c>
      <c r="E49" s="62" t="str">
        <f>SUBSTITUTE(PROPER(Tables[Singular Name]),"_","")</f>
        <v>GroupPartner</v>
      </c>
      <c r="F49" s="62" t="str">
        <f>"php artisan make:migration create_"&amp;Tables[Table]&amp;"_table --create="&amp;Tables[Table]</f>
        <v>php artisan make:migration create_group_partners_table --create=group_partners</v>
      </c>
      <c r="G49" s="62" t="str">
        <f>"php artisan make:model "&amp;Tables[Class Name]</f>
        <v>php artisan make:model GroupPartner</v>
      </c>
      <c r="H49" s="62" t="str">
        <f>"protected $table = '"&amp;Tables[Table]&amp;"';"</f>
        <v>protected $table = 'group_partners';</v>
      </c>
      <c r="I49" s="62" t="str">
        <f>"php artisan make:seed "&amp;Tables[Class Name]&amp;"TableSeeder"</f>
        <v>php artisan make:seed GroupPartnerTableSeeder</v>
      </c>
      <c r="J49" s="62" t="str">
        <f>Tables[Class Name]&amp;"TableSeeder"&amp;"::class,"</f>
        <v>GroupPartnerTableSeeder::class,</v>
      </c>
    </row>
    <row r="50" spans="1:10" x14ac:dyDescent="0.25">
      <c r="A50" s="63" t="s">
        <v>802</v>
      </c>
      <c r="B50" s="62" t="str">
        <f>Tables[Name]</f>
        <v>tasks</v>
      </c>
      <c r="C50" s="62" t="str">
        <f>IF(RIGHT(Tables[Name],3)="ies",MID(Tables[Name],1,LEN(Tables[Name])-3)&amp;"y",IF(RIGHT(Tables[Name],1)="s",MID(Tables[Name],1,LEN(Tables[Name])-1),Tables[Name]))</f>
        <v>task</v>
      </c>
      <c r="D50" s="62" t="str">
        <f>"Milestone\Task\Model"</f>
        <v>Milestone\Task\Model</v>
      </c>
      <c r="E50" s="62" t="str">
        <f>SUBSTITUTE(PROPER(Tables[Singular Name]),"_","")</f>
        <v>Task</v>
      </c>
      <c r="F50" s="62" t="str">
        <f>"php artisan make:migration create_"&amp;Tables[Table]&amp;"_table --create="&amp;Tables[Table]</f>
        <v>php artisan make:migration create_tasks_table --create=tasks</v>
      </c>
      <c r="G50" s="62" t="str">
        <f>"php artisan make:model "&amp;Tables[Class Name]</f>
        <v>php artisan make:model Task</v>
      </c>
      <c r="H50" s="62" t="str">
        <f>"protected $table = '"&amp;Tables[Table]&amp;"';"</f>
        <v>protected $table = 'tasks';</v>
      </c>
      <c r="I50" s="62" t="str">
        <f>"php artisan make:seed "&amp;Tables[Class Name]&amp;"TableSeeder"</f>
        <v>php artisan make:seed TaskTableSeeder</v>
      </c>
      <c r="J50" s="62" t="str">
        <f>Tables[Class Name]&amp;"TableSeeder"&amp;"::class,"</f>
        <v>TaskTableSeeder::class,</v>
      </c>
    </row>
    <row r="51" spans="1:10" x14ac:dyDescent="0.25">
      <c r="A51" s="63" t="s">
        <v>805</v>
      </c>
      <c r="B51" s="62" t="str">
        <f>Tables[Name]</f>
        <v>partner_tasks</v>
      </c>
      <c r="C51" s="62" t="str">
        <f>IF(RIGHT(Tables[Name],3)="ies",MID(Tables[Name],1,LEN(Tables[Name])-3)&amp;"y",IF(RIGHT(Tables[Name],1)="s",MID(Tables[Name],1,LEN(Tables[Name])-1),Tables[Name]))</f>
        <v>partner_task</v>
      </c>
      <c r="D51" s="62" t="str">
        <f>"Milestone\Task\Model"</f>
        <v>Milestone\Task\Model</v>
      </c>
      <c r="E51" s="62" t="str">
        <f>SUBSTITUTE(PROPER(Tables[Singular Name]),"_","")</f>
        <v>PartnerTask</v>
      </c>
      <c r="F51" s="62" t="str">
        <f>"php artisan make:migration create_"&amp;Tables[Table]&amp;"_table --create="&amp;Tables[Table]</f>
        <v>php artisan make:migration create_partner_tasks_table --create=partner_tasks</v>
      </c>
      <c r="G51" s="62" t="str">
        <f>"php artisan make:model "&amp;Tables[Class Name]</f>
        <v>php artisan make:model PartnerTask</v>
      </c>
      <c r="H51" s="62" t="str">
        <f>"protected $table = '"&amp;Tables[Table]&amp;"';"</f>
        <v>protected $table = 'partner_tasks';</v>
      </c>
      <c r="I51" s="62" t="str">
        <f>"php artisan make:seed "&amp;Tables[Class Name]&amp;"TableSeeder"</f>
        <v>php artisan make:seed PartnerTaskTableSeeder</v>
      </c>
      <c r="J51" s="62" t="str">
        <f>Tables[Class Name]&amp;"TableSeeder"&amp;"::class,"</f>
        <v>PartnerTaskTableSeeder::class,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35"/>
  <sheetViews>
    <sheetView topLeftCell="AE1" workbookViewId="0">
      <selection activeCell="BD1" sqref="BD1:BF1048576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6.140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140625" style="20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4.710937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23.85546875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22.570312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29" customWidth="1"/>
    <col min="68" max="70" width="9.5703125" customWidth="1"/>
    <col min="71" max="71" width="9.5703125" style="20" customWidth="1"/>
    <col min="72" max="72" width="22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customWidth="1"/>
    <col min="84" max="84" width="27.5703125" hidden="1" customWidth="1"/>
    <col min="85" max="85" width="32.42578125" hidden="1" customWidth="1"/>
    <col min="86" max="86" width="21.5703125" style="20" customWidth="1"/>
    <col min="87" max="87" width="11.7109375" hidden="1" customWidth="1"/>
    <col min="88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customWidth="1"/>
    <col min="107" max="109" width="24.7109375" hidden="1" customWidth="1"/>
    <col min="110" max="114" width="24.7109375" customWidth="1"/>
    <col min="116" max="118" width="28.7109375" customWidth="1"/>
    <col min="119" max="121" width="28.7109375" hidden="1" customWidth="1"/>
    <col min="122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22.140625" customWidth="1"/>
    <col min="131" max="131" width="21.710937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6" customWidth="1"/>
    <col min="138" max="138" width="18" hidden="1" customWidth="1"/>
    <col min="139" max="139" width="20.7109375" hidden="1" customWidth="1"/>
    <col min="140" max="141" width="6.7109375" hidden="1" customWidth="1"/>
    <col min="142" max="143" width="15.42578125" hidden="1" customWidth="1"/>
    <col min="144" max="144" width="18.85546875" customWidth="1"/>
    <col min="145" max="145" width="18.4257812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451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59" t="s">
        <v>473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801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398</v>
      </c>
      <c r="BW1" s="1" t="s">
        <v>227</v>
      </c>
      <c r="BX1" s="1" t="s">
        <v>105</v>
      </c>
      <c r="BY1" s="1" t="s">
        <v>399</v>
      </c>
      <c r="BZ1" s="1" t="s">
        <v>99</v>
      </c>
      <c r="CA1" s="1" t="s">
        <v>400</v>
      </c>
      <c r="CB1" s="1" t="s">
        <v>401</v>
      </c>
      <c r="CC1" s="1" t="s">
        <v>402</v>
      </c>
      <c r="CD1" s="1" t="s">
        <v>278</v>
      </c>
      <c r="CE1" s="1"/>
      <c r="CF1" s="20" t="s">
        <v>99</v>
      </c>
      <c r="CG1" s="20" t="s">
        <v>344</v>
      </c>
      <c r="CH1" s="20" t="s">
        <v>389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395</v>
      </c>
      <c r="CP1" s="20" t="s">
        <v>396</v>
      </c>
      <c r="CQ1" s="20" t="s">
        <v>397</v>
      </c>
      <c r="CR1" s="20" t="s">
        <v>120</v>
      </c>
      <c r="CS1" s="20" t="s">
        <v>394</v>
      </c>
      <c r="CT1" s="20" t="s">
        <v>300</v>
      </c>
      <c r="CU1" s="20" t="s">
        <v>301</v>
      </c>
      <c r="CV1" s="20" t="s">
        <v>302</v>
      </c>
      <c r="CW1" s="20" t="s">
        <v>391</v>
      </c>
      <c r="CX1" s="20" t="s">
        <v>392</v>
      </c>
      <c r="CY1" s="20" t="s">
        <v>393</v>
      </c>
      <c r="CZ1" s="20" t="s">
        <v>17</v>
      </c>
      <c r="DA1"/>
      <c r="DB1" s="1" t="s">
        <v>476</v>
      </c>
      <c r="DC1" s="1" t="s">
        <v>344</v>
      </c>
      <c r="DD1" s="1" t="s">
        <v>307</v>
      </c>
      <c r="DE1" s="1" t="s">
        <v>473</v>
      </c>
      <c r="DF1" s="1" t="s">
        <v>471</v>
      </c>
      <c r="DG1" s="1" t="s">
        <v>472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477</v>
      </c>
      <c r="DO1" s="1" t="s">
        <v>344</v>
      </c>
      <c r="DP1" s="1" t="s">
        <v>307</v>
      </c>
      <c r="DQ1" s="1" t="s">
        <v>473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483</v>
      </c>
      <c r="DZ1" s="1" t="s">
        <v>199</v>
      </c>
      <c r="EA1" s="1" t="s">
        <v>484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485</v>
      </c>
      <c r="EI1" s="1" t="s">
        <v>300</v>
      </c>
      <c r="EJ1" s="1" t="s">
        <v>301</v>
      </c>
      <c r="EK1" s="1" t="s">
        <v>302</v>
      </c>
      <c r="EL1" s="1" t="s">
        <v>486</v>
      </c>
      <c r="EM1" s="1" t="s">
        <v>487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488</v>
      </c>
      <c r="ES1" s="1" t="s">
        <v>489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6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Row],[NO2]]=0,"nest_relation3",IF(FormFields[[#This Row],[Rel3]]="","",VLOOKUP(FormFields[[#This Row],[Rel3]],RelationTable[[Display]:[RELID]],2,0)))</f>
        <v>nest_relation3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5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37" t="str">
        <f>FormFields[Form]</f>
        <v>resource_form</v>
      </c>
      <c r="AY2" s="37" t="str">
        <f>IF(FormFields[[#This Row],[ID]]="id","form_field",FormFields[[#This Row],[ID]])</f>
        <v>form_field</v>
      </c>
      <c r="AZ2" s="46" t="s">
        <v>212</v>
      </c>
      <c r="BA2" s="58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5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1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6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Group/CreateGroup</v>
      </c>
      <c r="C3" s="60">
        <f>COUNTA($A$1:ResourceForms[[#This Row],[Primary]])-2</f>
        <v>1</v>
      </c>
      <c r="D3" s="65" t="s">
        <v>96</v>
      </c>
      <c r="E3" s="60">
        <f>IF(ResourceForms[[#This Row],[No]]=0,"id",ResourceForms[[#This Row],[No]]+IF(ISNUMBER(VLOOKUP('Table Seed Map'!$A$11,SeedMap[],9,0)),VLOOKUP('Table Seed Map'!$A$11,SeedMap[],9,0),0))</f>
        <v>800901</v>
      </c>
      <c r="F3" s="60">
        <f>IFERROR(VLOOKUP(ResourceForms[[#This Row],[Resource Name]],ResourceTable[[RName]:[No]],3,0),"resource")</f>
        <v>800502</v>
      </c>
      <c r="G3" s="62" t="s">
        <v>893</v>
      </c>
      <c r="H3" s="60" t="s">
        <v>894</v>
      </c>
      <c r="I3" s="62" t="s">
        <v>76</v>
      </c>
      <c r="J3" s="62" t="s">
        <v>895</v>
      </c>
      <c r="K3" s="64">
        <f>ResourceForms[ID]</f>
        <v>800901</v>
      </c>
      <c r="M3" s="70" t="str">
        <f>'Table Seed Map'!$A$12&amp;"-"&amp;FormFields[[#This Row],[No]]</f>
        <v>Form Fields-1</v>
      </c>
      <c r="N3" s="59" t="s">
        <v>896</v>
      </c>
      <c r="O3" s="71">
        <f>COUNTA($N$1:FormFields[[#This Row],[Form Name]])-1</f>
        <v>1</v>
      </c>
      <c r="P3" s="70" t="str">
        <f>FormFields[[#This Row],[Form Name]]&amp;"/"&amp;FormFields[[#This Row],[Name]]</f>
        <v>Group/CreateGroup/name</v>
      </c>
      <c r="Q3" s="71">
        <f>IF(FormFields[[#This Row],[No]]=0,"id",FormFields[[#This Row],[No]]+IF(ISNUMBER(VLOOKUP('Table Seed Map'!$A$12,SeedMap[],9,0)),VLOOKUP('Table Seed Map'!$A$12,SeedMap[],9,0),0))</f>
        <v>801001</v>
      </c>
      <c r="R3" s="72">
        <f>IFERROR(VLOOKUP(FormFields[[#This Row],[Form Name]],ResourceForms[[FormName]:[ID]],4,0),"resource_form")</f>
        <v>800901</v>
      </c>
      <c r="S3" s="73" t="s">
        <v>23</v>
      </c>
      <c r="T3" s="73" t="s">
        <v>897</v>
      </c>
      <c r="U3" s="73" t="s">
        <v>900</v>
      </c>
      <c r="V3" s="74"/>
      <c r="W3" s="74"/>
      <c r="X3" s="74"/>
      <c r="Y3" s="74"/>
      <c r="Z3" s="75" t="str">
        <f>'Table Seed Map'!$A$13&amp;"-"&amp;FormFields[[#This Row],[NO2]]</f>
        <v>Field Data-1</v>
      </c>
      <c r="AA3" s="76">
        <f>COUNTIFS($AB$1:FormFields[[#This Row],[Exists]],1)-1</f>
        <v>1</v>
      </c>
      <c r="AB3" s="76">
        <f>IF(AND(FormFields[[#This Row],[Attribute]]="",FormFields[[#This Row],[Rel]]=""),0,1)</f>
        <v>1</v>
      </c>
      <c r="AC3" s="76">
        <f>IF(FormFields[[#This Row],[NO2]]=0,"id",FormFields[[#This Row],[NO2]]+IF(ISNUMBER(VLOOKUP('Table Seed Map'!$A$13,SeedMap[],9,0)),VLOOKUP('Table Seed Map'!$A$13,SeedMap[],9,0),0))</f>
        <v>801101</v>
      </c>
      <c r="AD3" s="77">
        <f>IF(FormFields[[#This Row],[ID]]="id","form_field",FormFields[[#This Row],[ID]])</f>
        <v>801001</v>
      </c>
      <c r="AE3" s="76" t="str">
        <f>IF(FormFields[[#This Row],[No]]=0,"attribute",FormFields[[#This Row],[Name]])</f>
        <v>name</v>
      </c>
      <c r="AF3" s="78" t="str">
        <f>IF(FormFields[[#This Row],[NO2]]=0,"relation",IF(FormFields[[#This Row],[Rel]]="","",VLOOKUP(FormFields[[#This Row],[Rel]],RelationTable[[Display]:[RELID]],2,0)))</f>
        <v/>
      </c>
      <c r="AG3" s="78" t="str">
        <f>IF(FormFields[[#This Row],[NO2]]=0,"nest_relation1",IF(FormFields[[#This Row],[Rel1]]="","",VLOOKUP(FormFields[[#This Row],[Rel1]],RelationTable[[Display]:[RELID]],2,0)))</f>
        <v/>
      </c>
      <c r="AH3" s="78" t="str">
        <f>IF(FormFields[[#This Row],[NO2]]=0,"nest_relation2",IF(FormFields[[#This Row],[Rel2]]="","",VLOOKUP(FormFields[[#This Row],[Rel2]],RelationTable[[Display]:[RELID]],2,0)))</f>
        <v/>
      </c>
      <c r="AI3" s="78" t="str">
        <f>IF(FormFields[[#This Row],[NO2]]=0,"nest_relation3",IF(FormFields[[#This Row],[Rel3]]="","",VLOOKUP(FormFields[[#This Row],[Rel3]],RelationTable[[Display]:[RELID]],2,0)))</f>
        <v/>
      </c>
      <c r="AJ3" s="71">
        <f>IF(OR(FormFields[[#This Row],[Option Type]]="",FormFields[[#This Row],[Option Type]]="type"),0,1)</f>
        <v>0</v>
      </c>
      <c r="AK3" s="71" t="str">
        <f>'Table Seed Map'!$A$14&amp;"-"&amp;FormFields[[#This Row],[NO4]]</f>
        <v>Field Options-0</v>
      </c>
      <c r="AL3" s="71">
        <f>COUNTIF($AJ$2:FormFields[[#This Row],[Exists FO]],1)</f>
        <v>0</v>
      </c>
      <c r="AM3" s="71" t="str">
        <f>IF(FormFields[[#This Row],[NO4]]=0,"id",FormFields[[#This Row],[NO4]]+IF(ISNUMBER(VLOOKUP('Table Seed Map'!$A$14,SeedMap[],9,0)),VLOOKUP('Table Seed Map'!$A$14,SeedMap[],9,0),0))</f>
        <v>id</v>
      </c>
      <c r="AN3" s="58">
        <f>IF(FormFields[[#This Row],[ID]]="id","form_field",FormFields[[#This Row],[ID]])</f>
        <v>801001</v>
      </c>
      <c r="AO3" s="79"/>
      <c r="AP3" s="79"/>
      <c r="AQ3" s="79"/>
      <c r="AR3" s="79"/>
      <c r="AS3" s="79"/>
      <c r="AT3" s="71">
        <f>IF(OR(FormFields[[#This Row],[Colspan]]="",FormFields[[#This Row],[Colspan]]="colspan"),0,1)</f>
        <v>0</v>
      </c>
      <c r="AU3" s="71" t="str">
        <f>'Table Seed Map'!$A$19&amp;"-"&amp;FormFields[[#This Row],[NO8]]</f>
        <v>Form Layout-0</v>
      </c>
      <c r="AV3" s="71">
        <f>COUNTIF($AT$1:FormFields[[#This Row],[Exists FL]],1)</f>
        <v>0</v>
      </c>
      <c r="AW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1">
        <f>FormFields[Form]</f>
        <v>800901</v>
      </c>
      <c r="AY3" s="71">
        <f>IF(FormFields[[#This Row],[ID]]="id","form_field",FormFields[[#This Row],[ID]])</f>
        <v>801001</v>
      </c>
      <c r="AZ3" s="80"/>
      <c r="BA3" s="58">
        <f>FormFields[[#This Row],[ID]]</f>
        <v>801001</v>
      </c>
      <c r="BC3" s="63" t="s">
        <v>903</v>
      </c>
      <c r="BD3" s="62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801301</v>
      </c>
      <c r="BF3" s="58">
        <f>IFERROR(VLOOKUP(FieldAttrs[ATTR Field],FormFields[[Field Name]:[ID]],2,0),"form_field")</f>
        <v>801001</v>
      </c>
      <c r="BG3" s="58" t="s">
        <v>904</v>
      </c>
      <c r="BH3" s="58">
        <v>4</v>
      </c>
      <c r="BJ3" s="63" t="s">
        <v>903</v>
      </c>
      <c r="BK3" s="63">
        <f>COUNTA($BJ$2:FieldValidations[[#This Row],[Validation Field]])</f>
        <v>1</v>
      </c>
      <c r="BL3" s="62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801501</v>
      </c>
      <c r="BN3" s="60">
        <f>VLOOKUP(FieldValidations[Validation Field],FormFields[[Field Name]:[ID]],2,0)</f>
        <v>801001</v>
      </c>
      <c r="BO3" s="65" t="s">
        <v>941</v>
      </c>
      <c r="BP3" s="65" t="s">
        <v>935</v>
      </c>
      <c r="BQ3" s="65"/>
      <c r="BR3" s="65"/>
      <c r="BS3" s="65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Partner/CreatePartner</v>
      </c>
      <c r="C4" s="60">
        <f>COUNTA($A$1:ResourceForms[[#This Row],[Primary]])-2</f>
        <v>2</v>
      </c>
      <c r="D4" s="65" t="s">
        <v>843</v>
      </c>
      <c r="E4" s="60">
        <f>IF(ResourceForms[[#This Row],[No]]=0,"id",ResourceForms[[#This Row],[No]]+IF(ISNUMBER(VLOOKUP('Table Seed Map'!$A$11,SeedMap[],9,0)),VLOOKUP('Table Seed Map'!$A$11,SeedMap[],9,0),0))</f>
        <v>800902</v>
      </c>
      <c r="F4" s="60">
        <f>IFERROR(VLOOKUP(ResourceForms[[#This Row],[Resource Name]],ResourceTable[[RName]:[No]],3,0),"resource")</f>
        <v>800501</v>
      </c>
      <c r="G4" s="62" t="s">
        <v>916</v>
      </c>
      <c r="H4" s="60" t="s">
        <v>917</v>
      </c>
      <c r="I4" s="62" t="s">
        <v>852</v>
      </c>
      <c r="J4" s="62" t="s">
        <v>895</v>
      </c>
      <c r="K4" s="64">
        <f>ResourceForms[ID]</f>
        <v>800902</v>
      </c>
      <c r="M4" s="70" t="str">
        <f>'Table Seed Map'!$A$12&amp;"-"&amp;FormFields[[#This Row],[No]]</f>
        <v>Form Fields-2</v>
      </c>
      <c r="N4" s="59" t="s">
        <v>896</v>
      </c>
      <c r="O4" s="71">
        <f>COUNTA($N$1:FormFields[[#This Row],[Form Name]])-1</f>
        <v>2</v>
      </c>
      <c r="P4" s="70" t="str">
        <f>FormFields[[#This Row],[Form Name]]&amp;"/"&amp;FormFields[[#This Row],[Name]]</f>
        <v>Group/CreateGroup/description</v>
      </c>
      <c r="Q4" s="71">
        <f>IF(FormFields[[#This Row],[No]]=0,"id",FormFields[[#This Row],[No]]+IF(ISNUMBER(VLOOKUP('Table Seed Map'!$A$12,SeedMap[],9,0)),VLOOKUP('Table Seed Map'!$A$12,SeedMap[],9,0),0))</f>
        <v>801002</v>
      </c>
      <c r="R4" s="72">
        <f>IFERROR(VLOOKUP(FormFields[[#This Row],[Form Name]],ResourceForms[[FormName]:[ID]],4,0),"resource_form")</f>
        <v>800901</v>
      </c>
      <c r="S4" s="73" t="s">
        <v>24</v>
      </c>
      <c r="T4" s="73" t="s">
        <v>898</v>
      </c>
      <c r="U4" s="73" t="s">
        <v>102</v>
      </c>
      <c r="V4" s="74"/>
      <c r="W4" s="74"/>
      <c r="X4" s="74"/>
      <c r="Y4" s="74"/>
      <c r="Z4" s="75" t="str">
        <f>'Table Seed Map'!$A$13&amp;"-"&amp;FormFields[[#This Row],[NO2]]</f>
        <v>Field Data-2</v>
      </c>
      <c r="AA4" s="76">
        <f>COUNTIFS($AB$1:FormFields[[#This Row],[Exists]],1)-1</f>
        <v>2</v>
      </c>
      <c r="AB4" s="76">
        <f>IF(AND(FormFields[[#This Row],[Attribute]]="",FormFields[[#This Row],[Rel]]=""),0,1)</f>
        <v>1</v>
      </c>
      <c r="AC4" s="76">
        <f>IF(FormFields[[#This Row],[NO2]]=0,"id",FormFields[[#This Row],[NO2]]+IF(ISNUMBER(VLOOKUP('Table Seed Map'!$A$13,SeedMap[],9,0)),VLOOKUP('Table Seed Map'!$A$13,SeedMap[],9,0),0))</f>
        <v>801102</v>
      </c>
      <c r="AD4" s="77">
        <f>IF(FormFields[[#This Row],[ID]]="id","form_field",FormFields[[#This Row],[ID]])</f>
        <v>801002</v>
      </c>
      <c r="AE4" s="76" t="str">
        <f>IF(FormFields[[#This Row],[No]]=0,"attribute",FormFields[[#This Row],[Name]])</f>
        <v>description</v>
      </c>
      <c r="AF4" s="78" t="str">
        <f>IF(FormFields[[#This Row],[NO2]]=0,"relation",IF(FormFields[[#This Row],[Rel]]="","",VLOOKUP(FormFields[[#This Row],[Rel]],RelationTable[[Display]:[RELID]],2,0)))</f>
        <v/>
      </c>
      <c r="AG4" s="78" t="str">
        <f>IF(FormFields[[#This Row],[NO2]]=0,"nest_relation1",IF(FormFields[[#This Row],[Rel1]]="","",VLOOKUP(FormFields[[#This Row],[Rel1]],RelationTable[[Display]:[RELID]],2,0)))</f>
        <v/>
      </c>
      <c r="AH4" s="78" t="str">
        <f>IF(FormFields[[#This Row],[NO2]]=0,"nest_relation2",IF(FormFields[[#This Row],[Rel2]]="","",VLOOKUP(FormFields[[#This Row],[Rel2]],RelationTable[[Display]:[RELID]],2,0)))</f>
        <v/>
      </c>
      <c r="AI4" s="78" t="str">
        <f>IF(FormFields[[#This Row],[NO2]]=0,"nest_relation3",IF(FormFields[[#This Row],[Rel3]]="","",VLOOKUP(FormFields[[#This Row],[Rel3]],RelationTable[[Display]:[RELID]],2,0)))</f>
        <v/>
      </c>
      <c r="AJ4" s="71">
        <f>IF(OR(FormFields[[#This Row],[Option Type]]="",FormFields[[#This Row],[Option Type]]="type"),0,1)</f>
        <v>0</v>
      </c>
      <c r="AK4" s="71" t="str">
        <f>'Table Seed Map'!$A$14&amp;"-"&amp;FormFields[[#This Row],[NO4]]</f>
        <v>Field Options-0</v>
      </c>
      <c r="AL4" s="71">
        <f>COUNTIF($AJ$2:FormFields[[#This Row],[Exists FO]],1)</f>
        <v>0</v>
      </c>
      <c r="AM4" s="71" t="str">
        <f>IF(FormFields[[#This Row],[NO4]]=0,"id",FormFields[[#This Row],[NO4]]+IF(ISNUMBER(VLOOKUP('Table Seed Map'!$A$14,SeedMap[],9,0)),VLOOKUP('Table Seed Map'!$A$14,SeedMap[],9,0),0))</f>
        <v>id</v>
      </c>
      <c r="AN4" s="58">
        <f>IF(FormFields[[#This Row],[ID]]="id","form_field",FormFields[[#This Row],[ID]])</f>
        <v>801002</v>
      </c>
      <c r="AO4" s="79"/>
      <c r="AP4" s="79"/>
      <c r="AQ4" s="79"/>
      <c r="AR4" s="79"/>
      <c r="AS4" s="79"/>
      <c r="AT4" s="71">
        <f>IF(OR(FormFields[[#This Row],[Colspan]]="",FormFields[[#This Row],[Colspan]]="colspan"),0,1)</f>
        <v>0</v>
      </c>
      <c r="AU4" s="71" t="str">
        <f>'Table Seed Map'!$A$19&amp;"-"&amp;FormFields[[#This Row],[NO8]]</f>
        <v>Form Layout-0</v>
      </c>
      <c r="AV4" s="71">
        <f>COUNTIF($AT$1:FormFields[[#This Row],[Exists FL]],1)</f>
        <v>0</v>
      </c>
      <c r="AW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1">
        <f>FormFields[Form]</f>
        <v>800901</v>
      </c>
      <c r="AY4" s="71">
        <f>IF(FormFields[[#This Row],[ID]]="id","form_field",FormFields[[#This Row],[ID]])</f>
        <v>801002</v>
      </c>
      <c r="AZ4" s="80"/>
      <c r="BA4" s="58">
        <f>FormFields[[#This Row],[ID]]</f>
        <v>801002</v>
      </c>
      <c r="BC4" s="63" t="s">
        <v>905</v>
      </c>
      <c r="BD4" s="62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801302</v>
      </c>
      <c r="BF4" s="58">
        <f>IFERROR(VLOOKUP(FieldAttrs[ATTR Field],FormFields[[Field Name]:[ID]],2,0),"form_field")</f>
        <v>801002</v>
      </c>
      <c r="BG4" s="58" t="s">
        <v>904</v>
      </c>
      <c r="BH4" s="58">
        <v>4</v>
      </c>
      <c r="BJ4" s="63" t="s">
        <v>921</v>
      </c>
      <c r="BK4" s="63">
        <f>COUNTA($BJ$2:FieldValidations[[#This Row],[Validation Field]])</f>
        <v>2</v>
      </c>
      <c r="BL4" s="62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801502</v>
      </c>
      <c r="BN4" s="60">
        <f>VLOOKUP(FieldValidations[Validation Field],FormFields[[Field Name]:[ID]],2,0)</f>
        <v>801004</v>
      </c>
      <c r="BO4" s="65" t="s">
        <v>941</v>
      </c>
      <c r="BP4" s="65" t="s">
        <v>935</v>
      </c>
      <c r="BQ4" s="65"/>
      <c r="BR4" s="65"/>
      <c r="BS4" s="65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Task/CreateTask</v>
      </c>
      <c r="C5" s="60">
        <f>COUNTA($A$1:ResourceForms[[#This Row],[Primary]])-2</f>
        <v>3</v>
      </c>
      <c r="D5" s="65" t="s">
        <v>845</v>
      </c>
      <c r="E5" s="60">
        <f>IF(ResourceForms[[#This Row],[No]]=0,"id",ResourceForms[[#This Row],[No]]+IF(ISNUMBER(VLOOKUP('Table Seed Map'!$A$11,SeedMap[],9,0)),VLOOKUP('Table Seed Map'!$A$11,SeedMap[],9,0),0))</f>
        <v>800903</v>
      </c>
      <c r="F5" s="60">
        <f>IFERROR(VLOOKUP(ResourceForms[[#This Row],[Resource Name]],ResourceTable[[RName]:[No]],3,0),"resource")</f>
        <v>800506</v>
      </c>
      <c r="G5" s="62" t="s">
        <v>953</v>
      </c>
      <c r="H5" s="60" t="s">
        <v>954</v>
      </c>
      <c r="I5" s="62" t="s">
        <v>850</v>
      </c>
      <c r="J5" s="62" t="s">
        <v>895</v>
      </c>
      <c r="K5" s="64">
        <f>ResourceForms[ID]</f>
        <v>800903</v>
      </c>
      <c r="M5" s="70" t="str">
        <f>'Table Seed Map'!$A$12&amp;"-"&amp;FormFields[[#This Row],[No]]</f>
        <v>Form Fields-3</v>
      </c>
      <c r="N5" s="59" t="s">
        <v>896</v>
      </c>
      <c r="O5" s="71">
        <f>COUNTA($N$1:FormFields[[#This Row],[Form Name]])-1</f>
        <v>3</v>
      </c>
      <c r="P5" s="70" t="str">
        <f>FormFields[[#This Row],[Form Name]]&amp;"/"&amp;FormFields[[#This Row],[Name]]</f>
        <v>Group/CreateGroup/status</v>
      </c>
      <c r="Q5" s="71">
        <f>IF(FormFields[[#This Row],[No]]=0,"id",FormFields[[#This Row],[No]]+IF(ISNUMBER(VLOOKUP('Table Seed Map'!$A$12,SeedMap[],9,0)),VLOOKUP('Table Seed Map'!$A$12,SeedMap[],9,0),0))</f>
        <v>801003</v>
      </c>
      <c r="R5" s="72">
        <f>IFERROR(VLOOKUP(FormFields[[#This Row],[Form Name]],ResourceForms[[FormName]:[ID]],4,0),"resource_form")</f>
        <v>800901</v>
      </c>
      <c r="S5" s="73" t="s">
        <v>809</v>
      </c>
      <c r="T5" s="73" t="s">
        <v>899</v>
      </c>
      <c r="U5" s="73" t="s">
        <v>901</v>
      </c>
      <c r="V5" s="74"/>
      <c r="W5" s="74"/>
      <c r="X5" s="74"/>
      <c r="Y5" s="74"/>
      <c r="Z5" s="75" t="str">
        <f>'Table Seed Map'!$A$13&amp;"-"&amp;FormFields[[#This Row],[NO2]]</f>
        <v>Field Data-3</v>
      </c>
      <c r="AA5" s="76">
        <f>COUNTIFS($AB$1:FormFields[[#This Row],[Exists]],1)-1</f>
        <v>3</v>
      </c>
      <c r="AB5" s="76">
        <f>IF(AND(FormFields[[#This Row],[Attribute]]="",FormFields[[#This Row],[Rel]]=""),0,1)</f>
        <v>1</v>
      </c>
      <c r="AC5" s="76">
        <f>IF(FormFields[[#This Row],[NO2]]=0,"id",FormFields[[#This Row],[NO2]]+IF(ISNUMBER(VLOOKUP('Table Seed Map'!$A$13,SeedMap[],9,0)),VLOOKUP('Table Seed Map'!$A$13,SeedMap[],9,0),0))</f>
        <v>801103</v>
      </c>
      <c r="AD5" s="77">
        <f>IF(FormFields[[#This Row],[ID]]="id","form_field",FormFields[[#This Row],[ID]])</f>
        <v>801003</v>
      </c>
      <c r="AE5" s="76" t="str">
        <f>IF(FormFields[[#This Row],[No]]=0,"attribute",FormFields[[#This Row],[Name]])</f>
        <v>status</v>
      </c>
      <c r="AF5" s="78" t="str">
        <f>IF(FormFields[[#This Row],[NO2]]=0,"relation",IF(FormFields[[#This Row],[Rel]]="","",VLOOKUP(FormFields[[#This Row],[Rel]],RelationTable[[Display]:[RELID]],2,0)))</f>
        <v/>
      </c>
      <c r="AG5" s="78" t="str">
        <f>IF(FormFields[[#This Row],[NO2]]=0,"nest_relation1",IF(FormFields[[#This Row],[Rel1]]="","",VLOOKUP(FormFields[[#This Row],[Rel1]],RelationTable[[Display]:[RELID]],2,0)))</f>
        <v/>
      </c>
      <c r="AH5" s="78" t="str">
        <f>IF(FormFields[[#This Row],[NO2]]=0,"nest_relation2",IF(FormFields[[#This Row],[Rel2]]="","",VLOOKUP(FormFields[[#This Row],[Rel2]],RelationTable[[Display]:[RELID]],2,0)))</f>
        <v/>
      </c>
      <c r="AI5" s="78" t="str">
        <f>IF(FormFields[[#This Row],[NO2]]=0,"nest_relation3",IF(FormFields[[#This Row],[Rel3]]="","",VLOOKUP(FormFields[[#This Row],[Rel3]],RelationTable[[Display]:[RELID]],2,0)))</f>
        <v/>
      </c>
      <c r="AJ5" s="71">
        <f>IF(OR(FormFields[[#This Row],[Option Type]]="",FormFields[[#This Row],[Option Type]]="type"),0,1)</f>
        <v>1</v>
      </c>
      <c r="AK5" s="71" t="str">
        <f>'Table Seed Map'!$A$14&amp;"-"&amp;FormFields[[#This Row],[NO4]]</f>
        <v>Field Options-1</v>
      </c>
      <c r="AL5" s="71">
        <f>COUNTIF($AJ$2:FormFields[[#This Row],[Exists FO]],1)</f>
        <v>1</v>
      </c>
      <c r="AM5" s="71">
        <f>IF(FormFields[[#This Row],[NO4]]=0,"id",FormFields[[#This Row],[NO4]]+IF(ISNUMBER(VLOOKUP('Table Seed Map'!$A$14,SeedMap[],9,0)),VLOOKUP('Table Seed Map'!$A$14,SeedMap[],9,0),0))</f>
        <v>801201</v>
      </c>
      <c r="AN5" s="58">
        <f>IF(FormFields[[#This Row],[ID]]="id","form_field",FormFields[[#This Row],[ID]])</f>
        <v>801003</v>
      </c>
      <c r="AO5" s="79" t="s">
        <v>902</v>
      </c>
      <c r="AP5" s="79"/>
      <c r="AQ5" s="79"/>
      <c r="AR5" s="79"/>
      <c r="AS5" s="79"/>
      <c r="AT5" s="71">
        <f>IF(OR(FormFields[[#This Row],[Colspan]]="",FormFields[[#This Row],[Colspan]]="colspan"),0,1)</f>
        <v>0</v>
      </c>
      <c r="AU5" s="71" t="str">
        <f>'Table Seed Map'!$A$19&amp;"-"&amp;FormFields[[#This Row],[NO8]]</f>
        <v>Form Layout-0</v>
      </c>
      <c r="AV5" s="71">
        <f>COUNTIF($AT$1:FormFields[[#This Row],[Exists FL]],1)</f>
        <v>0</v>
      </c>
      <c r="AW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1">
        <f>FormFields[Form]</f>
        <v>800901</v>
      </c>
      <c r="AY5" s="71">
        <f>IF(FormFields[[#This Row],[ID]]="id","form_field",FormFields[[#This Row],[ID]])</f>
        <v>801003</v>
      </c>
      <c r="AZ5" s="80"/>
      <c r="BA5" s="58">
        <f>FormFields[[#This Row],[ID]]</f>
        <v>801003</v>
      </c>
      <c r="BC5" s="63" t="s">
        <v>906</v>
      </c>
      <c r="BD5" s="62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801303</v>
      </c>
      <c r="BF5" s="58">
        <f>IFERROR(VLOOKUP(FieldAttrs[ATTR Field],FormFields[[Field Name]:[ID]],2,0),"form_field")</f>
        <v>801003</v>
      </c>
      <c r="BG5" s="58" t="s">
        <v>904</v>
      </c>
      <c r="BH5" s="58">
        <v>4</v>
      </c>
      <c r="BJ5" s="63" t="s">
        <v>922</v>
      </c>
      <c r="BK5" s="63">
        <f>COUNTA($BJ$2:FieldValidations[[#This Row],[Validation Field]])</f>
        <v>3</v>
      </c>
      <c r="BL5" s="62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801503</v>
      </c>
      <c r="BN5" s="60">
        <f>VLOOKUP(FieldValidations[Validation Field],FormFields[[Field Name]:[ID]],2,0)</f>
        <v>801005</v>
      </c>
      <c r="BO5" s="65" t="s">
        <v>941</v>
      </c>
      <c r="BP5" s="65" t="s">
        <v>936</v>
      </c>
      <c r="BQ5" s="65"/>
      <c r="BR5" s="65"/>
      <c r="BS5" s="65"/>
    </row>
    <row r="6" spans="1:149" x14ac:dyDescent="0.25">
      <c r="A6" s="15" t="str">
        <f>'Table Seed Map'!$A$11&amp;"-"&amp;(COUNTA($F$1:ResourceForms[[#This Row],[Resource]])-2)</f>
        <v>Resource Forms-4</v>
      </c>
      <c r="B6" s="15" t="str">
        <f>ResourceForms[[#This Row],[Resource Name]]&amp;"/"&amp;ResourceForms[[#This Row],[Name]]</f>
        <v>PartnerTask/TaskCompleteDescription</v>
      </c>
      <c r="C6" s="15">
        <f>COUNTA($A$1:ResourceForms[[#This Row],[Primary]])-2</f>
        <v>4</v>
      </c>
      <c r="D6" s="13" t="s">
        <v>846</v>
      </c>
      <c r="E6" s="60">
        <f>IF(ResourceForms[[#This Row],[No]]=0,"id",ResourceForms[[#This Row],[No]]+IF(ISNUMBER(VLOOKUP('Table Seed Map'!$A$11,SeedMap[],9,0)),VLOOKUP('Table Seed Map'!$A$11,SeedMap[],9,0),0))</f>
        <v>800904</v>
      </c>
      <c r="F6" s="15">
        <f>IFERROR(VLOOKUP(ResourceForms[[#This Row],[Resource Name]],ResourceTable[[RName]:[No]],3,0),"resource")</f>
        <v>800507</v>
      </c>
      <c r="G6" s="6" t="s">
        <v>1013</v>
      </c>
      <c r="H6" s="15" t="s">
        <v>1014</v>
      </c>
      <c r="I6" s="6" t="s">
        <v>1015</v>
      </c>
      <c r="J6" s="6" t="s">
        <v>1015</v>
      </c>
      <c r="K6" s="3">
        <f>ResourceForms[ID]</f>
        <v>800904</v>
      </c>
      <c r="M6" s="70" t="str">
        <f>'Table Seed Map'!$A$12&amp;"-"&amp;FormFields[[#This Row],[No]]</f>
        <v>Form Fields-4</v>
      </c>
      <c r="N6" s="59" t="s">
        <v>918</v>
      </c>
      <c r="O6" s="71">
        <f>COUNTA($N$1:FormFields[[#This Row],[Form Name]])-1</f>
        <v>4</v>
      </c>
      <c r="P6" s="70" t="str">
        <f>FormFields[[#This Row],[Form Name]]&amp;"/"&amp;FormFields[[#This Row],[Name]]</f>
        <v>Partner/CreatePartner/name</v>
      </c>
      <c r="Q6" s="71">
        <f>IF(FormFields[[#This Row],[No]]=0,"id",FormFields[[#This Row],[No]]+IF(ISNUMBER(VLOOKUP('Table Seed Map'!$A$12,SeedMap[],9,0)),VLOOKUP('Table Seed Map'!$A$12,SeedMap[],9,0),0))</f>
        <v>801004</v>
      </c>
      <c r="R6" s="72">
        <f>IFERROR(VLOOKUP(FormFields[[#This Row],[Form Name]],ResourceForms[[FormName]:[ID]],4,0),"resource_form")</f>
        <v>800902</v>
      </c>
      <c r="S6" s="73" t="s">
        <v>23</v>
      </c>
      <c r="T6" s="73" t="s">
        <v>897</v>
      </c>
      <c r="U6" s="73" t="s">
        <v>1</v>
      </c>
      <c r="V6" s="74"/>
      <c r="W6" s="74"/>
      <c r="X6" s="74"/>
      <c r="Y6" s="74"/>
      <c r="Z6" s="75" t="str">
        <f>'Table Seed Map'!$A$13&amp;"-"&amp;FormFields[[#This Row],[NO2]]</f>
        <v>Field Data-4</v>
      </c>
      <c r="AA6" s="76">
        <f>COUNTIFS($AB$1:FormFields[[#This Row],[Exists]],1)-1</f>
        <v>4</v>
      </c>
      <c r="AB6" s="76">
        <f>IF(AND(FormFields[[#This Row],[Attribute]]="",FormFields[[#This Row],[Rel]]=""),0,1)</f>
        <v>1</v>
      </c>
      <c r="AC6" s="76">
        <f>IF(FormFields[[#This Row],[NO2]]=0,"id",FormFields[[#This Row],[NO2]]+IF(ISNUMBER(VLOOKUP('Table Seed Map'!$A$13,SeedMap[],9,0)),VLOOKUP('Table Seed Map'!$A$13,SeedMap[],9,0),0))</f>
        <v>801104</v>
      </c>
      <c r="AD6" s="77">
        <f>IF(FormFields[[#This Row],[ID]]="id","form_field",FormFields[[#This Row],[ID]])</f>
        <v>801004</v>
      </c>
      <c r="AE6" s="76" t="str">
        <f>IF(FormFields[[#This Row],[No]]=0,"attribute",FormFields[[#This Row],[Name]])</f>
        <v>name</v>
      </c>
      <c r="AF6" s="78" t="str">
        <f>IF(FormFields[[#This Row],[NO2]]=0,"relation",IF(FormFields[[#This Row],[Rel]]="","",VLOOKUP(FormFields[[#This Row],[Rel]],RelationTable[[Display]:[RELID]],2,0)))</f>
        <v/>
      </c>
      <c r="AG6" s="78" t="str">
        <f>IF(FormFields[[#This Row],[NO2]]=0,"nest_relation1",IF(FormFields[[#This Row],[Rel1]]="","",VLOOKUP(FormFields[[#This Row],[Rel1]],RelationTable[[Display]:[RELID]],2,0)))</f>
        <v/>
      </c>
      <c r="AH6" s="78" t="str">
        <f>IF(FormFields[[#This Row],[NO2]]=0,"nest_relation2",IF(FormFields[[#This Row],[Rel2]]="","",VLOOKUP(FormFields[[#This Row],[Rel2]],RelationTable[[Display]:[RELID]],2,0)))</f>
        <v/>
      </c>
      <c r="AI6" s="78" t="str">
        <f>IF(FormFields[[#This Row],[NO2]]=0,"nest_relation3",IF(FormFields[[#This Row],[Rel3]]="","",VLOOKUP(FormFields[[#This Row],[Rel3]],RelationTable[[Display]:[RELID]],2,0)))</f>
        <v/>
      </c>
      <c r="AJ6" s="71">
        <f>IF(OR(FormFields[[#This Row],[Option Type]]="",FormFields[[#This Row],[Option Type]]="type"),0,1)</f>
        <v>0</v>
      </c>
      <c r="AK6" s="71" t="str">
        <f>'Table Seed Map'!$A$14&amp;"-"&amp;FormFields[[#This Row],[NO4]]</f>
        <v>Field Options-1</v>
      </c>
      <c r="AL6" s="71">
        <f>COUNTIF($AJ$2:FormFields[[#This Row],[Exists FO]],1)</f>
        <v>1</v>
      </c>
      <c r="AM6" s="71">
        <f>IF(FormFields[[#This Row],[NO4]]=0,"id",FormFields[[#This Row],[NO4]]+IF(ISNUMBER(VLOOKUP('Table Seed Map'!$A$14,SeedMap[],9,0)),VLOOKUP('Table Seed Map'!$A$14,SeedMap[],9,0),0))</f>
        <v>801201</v>
      </c>
      <c r="AN6" s="58">
        <f>IF(FormFields[[#This Row],[ID]]="id","form_field",FormFields[[#This Row],[ID]])</f>
        <v>801004</v>
      </c>
      <c r="AO6" s="79"/>
      <c r="AP6" s="79"/>
      <c r="AQ6" s="79"/>
      <c r="AR6" s="79"/>
      <c r="AS6" s="79"/>
      <c r="AT6" s="71">
        <f>IF(OR(FormFields[[#This Row],[Colspan]]="",FormFields[[#This Row],[Colspan]]="colspan"),0,1)</f>
        <v>0</v>
      </c>
      <c r="AU6" s="71" t="str">
        <f>'Table Seed Map'!$A$19&amp;"-"&amp;FormFields[[#This Row],[NO8]]</f>
        <v>Form Layout-0</v>
      </c>
      <c r="AV6" s="71">
        <f>COUNTIF($AT$1:FormFields[[#This Row],[Exists FL]],1)</f>
        <v>0</v>
      </c>
      <c r="AW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1">
        <f>FormFields[Form]</f>
        <v>800902</v>
      </c>
      <c r="AY6" s="71">
        <f>IF(FormFields[[#This Row],[ID]]="id","form_field",FormFields[[#This Row],[ID]])</f>
        <v>801004</v>
      </c>
      <c r="AZ6" s="80"/>
      <c r="BA6" s="58">
        <f>FormFields[[#This Row],[ID]]</f>
        <v>801004</v>
      </c>
      <c r="BC6" s="63" t="s">
        <v>921</v>
      </c>
      <c r="BD6" s="62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801304</v>
      </c>
      <c r="BF6" s="58">
        <f>IFERROR(VLOOKUP(FieldAttrs[ATTR Field],FormFields[[Field Name]:[ID]],2,0),"form_field")</f>
        <v>801004</v>
      </c>
      <c r="BG6" s="58" t="s">
        <v>904</v>
      </c>
      <c r="BH6" s="58">
        <v>4</v>
      </c>
      <c r="BJ6" s="63" t="s">
        <v>922</v>
      </c>
      <c r="BK6" s="63">
        <f>COUNTA($BJ$2:FieldValidations[[#This Row],[Validation Field]])</f>
        <v>4</v>
      </c>
      <c r="BL6" s="62" t="str">
        <f>'Table Seed Map'!$A$17&amp;"-"&amp;FieldValidations[[#This Row],[ID No]]</f>
        <v>Field Validations-4</v>
      </c>
      <c r="BM6" s="60">
        <f>IF(FieldValidations[[#This Row],[ID No]]=0,"id",FieldValidations[[#This Row],[ID No]]+VLOOKUP('Table Seed Map'!$A$17,SeedMap[],9,0))</f>
        <v>801504</v>
      </c>
      <c r="BN6" s="60">
        <f>VLOOKUP(FieldValidations[Validation Field],FormFields[[Field Name]:[ID]],2,0)</f>
        <v>801005</v>
      </c>
      <c r="BO6" s="65" t="s">
        <v>938</v>
      </c>
      <c r="BP6" s="65" t="s">
        <v>939</v>
      </c>
      <c r="BQ6" s="65" t="s">
        <v>75</v>
      </c>
      <c r="BR6" s="65" t="s">
        <v>854</v>
      </c>
      <c r="BS6" s="65" t="s">
        <v>940</v>
      </c>
    </row>
    <row r="7" spans="1:149" x14ac:dyDescent="0.25">
      <c r="A7" s="60" t="str">
        <f>'Table Seed Map'!$A$11&amp;"-"&amp;(COUNTA($F$1:ResourceForms[[#This Row],[Resource]])-2)</f>
        <v>Resource Forms-5</v>
      </c>
      <c r="B7" s="60" t="str">
        <f>ResourceForms[[#This Row],[Resource Name]]&amp;"/"&amp;ResourceForms[[#This Row],[Name]]</f>
        <v>PartnerTask/TaskCompleteAttachment</v>
      </c>
      <c r="C7" s="60">
        <f>COUNTA($A$1:ResourceForms[[#This Row],[Primary]])-2</f>
        <v>5</v>
      </c>
      <c r="D7" s="65" t="s">
        <v>846</v>
      </c>
      <c r="E7" s="60">
        <f>IF(ResourceForms[[#This Row],[No]]=0,"id",ResourceForms[[#This Row],[No]]+IF(ISNUMBER(VLOOKUP('Table Seed Map'!$A$11,SeedMap[],9,0)),VLOOKUP('Table Seed Map'!$A$11,SeedMap[],9,0),0))</f>
        <v>800905</v>
      </c>
      <c r="F7" s="60">
        <f>IFERROR(VLOOKUP(ResourceForms[[#This Row],[Resource Name]],ResourceTable[[RName]:[No]],3,0),"resource")</f>
        <v>800507</v>
      </c>
      <c r="G7" s="6" t="s">
        <v>1031</v>
      </c>
      <c r="H7" s="15" t="s">
        <v>1032</v>
      </c>
      <c r="I7" s="6" t="s">
        <v>1015</v>
      </c>
      <c r="J7" s="6" t="s">
        <v>1015</v>
      </c>
      <c r="K7" s="64">
        <f>ResourceForms[ID]</f>
        <v>800905</v>
      </c>
      <c r="M7" s="70" t="str">
        <f>'Table Seed Map'!$A$12&amp;"-"&amp;FormFields[[#This Row],[No]]</f>
        <v>Form Fields-5</v>
      </c>
      <c r="N7" s="59" t="s">
        <v>918</v>
      </c>
      <c r="O7" s="71">
        <f>COUNTA($N$1:FormFields[[#This Row],[Form Name]])-1</f>
        <v>5</v>
      </c>
      <c r="P7" s="70" t="str">
        <f>FormFields[[#This Row],[Form Name]]&amp;"/"&amp;FormFields[[#This Row],[Name]]</f>
        <v>Partner/CreatePartner/email</v>
      </c>
      <c r="Q7" s="71">
        <f>IF(FormFields[[#This Row],[No]]=0,"id",FormFields[[#This Row],[No]]+IF(ISNUMBER(VLOOKUP('Table Seed Map'!$A$12,SeedMap[],9,0)),VLOOKUP('Table Seed Map'!$A$12,SeedMap[],9,0),0))</f>
        <v>801005</v>
      </c>
      <c r="R7" s="72">
        <f>IFERROR(VLOOKUP(FormFields[[#This Row],[Form Name]],ResourceForms[[FormName]:[ID]],4,0),"resource_form")</f>
        <v>800902</v>
      </c>
      <c r="S7" s="73" t="s">
        <v>854</v>
      </c>
      <c r="T7" s="73" t="s">
        <v>897</v>
      </c>
      <c r="U7" s="73" t="s">
        <v>919</v>
      </c>
      <c r="V7" s="74"/>
      <c r="W7" s="74"/>
      <c r="X7" s="74"/>
      <c r="Y7" s="74"/>
      <c r="Z7" s="75" t="str">
        <f>'Table Seed Map'!$A$13&amp;"-"&amp;FormFields[[#This Row],[NO2]]</f>
        <v>Field Data-5</v>
      </c>
      <c r="AA7" s="76">
        <f>COUNTIFS($AB$1:FormFields[[#This Row],[Exists]],1)-1</f>
        <v>5</v>
      </c>
      <c r="AB7" s="76">
        <f>IF(AND(FormFields[[#This Row],[Attribute]]="",FormFields[[#This Row],[Rel]]=""),0,1)</f>
        <v>1</v>
      </c>
      <c r="AC7" s="76">
        <f>IF(FormFields[[#This Row],[NO2]]=0,"id",FormFields[[#This Row],[NO2]]+IF(ISNUMBER(VLOOKUP('Table Seed Map'!$A$13,SeedMap[],9,0)),VLOOKUP('Table Seed Map'!$A$13,SeedMap[],9,0),0))</f>
        <v>801105</v>
      </c>
      <c r="AD7" s="77">
        <f>IF(FormFields[[#This Row],[ID]]="id","form_field",FormFields[[#This Row],[ID]])</f>
        <v>801005</v>
      </c>
      <c r="AE7" s="76" t="str">
        <f>IF(FormFields[[#This Row],[No]]=0,"attribute",FormFields[[#This Row],[Name]])</f>
        <v>email</v>
      </c>
      <c r="AF7" s="78" t="str">
        <f>IF(FormFields[[#This Row],[NO2]]=0,"relation",IF(FormFields[[#This Row],[Rel]]="","",VLOOKUP(FormFields[[#This Row],[Rel]],RelationTable[[Display]:[RELID]],2,0)))</f>
        <v/>
      </c>
      <c r="AG7" s="78" t="str">
        <f>IF(FormFields[[#This Row],[NO2]]=0,"nest_relation1",IF(FormFields[[#This Row],[Rel1]]="","",VLOOKUP(FormFields[[#This Row],[Rel1]],RelationTable[[Display]:[RELID]],2,0)))</f>
        <v/>
      </c>
      <c r="AH7" s="78" t="str">
        <f>IF(FormFields[[#This Row],[NO2]]=0,"nest_relation2",IF(FormFields[[#This Row],[Rel2]]="","",VLOOKUP(FormFields[[#This Row],[Rel2]],RelationTable[[Display]:[RELID]],2,0)))</f>
        <v/>
      </c>
      <c r="AI7" s="78" t="str">
        <f>IF(FormFields[[#This Row],[NO2]]=0,"nest_relation3",IF(FormFields[[#This Row],[Rel3]]="","",VLOOKUP(FormFields[[#This Row],[Rel3]],RelationTable[[Display]:[RELID]],2,0)))</f>
        <v/>
      </c>
      <c r="AJ7" s="71">
        <f>IF(OR(FormFields[[#This Row],[Option Type]]="",FormFields[[#This Row],[Option Type]]="type"),0,1)</f>
        <v>0</v>
      </c>
      <c r="AK7" s="71" t="str">
        <f>'Table Seed Map'!$A$14&amp;"-"&amp;FormFields[[#This Row],[NO4]]</f>
        <v>Field Options-1</v>
      </c>
      <c r="AL7" s="71">
        <f>COUNTIF($AJ$2:FormFields[[#This Row],[Exists FO]],1)</f>
        <v>1</v>
      </c>
      <c r="AM7" s="71">
        <f>IF(FormFields[[#This Row],[NO4]]=0,"id",FormFields[[#This Row],[NO4]]+IF(ISNUMBER(VLOOKUP('Table Seed Map'!$A$14,SeedMap[],9,0)),VLOOKUP('Table Seed Map'!$A$14,SeedMap[],9,0),0))</f>
        <v>801201</v>
      </c>
      <c r="AN7" s="58">
        <f>IF(FormFields[[#This Row],[ID]]="id","form_field",FormFields[[#This Row],[ID]])</f>
        <v>801005</v>
      </c>
      <c r="AO7" s="79"/>
      <c r="AP7" s="79"/>
      <c r="AQ7" s="79"/>
      <c r="AR7" s="79"/>
      <c r="AS7" s="79"/>
      <c r="AT7" s="71">
        <f>IF(OR(FormFields[[#This Row],[Colspan]]="",FormFields[[#This Row],[Colspan]]="colspan"),0,1)</f>
        <v>0</v>
      </c>
      <c r="AU7" s="71" t="str">
        <f>'Table Seed Map'!$A$19&amp;"-"&amp;FormFields[[#This Row],[NO8]]</f>
        <v>Form Layout-0</v>
      </c>
      <c r="AV7" s="71">
        <f>COUNTIF($AT$1:FormFields[[#This Row],[Exists FL]],1)</f>
        <v>0</v>
      </c>
      <c r="AW7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7" s="71">
        <f>FormFields[Form]</f>
        <v>800902</v>
      </c>
      <c r="AY7" s="71">
        <f>IF(FormFields[[#This Row],[ID]]="id","form_field",FormFields[[#This Row],[ID]])</f>
        <v>801005</v>
      </c>
      <c r="AZ7" s="80"/>
      <c r="BA7" s="58">
        <f>FormFields[[#This Row],[ID]]</f>
        <v>801005</v>
      </c>
      <c r="BC7" s="63" t="s">
        <v>922</v>
      </c>
      <c r="BD7" s="62" t="str">
        <f>'Table Seed Map'!$A$15&amp;"-"&amp;(-1+COUNTA($BC$1:FieldAttrs[[#This Row],[ATTR Field]]))</f>
        <v>Field Attrs-5</v>
      </c>
      <c r="BE7" s="60">
        <f>IF(FieldAttrs[[#This Row],[ATTR Field]]="","id",-1+COUNTA($BC$1:FieldAttrs[[#This Row],[ATTR Field]])+VLOOKUP('Table Seed Map'!$A$15,SeedMap[],9,0))</f>
        <v>801305</v>
      </c>
      <c r="BF7" s="58">
        <f>IFERROR(VLOOKUP(FieldAttrs[ATTR Field],FormFields[[Field Name]:[ID]],2,0),"form_field")</f>
        <v>801005</v>
      </c>
      <c r="BG7" s="58" t="s">
        <v>904</v>
      </c>
      <c r="BH7" s="58">
        <v>4</v>
      </c>
      <c r="BJ7" s="63" t="s">
        <v>923</v>
      </c>
      <c r="BK7" s="63">
        <f>COUNTA($BJ$2:FieldValidations[[#This Row],[Validation Field]])</f>
        <v>5</v>
      </c>
      <c r="BL7" s="62" t="str">
        <f>'Table Seed Map'!$A$17&amp;"-"&amp;FieldValidations[[#This Row],[ID No]]</f>
        <v>Field Validations-5</v>
      </c>
      <c r="BM7" s="60">
        <f>IF(FieldValidations[[#This Row],[ID No]]=0,"id",FieldValidations[[#This Row],[ID No]]+VLOOKUP('Table Seed Map'!$A$17,SeedMap[],9,0))</f>
        <v>801505</v>
      </c>
      <c r="BN7" s="60">
        <f>VLOOKUP(FieldValidations[Validation Field],FormFields[[Field Name]:[ID]],2,0)</f>
        <v>801006</v>
      </c>
      <c r="BO7" s="65" t="s">
        <v>941</v>
      </c>
      <c r="BP7" s="65" t="s">
        <v>937</v>
      </c>
      <c r="BQ7" s="65"/>
      <c r="BR7" s="65"/>
      <c r="BS7" s="65"/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PartnerTask/TaskDismissForm</v>
      </c>
      <c r="C8" s="60">
        <f>COUNTA($A$1:ResourceForms[[#This Row],[Primary]])-2</f>
        <v>6</v>
      </c>
      <c r="D8" s="65" t="s">
        <v>846</v>
      </c>
      <c r="E8" s="60">
        <f>IF(ResourceForms[[#This Row],[No]]=0,"id",ResourceForms[[#This Row],[No]]+IF(ISNUMBER(VLOOKUP('Table Seed Map'!$A$11,SeedMap[],9,0)),VLOOKUP('Table Seed Map'!$A$11,SeedMap[],9,0),0))</f>
        <v>800906</v>
      </c>
      <c r="F8" s="60">
        <f>IFERROR(VLOOKUP(ResourceForms[[#This Row],[Resource Name]],ResourceTable[[RName]:[No]],3,0),"resource")</f>
        <v>800507</v>
      </c>
      <c r="G8" s="6" t="s">
        <v>1079</v>
      </c>
      <c r="H8" s="60" t="s">
        <v>1080</v>
      </c>
      <c r="I8" s="62" t="s">
        <v>1081</v>
      </c>
      <c r="J8" s="62" t="s">
        <v>1081</v>
      </c>
      <c r="K8" s="64">
        <f>ResourceForms[ID]</f>
        <v>800906</v>
      </c>
      <c r="M8" s="70" t="str">
        <f>'Table Seed Map'!$A$12&amp;"-"&amp;FormFields[[#This Row],[No]]</f>
        <v>Form Fields-6</v>
      </c>
      <c r="N8" s="59" t="s">
        <v>918</v>
      </c>
      <c r="O8" s="71">
        <f>COUNTA($N$1:FormFields[[#This Row],[Form Name]])-1</f>
        <v>6</v>
      </c>
      <c r="P8" s="70" t="str">
        <f>FormFields[[#This Row],[Form Name]]&amp;"/"&amp;FormFields[[#This Row],[Name]]</f>
        <v>Partner/CreatePartner/password</v>
      </c>
      <c r="Q8" s="71">
        <f>IF(FormFields[[#This Row],[No]]=0,"id",FormFields[[#This Row],[No]]+IF(ISNUMBER(VLOOKUP('Table Seed Map'!$A$12,SeedMap[],9,0)),VLOOKUP('Table Seed Map'!$A$12,SeedMap[],9,0),0))</f>
        <v>801006</v>
      </c>
      <c r="R8" s="72">
        <f>IFERROR(VLOOKUP(FormFields[[#This Row],[Form Name]],ResourceForms[[FormName]:[ID]],4,0),"resource_form")</f>
        <v>800902</v>
      </c>
      <c r="S8" s="73" t="s">
        <v>855</v>
      </c>
      <c r="T8" s="73" t="s">
        <v>855</v>
      </c>
      <c r="U8" s="73" t="s">
        <v>920</v>
      </c>
      <c r="V8" s="74"/>
      <c r="W8" s="74"/>
      <c r="X8" s="74"/>
      <c r="Y8" s="74"/>
      <c r="Z8" s="75" t="str">
        <f>'Table Seed Map'!$A$13&amp;"-"&amp;FormFields[[#This Row],[NO2]]</f>
        <v>Field Data-6</v>
      </c>
      <c r="AA8" s="76">
        <f>COUNTIFS($AB$1:FormFields[[#This Row],[Exists]],1)-1</f>
        <v>6</v>
      </c>
      <c r="AB8" s="76">
        <f>IF(AND(FormFields[[#This Row],[Attribute]]="",FormFields[[#This Row],[Rel]]=""),0,1)</f>
        <v>1</v>
      </c>
      <c r="AC8" s="76">
        <f>IF(FormFields[[#This Row],[NO2]]=0,"id",FormFields[[#This Row],[NO2]]+IF(ISNUMBER(VLOOKUP('Table Seed Map'!$A$13,SeedMap[],9,0)),VLOOKUP('Table Seed Map'!$A$13,SeedMap[],9,0),0))</f>
        <v>801106</v>
      </c>
      <c r="AD8" s="77">
        <f>IF(FormFields[[#This Row],[ID]]="id","form_field",FormFields[[#This Row],[ID]])</f>
        <v>801006</v>
      </c>
      <c r="AE8" s="76" t="str">
        <f>IF(FormFields[[#This Row],[No]]=0,"attribute",FormFields[[#This Row],[Name]])</f>
        <v>password</v>
      </c>
      <c r="AF8" s="78" t="str">
        <f>IF(FormFields[[#This Row],[NO2]]=0,"relation",IF(FormFields[[#This Row],[Rel]]="","",VLOOKUP(FormFields[[#This Row],[Rel]],RelationTable[[Display]:[RELID]],2,0)))</f>
        <v/>
      </c>
      <c r="AG8" s="78" t="str">
        <f>IF(FormFields[[#This Row],[NO2]]=0,"nest_relation1",IF(FormFields[[#This Row],[Rel1]]="","",VLOOKUP(FormFields[[#This Row],[Rel1]],RelationTable[[Display]:[RELID]],2,0)))</f>
        <v/>
      </c>
      <c r="AH8" s="78" t="str">
        <f>IF(FormFields[[#This Row],[NO2]]=0,"nest_relation2",IF(FormFields[[#This Row],[Rel2]]="","",VLOOKUP(FormFields[[#This Row],[Rel2]],RelationTable[[Display]:[RELID]],2,0)))</f>
        <v/>
      </c>
      <c r="AI8" s="78" t="str">
        <f>IF(FormFields[[#This Row],[NO2]]=0,"nest_relation3",IF(FormFields[[#This Row],[Rel3]]="","",VLOOKUP(FormFields[[#This Row],[Rel3]],RelationTable[[Display]:[RELID]],2,0)))</f>
        <v/>
      </c>
      <c r="AJ8" s="71">
        <f>IF(OR(FormFields[[#This Row],[Option Type]]="",FormFields[[#This Row],[Option Type]]="type"),0,1)</f>
        <v>0</v>
      </c>
      <c r="AK8" s="71" t="str">
        <f>'Table Seed Map'!$A$14&amp;"-"&amp;FormFields[[#This Row],[NO4]]</f>
        <v>Field Options-1</v>
      </c>
      <c r="AL8" s="71">
        <f>COUNTIF($AJ$2:FormFields[[#This Row],[Exists FO]],1)</f>
        <v>1</v>
      </c>
      <c r="AM8" s="71">
        <f>IF(FormFields[[#This Row],[NO4]]=0,"id",FormFields[[#This Row],[NO4]]+IF(ISNUMBER(VLOOKUP('Table Seed Map'!$A$14,SeedMap[],9,0)),VLOOKUP('Table Seed Map'!$A$14,SeedMap[],9,0),0))</f>
        <v>801201</v>
      </c>
      <c r="AN8" s="58">
        <f>IF(FormFields[[#This Row],[ID]]="id","form_field",FormFields[[#This Row],[ID]])</f>
        <v>801006</v>
      </c>
      <c r="AO8" s="79"/>
      <c r="AP8" s="79"/>
      <c r="AQ8" s="79"/>
      <c r="AR8" s="79"/>
      <c r="AS8" s="79"/>
      <c r="AT8" s="71">
        <f>IF(OR(FormFields[[#This Row],[Colspan]]="",FormFields[[#This Row],[Colspan]]="colspan"),0,1)</f>
        <v>0</v>
      </c>
      <c r="AU8" s="71" t="str">
        <f>'Table Seed Map'!$A$19&amp;"-"&amp;FormFields[[#This Row],[NO8]]</f>
        <v>Form Layout-0</v>
      </c>
      <c r="AV8" s="71">
        <f>COUNTIF($AT$1:FormFields[[#This Row],[Exists FL]],1)</f>
        <v>0</v>
      </c>
      <c r="AW8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8" s="71">
        <f>FormFields[Form]</f>
        <v>800902</v>
      </c>
      <c r="AY8" s="71">
        <f>IF(FormFields[[#This Row],[ID]]="id","form_field",FormFields[[#This Row],[ID]])</f>
        <v>801006</v>
      </c>
      <c r="AZ8" s="80"/>
      <c r="BA8" s="58">
        <f>FormFields[[#This Row],[ID]]</f>
        <v>801006</v>
      </c>
      <c r="BC8" s="63" t="s">
        <v>923</v>
      </c>
      <c r="BD8" s="62" t="str">
        <f>'Table Seed Map'!$A$15&amp;"-"&amp;(-1+COUNTA($BC$1:FieldAttrs[[#This Row],[ATTR Field]]))</f>
        <v>Field Attrs-6</v>
      </c>
      <c r="BE8" s="60">
        <f>IF(FieldAttrs[[#This Row],[ATTR Field]]="","id",-1+COUNTA($BC$1:FieldAttrs[[#This Row],[ATTR Field]])+VLOOKUP('Table Seed Map'!$A$15,SeedMap[],9,0))</f>
        <v>801306</v>
      </c>
      <c r="BF8" s="58">
        <f>IFERROR(VLOOKUP(FieldAttrs[ATTR Field],FormFields[[Field Name]:[ID]],2,0),"form_field")</f>
        <v>801006</v>
      </c>
      <c r="BG8" s="58" t="s">
        <v>904</v>
      </c>
      <c r="BH8" s="58">
        <v>4</v>
      </c>
      <c r="BJ8" s="63" t="s">
        <v>957</v>
      </c>
      <c r="BK8" s="63">
        <f>COUNTA($BJ$2:FieldValidations[[#This Row],[Validation Field]])</f>
        <v>6</v>
      </c>
      <c r="BL8" s="62" t="str">
        <f>'Table Seed Map'!$A$17&amp;"-"&amp;FieldValidations[[#This Row],[ID No]]</f>
        <v>Field Validations-6</v>
      </c>
      <c r="BM8" s="60">
        <f>IF(FieldValidations[[#This Row],[ID No]]=0,"id",FieldValidations[[#This Row],[ID No]]+VLOOKUP('Table Seed Map'!$A$17,SeedMap[],9,0))</f>
        <v>801506</v>
      </c>
      <c r="BN8" s="60">
        <f>VLOOKUP(FieldValidations[Validation Field],FormFields[[Field Name]:[ID]],2,0)</f>
        <v>801007</v>
      </c>
      <c r="BO8" s="65" t="s">
        <v>941</v>
      </c>
      <c r="BP8" s="65" t="s">
        <v>935</v>
      </c>
      <c r="BQ8" s="65"/>
      <c r="BR8" s="65"/>
      <c r="BS8" s="65"/>
    </row>
    <row r="9" spans="1:149" x14ac:dyDescent="0.25">
      <c r="A9" s="60" t="str">
        <f>'Table Seed Map'!$A$11&amp;"-"&amp;(COUNTA($F$1:ResourceForms[[#This Row],[Resource]])-2)</f>
        <v>Resource Forms-7</v>
      </c>
      <c r="B9" s="60" t="str">
        <f>ResourceForms[[#This Row],[Resource Name]]&amp;"/"&amp;ResourceForms[[#This Row],[Name]]</f>
        <v>Category/CreateCategory</v>
      </c>
      <c r="C9" s="60">
        <f>COUNTA($A$1:ResourceForms[[#This Row],[Primary]])-2</f>
        <v>7</v>
      </c>
      <c r="D9" s="65" t="s">
        <v>1126</v>
      </c>
      <c r="E9" s="60">
        <f>IF(ResourceForms[[#This Row],[No]]=0,"id",ResourceForms[[#This Row],[No]]+IF(ISNUMBER(VLOOKUP('Table Seed Map'!$A$11,SeedMap[],9,0)),VLOOKUP('Table Seed Map'!$A$11,SeedMap[],9,0),0))</f>
        <v>800907</v>
      </c>
      <c r="F9" s="60">
        <f>IFERROR(VLOOKUP(ResourceForms[[#This Row],[Resource Name]],ResourceTable[[RName]:[No]],3,0),"resource")</f>
        <v>800503</v>
      </c>
      <c r="G9" s="62" t="s">
        <v>1129</v>
      </c>
      <c r="H9" s="60" t="s">
        <v>1130</v>
      </c>
      <c r="I9" s="62" t="s">
        <v>1126</v>
      </c>
      <c r="J9" s="62" t="s">
        <v>895</v>
      </c>
      <c r="K9" s="64">
        <f>ResourceForms[ID]</f>
        <v>800907</v>
      </c>
      <c r="M9" s="70" t="str">
        <f>'Table Seed Map'!$A$12&amp;"-"&amp;FormFields[[#This Row],[No]]</f>
        <v>Form Fields-7</v>
      </c>
      <c r="N9" s="59" t="s">
        <v>955</v>
      </c>
      <c r="O9" s="71">
        <f>COUNTA($N$1:FormFields[[#This Row],[Form Name]])-1</f>
        <v>7</v>
      </c>
      <c r="P9" s="70" t="str">
        <f>FormFields[[#This Row],[Form Name]]&amp;"/"&amp;FormFields[[#This Row],[Name]]</f>
        <v>Task/CreateTask/name</v>
      </c>
      <c r="Q9" s="71">
        <f>IF(FormFields[[#This Row],[No]]=0,"id",FormFields[[#This Row],[No]]+IF(ISNUMBER(VLOOKUP('Table Seed Map'!$A$12,SeedMap[],9,0)),VLOOKUP('Table Seed Map'!$A$12,SeedMap[],9,0),0))</f>
        <v>801007</v>
      </c>
      <c r="R9" s="72">
        <f>IFERROR(VLOOKUP(FormFields[[#This Row],[Form Name]],ResourceForms[[FormName]:[ID]],4,0),"resource_form")</f>
        <v>800903</v>
      </c>
      <c r="S9" s="73" t="s">
        <v>23</v>
      </c>
      <c r="T9" s="73" t="s">
        <v>897</v>
      </c>
      <c r="U9" s="73" t="s">
        <v>956</v>
      </c>
      <c r="V9" s="74"/>
      <c r="W9" s="74"/>
      <c r="X9" s="74"/>
      <c r="Y9" s="74"/>
      <c r="Z9" s="75" t="str">
        <f>'Table Seed Map'!$A$13&amp;"-"&amp;FormFields[[#This Row],[NO2]]</f>
        <v>Field Data-7</v>
      </c>
      <c r="AA9" s="76">
        <f>COUNTIFS($AB$1:FormFields[[#This Row],[Exists]],1)-1</f>
        <v>7</v>
      </c>
      <c r="AB9" s="76">
        <f>IF(AND(FormFields[[#This Row],[Attribute]]="",FormFields[[#This Row],[Rel]]=""),0,1)</f>
        <v>1</v>
      </c>
      <c r="AC9" s="76">
        <f>IF(FormFields[[#This Row],[NO2]]=0,"id",FormFields[[#This Row],[NO2]]+IF(ISNUMBER(VLOOKUP('Table Seed Map'!$A$13,SeedMap[],9,0)),VLOOKUP('Table Seed Map'!$A$13,SeedMap[],9,0),0))</f>
        <v>801107</v>
      </c>
      <c r="AD9" s="77">
        <f>IF(FormFields[[#This Row],[ID]]="id","form_field",FormFields[[#This Row],[ID]])</f>
        <v>801007</v>
      </c>
      <c r="AE9" s="76" t="str">
        <f>IF(FormFields[[#This Row],[No]]=0,"attribute",FormFields[[#This Row],[Name]])</f>
        <v>name</v>
      </c>
      <c r="AF9" s="78" t="str">
        <f>IF(FormFields[[#This Row],[NO2]]=0,"relation",IF(FormFields[[#This Row],[Rel]]="","",VLOOKUP(FormFields[[#This Row],[Rel]],RelationTable[[Display]:[RELID]],2,0)))</f>
        <v/>
      </c>
      <c r="AG9" s="78" t="str">
        <f>IF(FormFields[[#This Row],[NO2]]=0,"nest_relation1",IF(FormFields[[#This Row],[Rel1]]="","",VLOOKUP(FormFields[[#This Row],[Rel1]],RelationTable[[Display]:[RELID]],2,0)))</f>
        <v/>
      </c>
      <c r="AH9" s="78" t="str">
        <f>IF(FormFields[[#This Row],[NO2]]=0,"nest_relation2",IF(FormFields[[#This Row],[Rel2]]="","",VLOOKUP(FormFields[[#This Row],[Rel2]],RelationTable[[Display]:[RELID]],2,0)))</f>
        <v/>
      </c>
      <c r="AI9" s="78" t="str">
        <f>IF(FormFields[[#This Row],[NO2]]=0,"nest_relation3",IF(FormFields[[#This Row],[Rel3]]="","",VLOOKUP(FormFields[[#This Row],[Rel3]],RelationTable[[Display]:[RELID]],2,0)))</f>
        <v/>
      </c>
      <c r="AJ9" s="71">
        <f>IF(OR(FormFields[[#This Row],[Option Type]]="",FormFields[[#This Row],[Option Type]]="type"),0,1)</f>
        <v>0</v>
      </c>
      <c r="AK9" s="71" t="str">
        <f>'Table Seed Map'!$A$14&amp;"-"&amp;FormFields[[#This Row],[NO4]]</f>
        <v>Field Options-1</v>
      </c>
      <c r="AL9" s="71">
        <f>COUNTIF($AJ$2:FormFields[[#This Row],[Exists FO]],1)</f>
        <v>1</v>
      </c>
      <c r="AM9" s="71">
        <f>IF(FormFields[[#This Row],[NO4]]=0,"id",FormFields[[#This Row],[NO4]]+IF(ISNUMBER(VLOOKUP('Table Seed Map'!$A$14,SeedMap[],9,0)),VLOOKUP('Table Seed Map'!$A$14,SeedMap[],9,0),0))</f>
        <v>801201</v>
      </c>
      <c r="AN9" s="58">
        <f>IF(FormFields[[#This Row],[ID]]="id","form_field",FormFields[[#This Row],[ID]])</f>
        <v>801007</v>
      </c>
      <c r="AO9" s="79"/>
      <c r="AP9" s="79"/>
      <c r="AQ9" s="79"/>
      <c r="AR9" s="79"/>
      <c r="AS9" s="79"/>
      <c r="AT9" s="71">
        <f>IF(OR(FormFields[[#This Row],[Colspan]]="",FormFields[[#This Row],[Colspan]]="colspan"),0,1)</f>
        <v>0</v>
      </c>
      <c r="AU9" s="71" t="str">
        <f>'Table Seed Map'!$A$19&amp;"-"&amp;FormFields[[#This Row],[NO8]]</f>
        <v>Form Layout-0</v>
      </c>
      <c r="AV9" s="71">
        <f>COUNTIF($AT$1:FormFields[[#This Row],[Exists FL]],1)</f>
        <v>0</v>
      </c>
      <c r="AW9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9" s="71">
        <f>FormFields[Form]</f>
        <v>800903</v>
      </c>
      <c r="AY9" s="71">
        <f>IF(FormFields[[#This Row],[ID]]="id","form_field",FormFields[[#This Row],[ID]])</f>
        <v>801007</v>
      </c>
      <c r="AZ9" s="80"/>
      <c r="BA9" s="58">
        <f>FormFields[[#This Row],[ID]]</f>
        <v>801007</v>
      </c>
      <c r="BC9" s="63" t="s">
        <v>957</v>
      </c>
      <c r="BD9" s="62" t="str">
        <f>'Table Seed Map'!$A$15&amp;"-"&amp;(-1+COUNTA($BC$1:FieldAttrs[[#This Row],[ATTR Field]]))</f>
        <v>Field Attrs-7</v>
      </c>
      <c r="BE9" s="60">
        <f>IF(FieldAttrs[[#This Row],[ATTR Field]]="","id",-1+COUNTA($BC$1:FieldAttrs[[#This Row],[ATTR Field]])+VLOOKUP('Table Seed Map'!$A$15,SeedMap[],9,0))</f>
        <v>801307</v>
      </c>
      <c r="BF9" s="58">
        <f>IFERROR(VLOOKUP(FieldAttrs[ATTR Field],FormFields[[Field Name]:[ID]],2,0),"form_field")</f>
        <v>801007</v>
      </c>
      <c r="BG9" s="58" t="s">
        <v>904</v>
      </c>
      <c r="BH9" s="58">
        <v>4</v>
      </c>
      <c r="BJ9" s="1" t="s">
        <v>1024</v>
      </c>
      <c r="BK9" s="1">
        <f>COUNTA($BJ$2:FieldValidations[[#This Row],[Validation Field]])</f>
        <v>7</v>
      </c>
      <c r="BL9" s="6" t="str">
        <f>'Table Seed Map'!$A$17&amp;"-"&amp;FieldValidations[[#This Row],[ID No]]</f>
        <v>Field Validations-7</v>
      </c>
      <c r="BM9" s="15">
        <f>IF(FieldValidations[[#This Row],[ID No]]=0,"id",FieldValidations[[#This Row],[ID No]]+VLOOKUP('Table Seed Map'!$A$17,SeedMap[],9,0))</f>
        <v>801507</v>
      </c>
      <c r="BN9" s="15">
        <f>VLOOKUP(FieldValidations[Validation Field],FormFields[[Field Name]:[ID]],2,0)</f>
        <v>801013</v>
      </c>
      <c r="BO9" s="13" t="s">
        <v>941</v>
      </c>
      <c r="BP9" s="13" t="s">
        <v>1025</v>
      </c>
      <c r="BQ9" s="13"/>
      <c r="BR9" s="13"/>
      <c r="BS9" s="13"/>
    </row>
    <row r="10" spans="1:149" x14ac:dyDescent="0.25">
      <c r="A10" s="15" t="str">
        <f>'Table Seed Map'!$A$11&amp;"-"&amp;(COUNTA($F$1:ResourceForms[[#This Row],[Resource]])-2)</f>
        <v>Resource Forms-8</v>
      </c>
      <c r="B10" s="15" t="str">
        <f>ResourceForms[[#This Row],[Resource Name]]&amp;"/"&amp;ResourceForms[[#This Row],[Name]]</f>
        <v>Profile/CreateProfile</v>
      </c>
      <c r="C10" s="15">
        <f>COUNTA($A$1:ResourceForms[[#This Row],[Primary]])-2</f>
        <v>8</v>
      </c>
      <c r="D10" s="65" t="s">
        <v>1226</v>
      </c>
      <c r="E10" s="60">
        <f>IF(ResourceForms[[#This Row],[No]]=0,"id",ResourceForms[[#This Row],[No]]+IF(ISNUMBER(VLOOKUP('Table Seed Map'!$A$11,SeedMap[],9,0)),VLOOKUP('Table Seed Map'!$A$11,SeedMap[],9,0),0))</f>
        <v>800908</v>
      </c>
      <c r="F10" s="60">
        <f>IFERROR(VLOOKUP(ResourceForms[[#This Row],[Resource Name]],ResourceTable[[RName]:[No]],3,0),"resource")</f>
        <v>800508</v>
      </c>
      <c r="G10" s="6" t="s">
        <v>1238</v>
      </c>
      <c r="H10" s="15" t="s">
        <v>1237</v>
      </c>
      <c r="I10" s="6" t="s">
        <v>1226</v>
      </c>
      <c r="J10" s="62" t="s">
        <v>895</v>
      </c>
      <c r="K10" s="64">
        <f>ResourceForms[ID]</f>
        <v>800908</v>
      </c>
      <c r="M10" s="70" t="str">
        <f>'Table Seed Map'!$A$12&amp;"-"&amp;FormFields[[#This Row],[No]]</f>
        <v>Form Fields-8</v>
      </c>
      <c r="N10" s="59" t="s">
        <v>955</v>
      </c>
      <c r="O10" s="71">
        <f>COUNTA($N$1:FormFields[[#This Row],[Form Name]])-1</f>
        <v>8</v>
      </c>
      <c r="P10" s="70" t="str">
        <f>FormFields[[#This Row],[Form Name]]&amp;"/"&amp;FormFields[[#This Row],[Name]]</f>
        <v>Task/CreateTask/description</v>
      </c>
      <c r="Q10" s="71">
        <f>IF(FormFields[[#This Row],[No]]=0,"id",FormFields[[#This Row],[No]]+IF(ISNUMBER(VLOOKUP('Table Seed Map'!$A$12,SeedMap[],9,0)),VLOOKUP('Table Seed Map'!$A$12,SeedMap[],9,0),0))</f>
        <v>801008</v>
      </c>
      <c r="R10" s="72">
        <f>IFERROR(VLOOKUP(FormFields[[#This Row],[Form Name]],ResourceForms[[FormName]:[ID]],4,0),"resource_form")</f>
        <v>800903</v>
      </c>
      <c r="S10" s="73" t="s">
        <v>24</v>
      </c>
      <c r="T10" s="73" t="s">
        <v>898</v>
      </c>
      <c r="U10" s="73" t="s">
        <v>102</v>
      </c>
      <c r="V10" s="74"/>
      <c r="W10" s="74"/>
      <c r="X10" s="74"/>
      <c r="Y10" s="74"/>
      <c r="Z10" s="75" t="str">
        <f>'Table Seed Map'!$A$13&amp;"-"&amp;FormFields[[#This Row],[NO2]]</f>
        <v>Field Data-8</v>
      </c>
      <c r="AA10" s="76">
        <f>COUNTIFS($AB$1:FormFields[[#This Row],[Exists]],1)-1</f>
        <v>8</v>
      </c>
      <c r="AB10" s="76">
        <f>IF(AND(FormFields[[#This Row],[Attribute]]="",FormFields[[#This Row],[Rel]]=""),0,1)</f>
        <v>1</v>
      </c>
      <c r="AC10" s="76">
        <f>IF(FormFields[[#This Row],[NO2]]=0,"id",FormFields[[#This Row],[NO2]]+IF(ISNUMBER(VLOOKUP('Table Seed Map'!$A$13,SeedMap[],9,0)),VLOOKUP('Table Seed Map'!$A$13,SeedMap[],9,0),0))</f>
        <v>801108</v>
      </c>
      <c r="AD10" s="77">
        <f>IF(FormFields[[#This Row],[ID]]="id","form_field",FormFields[[#This Row],[ID]])</f>
        <v>801008</v>
      </c>
      <c r="AE10" s="76" t="str">
        <f>IF(FormFields[[#This Row],[No]]=0,"attribute",FormFields[[#This Row],[Name]])</f>
        <v>description</v>
      </c>
      <c r="AF10" s="78" t="str">
        <f>IF(FormFields[[#This Row],[NO2]]=0,"relation",IF(FormFields[[#This Row],[Rel]]="","",VLOOKUP(FormFields[[#This Row],[Rel]],RelationTable[[Display]:[RELID]],2,0)))</f>
        <v/>
      </c>
      <c r="AG10" s="78" t="str">
        <f>IF(FormFields[[#This Row],[NO2]]=0,"nest_relation1",IF(FormFields[[#This Row],[Rel1]]="","",VLOOKUP(FormFields[[#This Row],[Rel1]],RelationTable[[Display]:[RELID]],2,0)))</f>
        <v/>
      </c>
      <c r="AH10" s="78" t="str">
        <f>IF(FormFields[[#This Row],[NO2]]=0,"nest_relation2",IF(FormFields[[#This Row],[Rel2]]="","",VLOOKUP(FormFields[[#This Row],[Rel2]],RelationTable[[Display]:[RELID]],2,0)))</f>
        <v/>
      </c>
      <c r="AI10" s="78" t="str">
        <f>IF(FormFields[[#This Row],[NO2]]=0,"nest_relation3",IF(FormFields[[#This Row],[Rel3]]="","",VLOOKUP(FormFields[[#This Row],[Rel3]],RelationTable[[Display]:[RELID]],2,0)))</f>
        <v/>
      </c>
      <c r="AJ10" s="71">
        <f>IF(OR(FormFields[[#This Row],[Option Type]]="",FormFields[[#This Row],[Option Type]]="type"),0,1)</f>
        <v>0</v>
      </c>
      <c r="AK10" s="71" t="str">
        <f>'Table Seed Map'!$A$14&amp;"-"&amp;FormFields[[#This Row],[NO4]]</f>
        <v>Field Options-1</v>
      </c>
      <c r="AL10" s="71">
        <f>COUNTIF($AJ$2:FormFields[[#This Row],[Exists FO]],1)</f>
        <v>1</v>
      </c>
      <c r="AM10" s="71">
        <f>IF(FormFields[[#This Row],[NO4]]=0,"id",FormFields[[#This Row],[NO4]]+IF(ISNUMBER(VLOOKUP('Table Seed Map'!$A$14,SeedMap[],9,0)),VLOOKUP('Table Seed Map'!$A$14,SeedMap[],9,0),0))</f>
        <v>801201</v>
      </c>
      <c r="AN10" s="58">
        <f>IF(FormFields[[#This Row],[ID]]="id","form_field",FormFields[[#This Row],[ID]])</f>
        <v>801008</v>
      </c>
      <c r="AO10" s="79"/>
      <c r="AP10" s="79"/>
      <c r="AQ10" s="79"/>
      <c r="AR10" s="79"/>
      <c r="AS10" s="79"/>
      <c r="AT10" s="71">
        <f>IF(OR(FormFields[[#This Row],[Colspan]]="",FormFields[[#This Row],[Colspan]]="colspan"),0,1)</f>
        <v>0</v>
      </c>
      <c r="AU10" s="71" t="str">
        <f>'Table Seed Map'!$A$19&amp;"-"&amp;FormFields[[#This Row],[NO8]]</f>
        <v>Form Layout-0</v>
      </c>
      <c r="AV10" s="71">
        <f>COUNTIF($AT$1:FormFields[[#This Row],[Exists FL]],1)</f>
        <v>0</v>
      </c>
      <c r="AW10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0" s="71">
        <f>FormFields[Form]</f>
        <v>800903</v>
      </c>
      <c r="AY10" s="71">
        <f>IF(FormFields[[#This Row],[ID]]="id","form_field",FormFields[[#This Row],[ID]])</f>
        <v>801008</v>
      </c>
      <c r="AZ10" s="80"/>
      <c r="BA10" s="58">
        <f>FormFields[[#This Row],[ID]]</f>
        <v>801008</v>
      </c>
      <c r="BC10" s="63" t="s">
        <v>958</v>
      </c>
      <c r="BD10" s="62" t="str">
        <f>'Table Seed Map'!$A$15&amp;"-"&amp;(-1+COUNTA($BC$1:FieldAttrs[[#This Row],[ATTR Field]]))</f>
        <v>Field Attrs-8</v>
      </c>
      <c r="BE10" s="60">
        <f>IF(FieldAttrs[[#This Row],[ATTR Field]]="","id",-1+COUNTA($BC$1:FieldAttrs[[#This Row],[ATTR Field]])+VLOOKUP('Table Seed Map'!$A$15,SeedMap[],9,0))</f>
        <v>801308</v>
      </c>
      <c r="BF10" s="58">
        <f>IFERROR(VLOOKUP(FieldAttrs[ATTR Field],FormFields[[Field Name]:[ID]],2,0),"form_field")</f>
        <v>801008</v>
      </c>
      <c r="BG10" s="58" t="s">
        <v>904</v>
      </c>
      <c r="BH10" s="58">
        <v>4</v>
      </c>
      <c r="BJ10" s="1" t="s">
        <v>1113</v>
      </c>
      <c r="BK10" s="1">
        <f>COUNTA($BJ$2:FieldValidations[[#This Row],[Validation Field]])</f>
        <v>8</v>
      </c>
      <c r="BL10" s="6" t="str">
        <f>'Table Seed Map'!$A$17&amp;"-"&amp;FieldValidations[[#This Row],[ID No]]</f>
        <v>Field Validations-8</v>
      </c>
      <c r="BM10" s="15">
        <f>IF(FieldValidations[[#This Row],[ID No]]=0,"id",FieldValidations[[#This Row],[ID No]]+VLOOKUP('Table Seed Map'!$A$17,SeedMap[],9,0))</f>
        <v>801508</v>
      </c>
      <c r="BN10" s="15">
        <f>VLOOKUP(FieldValidations[Validation Field],FormFields[[Field Name]:[ID]],2,0)</f>
        <v>801014</v>
      </c>
      <c r="BO10" s="13" t="s">
        <v>941</v>
      </c>
      <c r="BP10" s="13" t="s">
        <v>1118</v>
      </c>
      <c r="BQ10" s="13"/>
      <c r="BR10" s="13"/>
      <c r="BS10" s="13"/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PartnerTask/TaskUpdateForm</v>
      </c>
      <c r="C11" s="15">
        <f>COUNTA($A$1:ResourceForms[[#This Row],[Primary]])-2</f>
        <v>9</v>
      </c>
      <c r="D11" s="65" t="s">
        <v>846</v>
      </c>
      <c r="E11" s="60">
        <f>IF(ResourceForms[[#This Row],[No]]=0,"id",ResourceForms[[#This Row],[No]]+IF(ISNUMBER(VLOOKUP('Table Seed Map'!$A$11,SeedMap[],9,0)),VLOOKUP('Table Seed Map'!$A$11,SeedMap[],9,0),0))</f>
        <v>800909</v>
      </c>
      <c r="F11" s="60">
        <f>IFERROR(VLOOKUP(ResourceForms[[#This Row],[Resource Name]],ResourceTable[[RName]:[No]],3,0),"resource")</f>
        <v>800507</v>
      </c>
      <c r="G11" s="6" t="s">
        <v>1247</v>
      </c>
      <c r="H11" s="15" t="s">
        <v>1248</v>
      </c>
      <c r="I11" s="6" t="s">
        <v>335</v>
      </c>
      <c r="J11" s="6" t="s">
        <v>335</v>
      </c>
      <c r="K11" s="64">
        <f>ResourceForms[ID]</f>
        <v>800909</v>
      </c>
      <c r="M11" s="70" t="str">
        <f>'Table Seed Map'!$A$12&amp;"-"&amp;FormFields[[#This Row],[No]]</f>
        <v>Form Fields-9</v>
      </c>
      <c r="N11" s="59" t="s">
        <v>955</v>
      </c>
      <c r="O11" s="71">
        <f>COUNTA($N$1:FormFields[[#This Row],[Form Name]])-1</f>
        <v>9</v>
      </c>
      <c r="P11" s="70" t="str">
        <f>FormFields[[#This Row],[Form Name]]&amp;"/"&amp;FormFields[[#This Row],[Name]]</f>
        <v>Task/CreateTask/category</v>
      </c>
      <c r="Q11" s="71">
        <f>IF(FormFields[[#This Row],[No]]=0,"id",FormFields[[#This Row],[No]]+IF(ISNUMBER(VLOOKUP('Table Seed Map'!$A$12,SeedMap[],9,0)),VLOOKUP('Table Seed Map'!$A$12,SeedMap[],9,0),0))</f>
        <v>801009</v>
      </c>
      <c r="R11" s="72">
        <f>IFERROR(VLOOKUP(FormFields[[#This Row],[Form Name]],ResourceForms[[FormName]:[ID]],4,0),"resource_form")</f>
        <v>800903</v>
      </c>
      <c r="S11" s="73" t="s">
        <v>1125</v>
      </c>
      <c r="T11" s="73" t="s">
        <v>899</v>
      </c>
      <c r="U11" s="73" t="s">
        <v>1132</v>
      </c>
      <c r="V11" s="74"/>
      <c r="W11" s="74"/>
      <c r="X11" s="74"/>
      <c r="Y11" s="74"/>
      <c r="Z11" s="75" t="str">
        <f>'Table Seed Map'!$A$13&amp;"-"&amp;FormFields[[#This Row],[NO2]]</f>
        <v>Field Data-9</v>
      </c>
      <c r="AA11" s="76">
        <f>COUNTIFS($AB$1:FormFields[[#This Row],[Exists]],1)-1</f>
        <v>9</v>
      </c>
      <c r="AB11" s="76">
        <f>IF(AND(FormFields[[#This Row],[Attribute]]="",FormFields[[#This Row],[Rel]]=""),0,1)</f>
        <v>1</v>
      </c>
      <c r="AC11" s="76">
        <f>IF(FormFields[[#This Row],[NO2]]=0,"id",FormFields[[#This Row],[NO2]]+IF(ISNUMBER(VLOOKUP('Table Seed Map'!$A$13,SeedMap[],9,0)),VLOOKUP('Table Seed Map'!$A$13,SeedMap[],9,0),0))</f>
        <v>801109</v>
      </c>
      <c r="AD11" s="77">
        <f>IF(FormFields[[#This Row],[ID]]="id","form_field",FormFields[[#This Row],[ID]])</f>
        <v>801009</v>
      </c>
      <c r="AE11" s="76" t="str">
        <f>IF(FormFields[[#This Row],[No]]=0,"attribute",FormFields[[#This Row],[Name]])</f>
        <v>category</v>
      </c>
      <c r="AF11" s="78" t="str">
        <f>IF(FormFields[[#This Row],[NO2]]=0,"relation",IF(FormFields[[#This Row],[Rel]]="","",VLOOKUP(FormFields[[#This Row],[Rel]],RelationTable[[Display]:[RELID]],2,0)))</f>
        <v/>
      </c>
      <c r="AG11" s="78" t="str">
        <f>IF(FormFields[[#This Row],[NO2]]=0,"nest_relation1",IF(FormFields[[#This Row],[Rel1]]="","",VLOOKUP(FormFields[[#This Row],[Rel1]],RelationTable[[Display]:[RELID]],2,0)))</f>
        <v/>
      </c>
      <c r="AH11" s="78" t="str">
        <f>IF(FormFields[[#This Row],[NO2]]=0,"nest_relation2",IF(FormFields[[#This Row],[Rel2]]="","",VLOOKUP(FormFields[[#This Row],[Rel2]],RelationTable[[Display]:[RELID]],2,0)))</f>
        <v/>
      </c>
      <c r="AI11" s="78" t="str">
        <f>IF(FormFields[[#This Row],[NO2]]=0,"nest_relation3",IF(FormFields[[#This Row],[Rel3]]="","",VLOOKUP(FormFields[[#This Row],[Rel3]],RelationTable[[Display]:[RELID]],2,0)))</f>
        <v/>
      </c>
      <c r="AJ11" s="71">
        <f>IF(OR(FormFields[[#This Row],[Option Type]]="",FormFields[[#This Row],[Option Type]]="type"),0,1)</f>
        <v>1</v>
      </c>
      <c r="AK11" s="71" t="str">
        <f>'Table Seed Map'!$A$14&amp;"-"&amp;FormFields[[#This Row],[NO4]]</f>
        <v>Field Options-2</v>
      </c>
      <c r="AL11" s="71">
        <f>COUNTIF($AJ$2:FormFields[[#This Row],[Exists FO]],1)</f>
        <v>2</v>
      </c>
      <c r="AM11" s="71">
        <f>IF(FormFields[[#This Row],[NO4]]=0,"id",FormFields[[#This Row],[NO4]]+IF(ISNUMBER(VLOOKUP('Table Seed Map'!$A$14,SeedMap[],9,0)),VLOOKUP('Table Seed Map'!$A$14,SeedMap[],9,0),0))</f>
        <v>801202</v>
      </c>
      <c r="AN11" s="58">
        <f>IF(FormFields[[#This Row],[ID]]="id","form_field",FormFields[[#This Row],[ID]])</f>
        <v>801009</v>
      </c>
      <c r="AO11" s="79" t="s">
        <v>278</v>
      </c>
      <c r="AP11" s="79"/>
      <c r="AQ11" s="79" t="s">
        <v>21</v>
      </c>
      <c r="AR11" s="79" t="s">
        <v>23</v>
      </c>
      <c r="AS11" s="79"/>
      <c r="AT11" s="71">
        <f>IF(OR(FormFields[[#This Row],[Colspan]]="",FormFields[[#This Row],[Colspan]]="colspan"),0,1)</f>
        <v>0</v>
      </c>
      <c r="AU11" s="71" t="str">
        <f>'Table Seed Map'!$A$19&amp;"-"&amp;FormFields[[#This Row],[NO8]]</f>
        <v>Form Layout-0</v>
      </c>
      <c r="AV11" s="71">
        <f>COUNTIF($AT$1:FormFields[[#This Row],[Exists FL]],1)</f>
        <v>0</v>
      </c>
      <c r="AW11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1" s="71">
        <f>FormFields[Form]</f>
        <v>800903</v>
      </c>
      <c r="AY11" s="71">
        <f>IF(FormFields[[#This Row],[ID]]="id","form_field",FormFields[[#This Row],[ID]])</f>
        <v>801009</v>
      </c>
      <c r="AZ11" s="80"/>
      <c r="BA11" s="58">
        <f>FormFields[[#This Row],[ID]]</f>
        <v>801009</v>
      </c>
      <c r="BC11" s="63" t="s">
        <v>970</v>
      </c>
      <c r="BD11" s="62" t="str">
        <f>'Table Seed Map'!$A$15&amp;"-"&amp;(-1+COUNTA($BC$1:FieldAttrs[[#This Row],[ATTR Field]]))</f>
        <v>Field Attrs-9</v>
      </c>
      <c r="BE11" s="60">
        <f>IF(FieldAttrs[[#This Row],[ATTR Field]]="","id",-1+COUNTA($BC$1:FieldAttrs[[#This Row],[ATTR Field]])+VLOOKUP('Table Seed Map'!$A$15,SeedMap[],9,0))</f>
        <v>801309</v>
      </c>
      <c r="BF11" s="58">
        <f>IFERROR(VLOOKUP(FieldAttrs[ATTR Field],FormFields[[Field Name]:[ID]],2,0),"form_field")</f>
        <v>801010</v>
      </c>
      <c r="BG11" s="58" t="s">
        <v>904</v>
      </c>
      <c r="BH11" s="58">
        <v>4</v>
      </c>
      <c r="BJ11" s="63" t="s">
        <v>1116</v>
      </c>
      <c r="BK11" s="63">
        <f>COUNTA($BJ$2:FieldValidations[[#This Row],[Validation Field]])</f>
        <v>9</v>
      </c>
      <c r="BL11" s="62" t="str">
        <f>'Table Seed Map'!$A$17&amp;"-"&amp;FieldValidations[[#This Row],[ID No]]</f>
        <v>Field Validations-9</v>
      </c>
      <c r="BM11" s="60">
        <f>IF(FieldValidations[[#This Row],[ID No]]=0,"id",FieldValidations[[#This Row],[ID No]]+VLOOKUP('Table Seed Map'!$A$17,SeedMap[],9,0))</f>
        <v>801509</v>
      </c>
      <c r="BN11" s="60">
        <f>VLOOKUP(FieldValidations[Validation Field],FormFields[[Field Name]:[ID]],2,0)</f>
        <v>801025</v>
      </c>
      <c r="BO11" s="13" t="s">
        <v>941</v>
      </c>
      <c r="BP11" s="65" t="s">
        <v>1117</v>
      </c>
      <c r="BQ11" s="65"/>
      <c r="BR11" s="65"/>
      <c r="BS11" s="65"/>
    </row>
    <row r="12" spans="1:149" x14ac:dyDescent="0.25">
      <c r="M12" s="70" t="str">
        <f>'Table Seed Map'!$A$12&amp;"-"&amp;FormFields[[#This Row],[No]]</f>
        <v>Form Fields-10</v>
      </c>
      <c r="N12" s="59" t="s">
        <v>955</v>
      </c>
      <c r="O12" s="71">
        <f>COUNTA($N$1:FormFields[[#This Row],[Form Name]])-1</f>
        <v>10</v>
      </c>
      <c r="P12" s="70" t="str">
        <f>FormFields[[#This Row],[Form Name]]&amp;"/"&amp;FormFields[[#This Row],[Name]]</f>
        <v>Task/CreateTask/assign</v>
      </c>
      <c r="Q12" s="71">
        <f>IF(FormFields[[#This Row],[No]]=0,"id",FormFields[[#This Row],[No]]+IF(ISNUMBER(VLOOKUP('Table Seed Map'!$A$12,SeedMap[],9,0)),VLOOKUP('Table Seed Map'!$A$12,SeedMap[],9,0),0))</f>
        <v>801010</v>
      </c>
      <c r="R12" s="72">
        <f>IFERROR(VLOOKUP(FormFields[[#This Row],[Form Name]],ResourceForms[[FormName]:[ID]],4,0),"resource_form")</f>
        <v>800903</v>
      </c>
      <c r="S12" s="73" t="s">
        <v>834</v>
      </c>
      <c r="T12" s="73" t="s">
        <v>899</v>
      </c>
      <c r="U12" s="73" t="s">
        <v>969</v>
      </c>
      <c r="V12" s="74"/>
      <c r="W12" s="74"/>
      <c r="X12" s="74"/>
      <c r="Y12" s="74"/>
      <c r="Z12" s="75" t="str">
        <f>'Table Seed Map'!$A$13&amp;"-"&amp;FormFields[[#This Row],[NO2]]</f>
        <v>Field Data-10</v>
      </c>
      <c r="AA12" s="76">
        <f>COUNTIFS($AB$1:FormFields[[#This Row],[Exists]],1)-1</f>
        <v>10</v>
      </c>
      <c r="AB12" s="76">
        <f>IF(AND(FormFields[[#This Row],[Attribute]]="",FormFields[[#This Row],[Rel]]=""),0,1)</f>
        <v>1</v>
      </c>
      <c r="AC12" s="76">
        <f>IF(FormFields[[#This Row],[NO2]]=0,"id",FormFields[[#This Row],[NO2]]+IF(ISNUMBER(VLOOKUP('Table Seed Map'!$A$13,SeedMap[],9,0)),VLOOKUP('Table Seed Map'!$A$13,SeedMap[],9,0),0))</f>
        <v>801110</v>
      </c>
      <c r="AD12" s="77">
        <f>IF(FormFields[[#This Row],[ID]]="id","form_field",FormFields[[#This Row],[ID]])</f>
        <v>801010</v>
      </c>
      <c r="AE12" s="76" t="str">
        <f>IF(FormFields[[#This Row],[No]]=0,"attribute",FormFields[[#This Row],[Name]])</f>
        <v>assign</v>
      </c>
      <c r="AF12" s="78" t="str">
        <f>IF(FormFields[[#This Row],[NO2]]=0,"relation",IF(FormFields[[#This Row],[Rel]]="","",VLOOKUP(FormFields[[#This Row],[Rel]],RelationTable[[Display]:[RELID]],2,0)))</f>
        <v/>
      </c>
      <c r="AG12" s="78" t="str">
        <f>IF(FormFields[[#This Row],[NO2]]=0,"nest_relation1",IF(FormFields[[#This Row],[Rel1]]="","",VLOOKUP(FormFields[[#This Row],[Rel1]],RelationTable[[Display]:[RELID]],2,0)))</f>
        <v/>
      </c>
      <c r="AH12" s="78" t="str">
        <f>IF(FormFields[[#This Row],[NO2]]=0,"nest_relation2",IF(FormFields[[#This Row],[Rel2]]="","",VLOOKUP(FormFields[[#This Row],[Rel2]],RelationTable[[Display]:[RELID]],2,0)))</f>
        <v/>
      </c>
      <c r="AI12" s="78" t="str">
        <f>IF(FormFields[[#This Row],[NO2]]=0,"nest_relation3",IF(FormFields[[#This Row],[Rel3]]="","",VLOOKUP(FormFields[[#This Row],[Rel3]],RelationTable[[Display]:[RELID]],2,0)))</f>
        <v/>
      </c>
      <c r="AJ12" s="71">
        <f>IF(OR(FormFields[[#This Row],[Option Type]]="",FormFields[[#This Row],[Option Type]]="type"),0,1)</f>
        <v>1</v>
      </c>
      <c r="AK12" s="71" t="str">
        <f>'Table Seed Map'!$A$14&amp;"-"&amp;FormFields[[#This Row],[NO4]]</f>
        <v>Field Options-3</v>
      </c>
      <c r="AL12" s="71">
        <f>COUNTIF($AJ$2:FormFields[[#This Row],[Exists FO]],1)</f>
        <v>3</v>
      </c>
      <c r="AM12" s="71">
        <f>IF(FormFields[[#This Row],[NO4]]=0,"id",FormFields[[#This Row],[NO4]]+IF(ISNUMBER(VLOOKUP('Table Seed Map'!$A$14,SeedMap[],9,0)),VLOOKUP('Table Seed Map'!$A$14,SeedMap[],9,0),0))</f>
        <v>801203</v>
      </c>
      <c r="AN12" s="58">
        <f>IF(FormFields[[#This Row],[ID]]="id","form_field",FormFields[[#This Row],[ID]])</f>
        <v>801010</v>
      </c>
      <c r="AO12" s="79" t="s">
        <v>278</v>
      </c>
      <c r="AP12" s="79"/>
      <c r="AQ12" s="79" t="s">
        <v>21</v>
      </c>
      <c r="AR12" s="79" t="s">
        <v>23</v>
      </c>
      <c r="AS12" s="79"/>
      <c r="AT12" s="71">
        <f>IF(OR(FormFields[[#This Row],[Colspan]]="",FormFields[[#This Row],[Colspan]]="colspan"),0,1)</f>
        <v>0</v>
      </c>
      <c r="AU12" s="71" t="str">
        <f>'Table Seed Map'!$A$19&amp;"-"&amp;FormFields[[#This Row],[NO8]]</f>
        <v>Form Layout-0</v>
      </c>
      <c r="AV12" s="71">
        <f>COUNTIF($AT$1:FormFields[[#This Row],[Exists FL]],1)</f>
        <v>0</v>
      </c>
      <c r="AW12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2" s="71">
        <f>FormFields[Form]</f>
        <v>800903</v>
      </c>
      <c r="AY12" s="71">
        <f>IF(FormFields[[#This Row],[ID]]="id","form_field",FormFields[[#This Row],[ID]])</f>
        <v>801010</v>
      </c>
      <c r="AZ12" s="80"/>
      <c r="BA12" s="58">
        <f>FormFields[[#This Row],[ID]]</f>
        <v>801010</v>
      </c>
      <c r="BC12" s="63" t="s">
        <v>1143</v>
      </c>
      <c r="BD12" s="62" t="str">
        <f>'Table Seed Map'!$A$15&amp;"-"&amp;(-1+COUNTA($BC$1:FieldAttrs[[#This Row],[ATTR Field]]))</f>
        <v>Field Attrs-10</v>
      </c>
      <c r="BE12" s="60">
        <f>IF(FieldAttrs[[#This Row],[ATTR Field]]="","id",-1+COUNTA($BC$1:FieldAttrs[[#This Row],[ATTR Field]])+VLOOKUP('Table Seed Map'!$A$15,SeedMap[],9,0))</f>
        <v>801310</v>
      </c>
      <c r="BF12" s="58">
        <f>IFERROR(VLOOKUP(FieldAttrs[ATTR Field],FormFields[[Field Name]:[ID]],2,0),"form_field")</f>
        <v>801009</v>
      </c>
      <c r="BG12" s="58" t="s">
        <v>904</v>
      </c>
      <c r="BH12" s="58">
        <v>4</v>
      </c>
    </row>
    <row r="13" spans="1:149" x14ac:dyDescent="0.25">
      <c r="M13" s="70" t="str">
        <f>'Table Seed Map'!$A$12&amp;"-"&amp;FormFields[[#This Row],[No]]</f>
        <v>Form Fields-11</v>
      </c>
      <c r="N13" s="59" t="s">
        <v>1016</v>
      </c>
      <c r="O13" s="71">
        <f>COUNTA($N$1:FormFields[[#This Row],[Form Name]])-1</f>
        <v>11</v>
      </c>
      <c r="P13" s="70" t="str">
        <f>FormFields[[#This Row],[Form Name]]&amp;"/"&amp;FormFields[[#This Row],[Name]]</f>
        <v>PartnerTask/TaskCompleteDescription/task.name</v>
      </c>
      <c r="Q13" s="71">
        <f>IF(FormFields[[#This Row],[No]]=0,"id",FormFields[[#This Row],[No]]+IF(ISNUMBER(VLOOKUP('Table Seed Map'!$A$12,SeedMap[],9,0)),VLOOKUP('Table Seed Map'!$A$12,SeedMap[],9,0),0))</f>
        <v>801011</v>
      </c>
      <c r="R13" s="72">
        <f>IFERROR(VLOOKUP(FormFields[[#This Row],[Form Name]],ResourceForms[[FormName]:[ID]],4,0),"resource_form")</f>
        <v>800904</v>
      </c>
      <c r="S13" s="73" t="s">
        <v>1018</v>
      </c>
      <c r="T13" s="73" t="s">
        <v>1017</v>
      </c>
      <c r="U13" s="73" t="s">
        <v>1</v>
      </c>
      <c r="V13" s="74"/>
      <c r="W13" s="74"/>
      <c r="X13" s="74"/>
      <c r="Y13" s="74"/>
      <c r="Z13" s="75" t="str">
        <f>'Table Seed Map'!$A$13&amp;"-"&amp;FormFields[[#This Row],[NO2]]</f>
        <v>Field Data-10</v>
      </c>
      <c r="AA13" s="76">
        <f>COUNTIFS($AB$1:FormFields[[#This Row],[Exists]],1)-1</f>
        <v>10</v>
      </c>
      <c r="AB13" s="76">
        <f>IF(AND(FormFields[[#This Row],[Attribute]]="",FormFields[[#This Row],[Rel]]=""),0,1)</f>
        <v>0</v>
      </c>
      <c r="AC13" s="76">
        <f>IF(FormFields[[#This Row],[NO2]]=0,"id",FormFields[[#This Row],[NO2]]+IF(ISNUMBER(VLOOKUP('Table Seed Map'!$A$13,SeedMap[],9,0)),VLOOKUP('Table Seed Map'!$A$13,SeedMap[],9,0),0))</f>
        <v>801110</v>
      </c>
      <c r="AD13" s="77">
        <f>IF(FormFields[[#This Row],[ID]]="id","form_field",FormFields[[#This Row],[ID]])</f>
        <v>801011</v>
      </c>
      <c r="AE13" s="76"/>
      <c r="AF13" s="78" t="str">
        <f>IF(FormFields[[#This Row],[NO2]]=0,"relation",IF(FormFields[[#This Row],[Rel]]="","",VLOOKUP(FormFields[[#This Row],[Rel]],RelationTable[[Display]:[RELID]],2,0)))</f>
        <v/>
      </c>
      <c r="AG13" s="78" t="str">
        <f>IF(FormFields[[#This Row],[NO2]]=0,"nest_relation1",IF(FormFields[[#This Row],[Rel1]]="","",VLOOKUP(FormFields[[#This Row],[Rel1]],RelationTable[[Display]:[RELID]],2,0)))</f>
        <v/>
      </c>
      <c r="AH13" s="78" t="str">
        <f>IF(FormFields[[#This Row],[NO2]]=0,"nest_relation2",IF(FormFields[[#This Row],[Rel2]]="","",VLOOKUP(FormFields[[#This Row],[Rel2]],RelationTable[[Display]:[RELID]],2,0)))</f>
        <v/>
      </c>
      <c r="AI13" s="78" t="str">
        <f>IF(FormFields[[#This Row],[NO2]]=0,"nest_relation3",IF(FormFields[[#This Row],[Rel3]]="","",VLOOKUP(FormFields[[#This Row],[Rel3]],RelationTable[[Display]:[RELID]],2,0)))</f>
        <v/>
      </c>
      <c r="AJ13" s="71">
        <f>IF(OR(FormFields[[#This Row],[Option Type]]="",FormFields[[#This Row],[Option Type]]="type"),0,1)</f>
        <v>0</v>
      </c>
      <c r="AK13" s="71" t="str">
        <f>'Table Seed Map'!$A$14&amp;"-"&amp;FormFields[[#This Row],[NO4]]</f>
        <v>Field Options-3</v>
      </c>
      <c r="AL13" s="71">
        <f>COUNTIF($AJ$2:FormFields[[#This Row],[Exists FO]],1)</f>
        <v>3</v>
      </c>
      <c r="AM13" s="71">
        <f>IF(FormFields[[#This Row],[NO4]]=0,"id",FormFields[[#This Row],[NO4]]+IF(ISNUMBER(VLOOKUP('Table Seed Map'!$A$14,SeedMap[],9,0)),VLOOKUP('Table Seed Map'!$A$14,SeedMap[],9,0),0))</f>
        <v>801203</v>
      </c>
      <c r="AN13" s="58">
        <f>IF(FormFields[[#This Row],[ID]]="id","form_field",FormFields[[#This Row],[ID]])</f>
        <v>801011</v>
      </c>
      <c r="AO13" s="79"/>
      <c r="AP13" s="79"/>
      <c r="AQ13" s="79"/>
      <c r="AR13" s="79"/>
      <c r="AS13" s="79"/>
      <c r="AT13" s="71">
        <f>IF(OR(FormFields[[#This Row],[Colspan]]="",FormFields[[#This Row],[Colspan]]="colspan"),0,1)</f>
        <v>0</v>
      </c>
      <c r="AU13" s="71" t="str">
        <f>'Table Seed Map'!$A$19&amp;"-"&amp;FormFields[[#This Row],[NO8]]</f>
        <v>Form Layout-0</v>
      </c>
      <c r="AV13" s="71">
        <f>COUNTIF($AT$1:FormFields[[#This Row],[Exists FL]],1)</f>
        <v>0</v>
      </c>
      <c r="AW13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3" s="71">
        <f>FormFields[Form]</f>
        <v>800904</v>
      </c>
      <c r="AY13" s="71">
        <f>IF(FormFields[[#This Row],[ID]]="id","form_field",FormFields[[#This Row],[ID]])</f>
        <v>801011</v>
      </c>
      <c r="AZ13" s="80"/>
      <c r="BA13" s="58">
        <f>FormFields[[#This Row],[ID]]</f>
        <v>801011</v>
      </c>
      <c r="BC13" s="63" t="s">
        <v>1021</v>
      </c>
      <c r="BD13" s="62" t="str">
        <f>'Table Seed Map'!$A$15&amp;"-"&amp;(-1+COUNTA($BC$1:FieldAttrs[[#This Row],[ATTR Field]]))</f>
        <v>Field Attrs-11</v>
      </c>
      <c r="BE13" s="60">
        <f>IF(FieldAttrs[[#This Row],[ATTR Field]]="","id",-1+COUNTA($BC$1:FieldAttrs[[#This Row],[ATTR Field]])+VLOOKUP('Table Seed Map'!$A$15,SeedMap[],9,0))</f>
        <v>801311</v>
      </c>
      <c r="BF13" s="58">
        <f>IFERROR(VLOOKUP(FieldAttrs[ATTR Field],FormFields[[Field Name]:[ID]],2,0),"form_field")</f>
        <v>801011</v>
      </c>
      <c r="BG13" s="58" t="s">
        <v>904</v>
      </c>
      <c r="BH13" s="58">
        <v>4</v>
      </c>
    </row>
    <row r="14" spans="1:149" x14ac:dyDescent="0.25">
      <c r="M14" s="70" t="str">
        <f>'Table Seed Map'!$A$12&amp;"-"&amp;FormFields[[#This Row],[No]]</f>
        <v>Form Fields-12</v>
      </c>
      <c r="N14" s="59" t="s">
        <v>1016</v>
      </c>
      <c r="O14" s="71">
        <f>COUNTA($N$1:FormFields[[#This Row],[Form Name]])-1</f>
        <v>12</v>
      </c>
      <c r="P14" s="70" t="str">
        <f>FormFields[[#This Row],[Form Name]]&amp;"/"&amp;FormFields[[#This Row],[Name]]</f>
        <v>PartnerTask/TaskCompleteDescription/task.description</v>
      </c>
      <c r="Q14" s="71">
        <f>IF(FormFields[[#This Row],[No]]=0,"id",FormFields[[#This Row],[No]]+IF(ISNUMBER(VLOOKUP('Table Seed Map'!$A$12,SeedMap[],9,0)),VLOOKUP('Table Seed Map'!$A$12,SeedMap[],9,0),0))</f>
        <v>801012</v>
      </c>
      <c r="R14" s="72">
        <f>IFERROR(VLOOKUP(FormFields[[#This Row],[Form Name]],ResourceForms[[FormName]:[ID]],4,0),"resource_form")</f>
        <v>800904</v>
      </c>
      <c r="S14" s="73" t="s">
        <v>1019</v>
      </c>
      <c r="T14" s="73" t="s">
        <v>1020</v>
      </c>
      <c r="U14" s="73" t="s">
        <v>102</v>
      </c>
      <c r="V14" s="74"/>
      <c r="W14" s="74"/>
      <c r="X14" s="74"/>
      <c r="Y14" s="74"/>
      <c r="Z14" s="75" t="str">
        <f>'Table Seed Map'!$A$13&amp;"-"&amp;FormFields[[#This Row],[NO2]]</f>
        <v>Field Data-10</v>
      </c>
      <c r="AA14" s="76">
        <f>COUNTIFS($AB$1:FormFields[[#This Row],[Exists]],1)-1</f>
        <v>10</v>
      </c>
      <c r="AB14" s="76">
        <f>IF(AND(FormFields[[#This Row],[Attribute]]="",FormFields[[#This Row],[Rel]]=""),0,1)</f>
        <v>0</v>
      </c>
      <c r="AC14" s="76">
        <f>IF(FormFields[[#This Row],[NO2]]=0,"id",FormFields[[#This Row],[NO2]]+IF(ISNUMBER(VLOOKUP('Table Seed Map'!$A$13,SeedMap[],9,0)),VLOOKUP('Table Seed Map'!$A$13,SeedMap[],9,0),0))</f>
        <v>801110</v>
      </c>
      <c r="AD14" s="77">
        <f>IF(FormFields[[#This Row],[ID]]="id","form_field",FormFields[[#This Row],[ID]])</f>
        <v>801012</v>
      </c>
      <c r="AE14" s="76"/>
      <c r="AF14" s="78" t="str">
        <f>IF(FormFields[[#This Row],[NO2]]=0,"relation",IF(FormFields[[#This Row],[Rel]]="","",VLOOKUP(FormFields[[#This Row],[Rel]],RelationTable[[Display]:[RELID]],2,0)))</f>
        <v/>
      </c>
      <c r="AG14" s="78" t="str">
        <f>IF(FormFields[[#This Row],[NO2]]=0,"nest_relation1",IF(FormFields[[#This Row],[Rel1]]="","",VLOOKUP(FormFields[[#This Row],[Rel1]],RelationTable[[Display]:[RELID]],2,0)))</f>
        <v/>
      </c>
      <c r="AH14" s="78" t="str">
        <f>IF(FormFields[[#This Row],[NO2]]=0,"nest_relation2",IF(FormFields[[#This Row],[Rel2]]="","",VLOOKUP(FormFields[[#This Row],[Rel2]],RelationTable[[Display]:[RELID]],2,0)))</f>
        <v/>
      </c>
      <c r="AI14" s="78" t="str">
        <f>IF(FormFields[[#This Row],[NO2]]=0,"nest_relation3",IF(FormFields[[#This Row],[Rel3]]="","",VLOOKUP(FormFields[[#This Row],[Rel3]],RelationTable[[Display]:[RELID]],2,0)))</f>
        <v/>
      </c>
      <c r="AJ14" s="71">
        <f>IF(OR(FormFields[[#This Row],[Option Type]]="",FormFields[[#This Row],[Option Type]]="type"),0,1)</f>
        <v>0</v>
      </c>
      <c r="AK14" s="71" t="str">
        <f>'Table Seed Map'!$A$14&amp;"-"&amp;FormFields[[#This Row],[NO4]]</f>
        <v>Field Options-3</v>
      </c>
      <c r="AL14" s="71">
        <f>COUNTIF($AJ$2:FormFields[[#This Row],[Exists FO]],1)</f>
        <v>3</v>
      </c>
      <c r="AM14" s="71">
        <f>IF(FormFields[[#This Row],[NO4]]=0,"id",FormFields[[#This Row],[NO4]]+IF(ISNUMBER(VLOOKUP('Table Seed Map'!$A$14,SeedMap[],9,0)),VLOOKUP('Table Seed Map'!$A$14,SeedMap[],9,0),0))</f>
        <v>801203</v>
      </c>
      <c r="AN14" s="58">
        <f>IF(FormFields[[#This Row],[ID]]="id","form_field",FormFields[[#This Row],[ID]])</f>
        <v>801012</v>
      </c>
      <c r="AO14" s="79"/>
      <c r="AP14" s="79"/>
      <c r="AQ14" s="79"/>
      <c r="AR14" s="79"/>
      <c r="AS14" s="79"/>
      <c r="AT14" s="71">
        <f>IF(OR(FormFields[[#This Row],[Colspan]]="",FormFields[[#This Row],[Colspan]]="colspan"),0,1)</f>
        <v>0</v>
      </c>
      <c r="AU14" s="71" t="str">
        <f>'Table Seed Map'!$A$19&amp;"-"&amp;FormFields[[#This Row],[NO8]]</f>
        <v>Form Layout-0</v>
      </c>
      <c r="AV14" s="71">
        <f>COUNTIF($AT$1:FormFields[[#This Row],[Exists FL]],1)</f>
        <v>0</v>
      </c>
      <c r="AW14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4" s="71">
        <f>FormFields[Form]</f>
        <v>800904</v>
      </c>
      <c r="AY14" s="71">
        <f>IF(FormFields[[#This Row],[ID]]="id","form_field",FormFields[[#This Row],[ID]])</f>
        <v>801012</v>
      </c>
      <c r="AZ14" s="80"/>
      <c r="BA14" s="58">
        <f>FormFields[[#This Row],[ID]]</f>
        <v>801012</v>
      </c>
      <c r="BC14" s="63" t="s">
        <v>1022</v>
      </c>
      <c r="BD14" s="62" t="str">
        <f>'Table Seed Map'!$A$15&amp;"-"&amp;(-1+COUNTA($BC$1:FieldAttrs[[#This Row],[ATTR Field]]))</f>
        <v>Field Attrs-12</v>
      </c>
      <c r="BE14" s="60">
        <f>IF(FieldAttrs[[#This Row],[ATTR Field]]="","id",-1+COUNTA($BC$1:FieldAttrs[[#This Row],[ATTR Field]])+VLOOKUP('Table Seed Map'!$A$15,SeedMap[],9,0))</f>
        <v>801312</v>
      </c>
      <c r="BF14" s="58">
        <f>IFERROR(VLOOKUP(FieldAttrs[ATTR Field],FormFields[[Field Name]:[ID]],2,0),"form_field")</f>
        <v>801012</v>
      </c>
      <c r="BG14" s="58" t="s">
        <v>904</v>
      </c>
      <c r="BH14" s="58">
        <v>4</v>
      </c>
    </row>
    <row r="15" spans="1:149" x14ac:dyDescent="0.25">
      <c r="M15" s="70" t="str">
        <f>'Table Seed Map'!$A$12&amp;"-"&amp;FormFields[[#This Row],[No]]</f>
        <v>Form Fields-13</v>
      </c>
      <c r="N15" s="59" t="s">
        <v>1016</v>
      </c>
      <c r="O15" s="71">
        <f>COUNTA($N$1:FormFields[[#This Row],[Form Name]])-1</f>
        <v>13</v>
      </c>
      <c r="P15" s="70" t="str">
        <f>FormFields[[#This Row],[Form Name]]&amp;"/"&amp;FormFields[[#This Row],[Name]]</f>
        <v>PartnerTask/TaskCompleteDescription/progress</v>
      </c>
      <c r="Q15" s="71">
        <f>IF(FormFields[[#This Row],[No]]=0,"id",FormFields[[#This Row],[No]]+IF(ISNUMBER(VLOOKUP('Table Seed Map'!$A$12,SeedMap[],9,0)),VLOOKUP('Table Seed Map'!$A$12,SeedMap[],9,0),0))</f>
        <v>801013</v>
      </c>
      <c r="R15" s="72">
        <f>IFERROR(VLOOKUP(FormFields[[#This Row],[Form Name]],ResourceForms[[FormName]:[ID]],4,0),"resource_form")</f>
        <v>800904</v>
      </c>
      <c r="S15" s="73" t="s">
        <v>823</v>
      </c>
      <c r="T15" s="73" t="s">
        <v>1017</v>
      </c>
      <c r="U15" s="73" t="s">
        <v>1030</v>
      </c>
      <c r="V15" s="74"/>
      <c r="W15" s="74"/>
      <c r="X15" s="74"/>
      <c r="Y15" s="74"/>
      <c r="Z15" s="75" t="str">
        <f>'Table Seed Map'!$A$13&amp;"-"&amp;FormFields[[#This Row],[NO2]]</f>
        <v>Field Data-11</v>
      </c>
      <c r="AA15" s="76">
        <f>COUNTIFS($AB$1:FormFields[[#This Row],[Exists]],1)-1</f>
        <v>11</v>
      </c>
      <c r="AB15" s="76">
        <f>IF(AND(FormFields[[#This Row],[Attribute]]="",FormFields[[#This Row],[Rel]]=""),0,1)</f>
        <v>1</v>
      </c>
      <c r="AC15" s="76">
        <f>IF(FormFields[[#This Row],[NO2]]=0,"id",FormFields[[#This Row],[NO2]]+IF(ISNUMBER(VLOOKUP('Table Seed Map'!$A$13,SeedMap[],9,0)),VLOOKUP('Table Seed Map'!$A$13,SeedMap[],9,0),0))</f>
        <v>801111</v>
      </c>
      <c r="AD15" s="77">
        <f>IF(FormFields[[#This Row],[ID]]="id","form_field",FormFields[[#This Row],[ID]])</f>
        <v>801013</v>
      </c>
      <c r="AE15" s="76" t="str">
        <f>IF(FormFields[[#This Row],[No]]=0,"attribute",FormFields[[#This Row],[Name]])</f>
        <v>progress</v>
      </c>
      <c r="AF15" s="78" t="str">
        <f>IF(FormFields[[#This Row],[NO2]]=0,"relation",IF(FormFields[[#This Row],[Rel]]="","",VLOOKUP(FormFields[[#This Row],[Rel]],RelationTable[[Display]:[RELID]],2,0)))</f>
        <v/>
      </c>
      <c r="AG15" s="78" t="str">
        <f>IF(FormFields[[#This Row],[NO2]]=0,"nest_relation1",IF(FormFields[[#This Row],[Rel1]]="","",VLOOKUP(FormFields[[#This Row],[Rel1]],RelationTable[[Display]:[RELID]],2,0)))</f>
        <v/>
      </c>
      <c r="AH15" s="78" t="str">
        <f>IF(FormFields[[#This Row],[NO2]]=0,"nest_relation2",IF(FormFields[[#This Row],[Rel2]]="","",VLOOKUP(FormFields[[#This Row],[Rel2]],RelationTable[[Display]:[RELID]],2,0)))</f>
        <v/>
      </c>
      <c r="AI15" s="78" t="str">
        <f>IF(FormFields[[#This Row],[NO2]]=0,"nest_relation3",IF(FormFields[[#This Row],[Rel3]]="","",VLOOKUP(FormFields[[#This Row],[Rel3]],RelationTable[[Display]:[RELID]],2,0)))</f>
        <v/>
      </c>
      <c r="AJ15" s="71">
        <f>IF(OR(FormFields[[#This Row],[Option Type]]="",FormFields[[#This Row],[Option Type]]="type"),0,1)</f>
        <v>0</v>
      </c>
      <c r="AK15" s="71" t="str">
        <f>'Table Seed Map'!$A$14&amp;"-"&amp;FormFields[[#This Row],[NO4]]</f>
        <v>Field Options-3</v>
      </c>
      <c r="AL15" s="71">
        <f>COUNTIF($AJ$2:FormFields[[#This Row],[Exists FO]],1)</f>
        <v>3</v>
      </c>
      <c r="AM15" s="71">
        <f>IF(FormFields[[#This Row],[NO4]]=0,"id",FormFields[[#This Row],[NO4]]+IF(ISNUMBER(VLOOKUP('Table Seed Map'!$A$14,SeedMap[],9,0)),VLOOKUP('Table Seed Map'!$A$14,SeedMap[],9,0),0))</f>
        <v>801203</v>
      </c>
      <c r="AN15" s="58">
        <f>IF(FormFields[[#This Row],[ID]]="id","form_field",FormFields[[#This Row],[ID]])</f>
        <v>801013</v>
      </c>
      <c r="AO15" s="79"/>
      <c r="AP15" s="79"/>
      <c r="AQ15" s="79"/>
      <c r="AR15" s="79"/>
      <c r="AS15" s="79"/>
      <c r="AT15" s="71">
        <f>IF(OR(FormFields[[#This Row],[Colspan]]="",FormFields[[#This Row],[Colspan]]="colspan"),0,1)</f>
        <v>0</v>
      </c>
      <c r="AU15" s="71" t="str">
        <f>'Table Seed Map'!$A$19&amp;"-"&amp;FormFields[[#This Row],[NO8]]</f>
        <v>Form Layout-0</v>
      </c>
      <c r="AV15" s="71">
        <f>COUNTIF($AT$1:FormFields[[#This Row],[Exists FL]],1)</f>
        <v>0</v>
      </c>
      <c r="AW15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5" s="71">
        <f>FormFields[Form]</f>
        <v>800904</v>
      </c>
      <c r="AY15" s="71">
        <f>IF(FormFields[[#This Row],[ID]]="id","form_field",FormFields[[#This Row],[ID]])</f>
        <v>801013</v>
      </c>
      <c r="AZ15" s="80"/>
      <c r="BA15" s="58">
        <f>FormFields[[#This Row],[ID]]</f>
        <v>801013</v>
      </c>
      <c r="BC15" s="63" t="s">
        <v>1024</v>
      </c>
      <c r="BD15" s="62" t="str">
        <f>'Table Seed Map'!$A$15&amp;"-"&amp;(-1+COUNTA($BC$1:FieldAttrs[[#This Row],[ATTR Field]]))</f>
        <v>Field Attrs-13</v>
      </c>
      <c r="BE15" s="60">
        <f>IF(FieldAttrs[[#This Row],[ATTR Field]]="","id",-1+COUNTA($BC$1:FieldAttrs[[#This Row],[ATTR Field]])+VLOOKUP('Table Seed Map'!$A$15,SeedMap[],9,0))</f>
        <v>801313</v>
      </c>
      <c r="BF15" s="58">
        <f>IFERROR(VLOOKUP(FieldAttrs[ATTR Field],FormFields[[Field Name]:[ID]],2,0),"form_field")</f>
        <v>801013</v>
      </c>
      <c r="BG15" s="58" t="s">
        <v>904</v>
      </c>
      <c r="BH15" s="58">
        <v>4</v>
      </c>
    </row>
    <row r="16" spans="1:149" x14ac:dyDescent="0.25">
      <c r="M16" s="39" t="str">
        <f>'Table Seed Map'!$A$12&amp;"-"&amp;FormFields[[#This Row],[No]]</f>
        <v>Form Fields-14</v>
      </c>
      <c r="N16" s="59" t="s">
        <v>1016</v>
      </c>
      <c r="O16" s="71">
        <f>COUNTA($N$1:FormFields[[#This Row],[Form Name]])-1</f>
        <v>14</v>
      </c>
      <c r="P16" s="70" t="str">
        <f>FormFields[[#This Row],[Form Name]]&amp;"/"&amp;FormFields[[#This Row],[Name]]</f>
        <v>PartnerTask/TaskCompleteDescription/remarks</v>
      </c>
      <c r="Q16" s="71">
        <f>IF(FormFields[[#This Row],[No]]=0,"id",FormFields[[#This Row],[No]]+IF(ISNUMBER(VLOOKUP('Table Seed Map'!$A$12,SeedMap[],9,0)),VLOOKUP('Table Seed Map'!$A$12,SeedMap[],9,0),0))</f>
        <v>801014</v>
      </c>
      <c r="R16" s="72">
        <f>IFERROR(VLOOKUP(FormFields[[#This Row],[Form Name]],ResourceForms[[FormName]:[ID]],4,0),"resource_form")</f>
        <v>800904</v>
      </c>
      <c r="S16" s="73" t="s">
        <v>1111</v>
      </c>
      <c r="T16" s="73" t="s">
        <v>898</v>
      </c>
      <c r="U16" s="73" t="s">
        <v>1112</v>
      </c>
      <c r="V16" s="74"/>
      <c r="W16" s="74"/>
      <c r="X16" s="74"/>
      <c r="Y16" s="74"/>
      <c r="Z16" s="75" t="str">
        <f>'Table Seed Map'!$A$13&amp;"-"&amp;FormFields[[#This Row],[NO2]]</f>
        <v>Field Data-12</v>
      </c>
      <c r="AA16" s="76">
        <f>COUNTIFS($AB$1:FormFields[[#This Row],[Exists]],1)-1</f>
        <v>12</v>
      </c>
      <c r="AB16" s="76">
        <f>IF(AND(FormFields[[#This Row],[Attribute]]="",FormFields[[#This Row],[Rel]]=""),0,1)</f>
        <v>1</v>
      </c>
      <c r="AC16" s="76">
        <f>IF(FormFields[[#This Row],[NO2]]=0,"id",FormFields[[#This Row],[NO2]]+IF(ISNUMBER(VLOOKUP('Table Seed Map'!$A$13,SeedMap[],9,0)),VLOOKUP('Table Seed Map'!$A$13,SeedMap[],9,0),0))</f>
        <v>801112</v>
      </c>
      <c r="AD16" s="77">
        <f>IF(FormFields[[#This Row],[ID]]="id","form_field",FormFields[[#This Row],[ID]])</f>
        <v>801014</v>
      </c>
      <c r="AE16" s="76" t="str">
        <f>IF(FormFields[[#This Row],[No]]=0,"attribute",FormFields[[#This Row],[Name]])</f>
        <v>remarks</v>
      </c>
      <c r="AF16" s="78" t="str">
        <f>IF(FormFields[[#This Row],[NO2]]=0,"relation",IF(FormFields[[#This Row],[Rel]]="","",VLOOKUP(FormFields[[#This Row],[Rel]],RelationTable[[Display]:[RELID]],2,0)))</f>
        <v/>
      </c>
      <c r="AG16" s="78" t="str">
        <f>IF(FormFields[[#This Row],[NO2]]=0,"nest_relation1",IF(FormFields[[#This Row],[Rel1]]="","",VLOOKUP(FormFields[[#This Row],[Rel1]],RelationTable[[Display]:[RELID]],2,0)))</f>
        <v/>
      </c>
      <c r="AH16" s="78" t="str">
        <f>IF(FormFields[[#This Row],[NO2]]=0,"nest_relation2",IF(FormFields[[#This Row],[Rel2]]="","",VLOOKUP(FormFields[[#This Row],[Rel2]],RelationTable[[Display]:[RELID]],2,0)))</f>
        <v/>
      </c>
      <c r="AI16" s="78" t="str">
        <f>IF(FormFields[[#This Row],[NO2]]=0,"nest_relation3",IF(FormFields[[#This Row],[Rel3]]="","",VLOOKUP(FormFields[[#This Row],[Rel3]],RelationTable[[Display]:[RELID]],2,0)))</f>
        <v/>
      </c>
      <c r="AJ16" s="71">
        <f>IF(OR(FormFields[[#This Row],[Option Type]]="",FormFields[[#This Row],[Option Type]]="type"),0,1)</f>
        <v>0</v>
      </c>
      <c r="AK16" s="71" t="str">
        <f>'Table Seed Map'!$A$14&amp;"-"&amp;FormFields[[#This Row],[NO4]]</f>
        <v>Field Options-3</v>
      </c>
      <c r="AL16" s="71">
        <f>COUNTIF($AJ$2:FormFields[[#This Row],[Exists FO]],1)</f>
        <v>3</v>
      </c>
      <c r="AM16" s="71">
        <f>IF(FormFields[[#This Row],[NO4]]=0,"id",FormFields[[#This Row],[NO4]]+IF(ISNUMBER(VLOOKUP('Table Seed Map'!$A$14,SeedMap[],9,0)),VLOOKUP('Table Seed Map'!$A$14,SeedMap[],9,0),0))</f>
        <v>801203</v>
      </c>
      <c r="AN16" s="58">
        <f>IF(FormFields[[#This Row],[ID]]="id","form_field",FormFields[[#This Row],[ID]])</f>
        <v>801014</v>
      </c>
      <c r="AO16" s="79"/>
      <c r="AP16" s="79"/>
      <c r="AQ16" s="79"/>
      <c r="AR16" s="79"/>
      <c r="AS16" s="79"/>
      <c r="AT16" s="71">
        <f>IF(OR(FormFields[[#This Row],[Colspan]]="",FormFields[[#This Row],[Colspan]]="colspan"),0,1)</f>
        <v>0</v>
      </c>
      <c r="AU16" s="71" t="str">
        <f>'Table Seed Map'!$A$19&amp;"-"&amp;FormFields[[#This Row],[NO8]]</f>
        <v>Form Layout-0</v>
      </c>
      <c r="AV16" s="71">
        <f>COUNTIF($AT$1:FormFields[[#This Row],[Exists FL]],1)</f>
        <v>0</v>
      </c>
      <c r="AW16" s="71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16" s="71">
        <f>FormFields[Form]</f>
        <v>800904</v>
      </c>
      <c r="AY16" s="71">
        <f>IF(FormFields[[#This Row],[ID]]="id","form_field",FormFields[[#This Row],[ID]])</f>
        <v>801014</v>
      </c>
      <c r="AZ16" s="80"/>
      <c r="BA16" s="58">
        <f>FormFields[[#This Row],[ID]]</f>
        <v>801014</v>
      </c>
      <c r="BC16" s="63" t="s">
        <v>1024</v>
      </c>
      <c r="BD16" s="62" t="str">
        <f>'Table Seed Map'!$A$15&amp;"-"&amp;(-1+COUNTA($BC$1:FieldAttrs[[#This Row],[ATTR Field]]))</f>
        <v>Field Attrs-14</v>
      </c>
      <c r="BE16" s="60">
        <f>IF(FieldAttrs[[#This Row],[ATTR Field]]="","id",-1+COUNTA($BC$1:FieldAttrs[[#This Row],[ATTR Field]])+VLOOKUP('Table Seed Map'!$A$15,SeedMap[],9,0))</f>
        <v>801314</v>
      </c>
      <c r="BF16" s="58">
        <f>IFERROR(VLOOKUP(FieldAttrs[ATTR Field],FormFields[[Field Name]:[ID]],2,0),"form_field")</f>
        <v>801013</v>
      </c>
      <c r="BG16" s="58" t="s">
        <v>44</v>
      </c>
      <c r="BH16" s="58" t="s">
        <v>1003</v>
      </c>
    </row>
    <row r="17" spans="13:60" x14ac:dyDescent="0.25">
      <c r="M17" s="39" t="str">
        <f>'Table Seed Map'!$A$12&amp;"-"&amp;FormFields[[#This Row],[No]]</f>
        <v>Form Fields-15</v>
      </c>
      <c r="N17" s="59" t="s">
        <v>1033</v>
      </c>
      <c r="O17" s="71">
        <f>COUNTA($N$1:FormFields[[#This Row],[Form Name]])-1</f>
        <v>15</v>
      </c>
      <c r="P17" s="70" t="str">
        <f>FormFields[[#This Row],[Form Name]]&amp;"/"&amp;FormFields[[#This Row],[Name]]</f>
        <v>PartnerTask/TaskCompleteAttachment/task.name</v>
      </c>
      <c r="Q17" s="71">
        <f>IF(FormFields[[#This Row],[No]]=0,"id",FormFields[[#This Row],[No]]+IF(ISNUMBER(VLOOKUP('Table Seed Map'!$A$12,SeedMap[],9,0)),VLOOKUP('Table Seed Map'!$A$12,SeedMap[],9,0),0))</f>
        <v>801015</v>
      </c>
      <c r="R17" s="72">
        <f>IFERROR(VLOOKUP(FormFields[[#This Row],[Form Name]],ResourceForms[[FormName]:[ID]],4,0),"resource_form")</f>
        <v>800905</v>
      </c>
      <c r="S17" s="73" t="s">
        <v>1018</v>
      </c>
      <c r="T17" s="73" t="s">
        <v>1017</v>
      </c>
      <c r="U17" s="73" t="s">
        <v>1</v>
      </c>
      <c r="V17" s="74"/>
      <c r="W17" s="74"/>
      <c r="X17" s="74"/>
      <c r="Y17" s="74"/>
      <c r="Z17" s="75" t="str">
        <f>'Table Seed Map'!$A$13&amp;"-"&amp;FormFields[[#This Row],[NO2]]</f>
        <v>Field Data-12</v>
      </c>
      <c r="AA17" s="76">
        <f>COUNTIFS($AB$1:FormFields[[#This Row],[Exists]],1)-1</f>
        <v>12</v>
      </c>
      <c r="AB17" s="76">
        <f>IF(AND(FormFields[[#This Row],[Attribute]]="",FormFields[[#This Row],[Rel]]=""),0,1)</f>
        <v>0</v>
      </c>
      <c r="AC17" s="76">
        <f>IF(FormFields[[#This Row],[NO2]]=0,"id",FormFields[[#This Row],[NO2]]+IF(ISNUMBER(VLOOKUP('Table Seed Map'!$A$13,SeedMap[],9,0)),VLOOKUP('Table Seed Map'!$A$13,SeedMap[],9,0),0))</f>
        <v>801112</v>
      </c>
      <c r="AD17" s="77">
        <f>IF(FormFields[[#This Row],[ID]]="id","form_field",FormFields[[#This Row],[ID]])</f>
        <v>801015</v>
      </c>
      <c r="AE17" s="76"/>
      <c r="AF17" s="78" t="str">
        <f>IF(FormFields[[#This Row],[NO2]]=0,"relation",IF(FormFields[[#This Row],[Rel]]="","",VLOOKUP(FormFields[[#This Row],[Rel]],RelationTable[[Display]:[RELID]],2,0)))</f>
        <v/>
      </c>
      <c r="AG17" s="78" t="str">
        <f>IF(FormFields[[#This Row],[NO2]]=0,"nest_relation1",IF(FormFields[[#This Row],[Rel1]]="","",VLOOKUP(FormFields[[#This Row],[Rel1]],RelationTable[[Display]:[RELID]],2,0)))</f>
        <v/>
      </c>
      <c r="AH17" s="78" t="str">
        <f>IF(FormFields[[#This Row],[NO2]]=0,"nest_relation2",IF(FormFields[[#This Row],[Rel2]]="","",VLOOKUP(FormFields[[#This Row],[Rel2]],RelationTable[[Display]:[RELID]],2,0)))</f>
        <v/>
      </c>
      <c r="AI17" s="78" t="str">
        <f>IF(FormFields[[#This Row],[NO2]]=0,"nest_relation3",IF(FormFields[[#This Row],[Rel3]]="","",VLOOKUP(FormFields[[#This Row],[Rel3]],RelationTable[[Display]:[RELID]],2,0)))</f>
        <v/>
      </c>
      <c r="AJ17" s="71">
        <f>IF(OR(FormFields[[#This Row],[Option Type]]="",FormFields[[#This Row],[Option Type]]="type"),0,1)</f>
        <v>0</v>
      </c>
      <c r="AK17" s="71" t="str">
        <f>'Table Seed Map'!$A$14&amp;"-"&amp;FormFields[[#This Row],[NO4]]</f>
        <v>Field Options-3</v>
      </c>
      <c r="AL17" s="71">
        <f>COUNTIF($AJ$2:FormFields[[#This Row],[Exists FO]],1)</f>
        <v>3</v>
      </c>
      <c r="AM17" s="71">
        <f>IF(FormFields[[#This Row],[NO4]]=0,"id",FormFields[[#This Row],[NO4]]+IF(ISNUMBER(VLOOKUP('Table Seed Map'!$A$14,SeedMap[],9,0)),VLOOKUP('Table Seed Map'!$A$14,SeedMap[],9,0),0))</f>
        <v>801203</v>
      </c>
      <c r="AN17" s="58">
        <f>IF(FormFields[[#This Row],[ID]]="id","form_field",FormFields[[#This Row],[ID]])</f>
        <v>801015</v>
      </c>
      <c r="AO17" s="79"/>
      <c r="AP17" s="79"/>
      <c r="AQ17" s="79"/>
      <c r="AR17" s="79"/>
      <c r="AS17" s="79"/>
      <c r="AT17" s="71">
        <f>IF(OR(FormFields[[#This Row],[Colspan]]="",FormFields[[#This Row],[Colspan]]="colspan"),0,1)</f>
        <v>1</v>
      </c>
      <c r="AU17" s="71" t="str">
        <f>'Table Seed Map'!$A$19&amp;"-"&amp;FormFields[[#This Row],[NO8]]</f>
        <v>Form Layout-1</v>
      </c>
      <c r="AV17" s="71">
        <f>COUNTIF($AT$1:FormFields[[#This Row],[Exists FL]],1)</f>
        <v>1</v>
      </c>
      <c r="AW17" s="71">
        <f>IF(FormFields[[#This Row],[NO8]]=0,"id",IF(FormFields[[#This Row],[Exists FL]]=1,FormFields[[#This Row],[NO8]]+IF(ISNUMBER(VLOOKUP('Table Seed Map'!$A$19,SeedMap[],9,0)),VLOOKUP('Table Seed Map'!$A$19,SeedMap[],9,0),0),""))</f>
        <v>801701</v>
      </c>
      <c r="AX17" s="71">
        <f>FormFields[Form]</f>
        <v>800905</v>
      </c>
      <c r="AY17" s="71">
        <f>IF(FormFields[[#This Row],[ID]]="id","form_field",FormFields[[#This Row],[ID]])</f>
        <v>801015</v>
      </c>
      <c r="AZ17" s="80">
        <v>12</v>
      </c>
      <c r="BA17" s="58">
        <f>FormFields[[#This Row],[ID]]</f>
        <v>801015</v>
      </c>
      <c r="BC17" s="63" t="s">
        <v>1113</v>
      </c>
      <c r="BD17" s="62" t="str">
        <f>'Table Seed Map'!$A$15&amp;"-"&amp;(-1+COUNTA($BC$1:FieldAttrs[[#This Row],[ATTR Field]]))</f>
        <v>Field Attrs-15</v>
      </c>
      <c r="BE17" s="60">
        <f>IF(FieldAttrs[[#This Row],[ATTR Field]]="","id",-1+COUNTA($BC$1:FieldAttrs[[#This Row],[ATTR Field]])+VLOOKUP('Table Seed Map'!$A$15,SeedMap[],9,0))</f>
        <v>801315</v>
      </c>
      <c r="BF17" s="58">
        <f>IFERROR(VLOOKUP(FieldAttrs[ATTR Field],FormFields[[Field Name]:[ID]],2,0),"form_field")</f>
        <v>801014</v>
      </c>
      <c r="BG17" s="58" t="s">
        <v>904</v>
      </c>
      <c r="BH17" s="58">
        <v>4</v>
      </c>
    </row>
    <row r="18" spans="13:60" x14ac:dyDescent="0.25">
      <c r="M18" s="39" t="str">
        <f>'Table Seed Map'!$A$12&amp;"-"&amp;FormFields[[#This Row],[No]]</f>
        <v>Form Fields-16</v>
      </c>
      <c r="N18" s="59" t="s">
        <v>1033</v>
      </c>
      <c r="O18" s="71">
        <f>COUNTA($N$1:FormFields[[#This Row],[Form Name]])-1</f>
        <v>16</v>
      </c>
      <c r="P18" s="70" t="str">
        <f>FormFields[[#This Row],[Form Name]]&amp;"/"&amp;FormFields[[#This Row],[Name]]</f>
        <v>PartnerTask/TaskCompleteAttachment/task.description</v>
      </c>
      <c r="Q18" s="71">
        <f>IF(FormFields[[#This Row],[No]]=0,"id",FormFields[[#This Row],[No]]+IF(ISNUMBER(VLOOKUP('Table Seed Map'!$A$12,SeedMap[],9,0)),VLOOKUP('Table Seed Map'!$A$12,SeedMap[],9,0),0))</f>
        <v>801016</v>
      </c>
      <c r="R18" s="72">
        <f>IFERROR(VLOOKUP(FormFields[[#This Row],[Form Name]],ResourceForms[[FormName]:[ID]],4,0),"resource_form")</f>
        <v>800905</v>
      </c>
      <c r="S18" s="73" t="s">
        <v>1019</v>
      </c>
      <c r="T18" s="73" t="s">
        <v>1017</v>
      </c>
      <c r="U18" s="73" t="s">
        <v>102</v>
      </c>
      <c r="V18" s="74"/>
      <c r="W18" s="74"/>
      <c r="X18" s="74"/>
      <c r="Y18" s="74"/>
      <c r="Z18" s="75" t="str">
        <f>'Table Seed Map'!$A$13&amp;"-"&amp;FormFields[[#This Row],[NO2]]</f>
        <v>Field Data-12</v>
      </c>
      <c r="AA18" s="76">
        <f>COUNTIFS($AB$1:FormFields[[#This Row],[Exists]],1)-1</f>
        <v>12</v>
      </c>
      <c r="AB18" s="76">
        <f>IF(AND(FormFields[[#This Row],[Attribute]]="",FormFields[[#This Row],[Rel]]=""),0,1)</f>
        <v>0</v>
      </c>
      <c r="AC18" s="76">
        <f>IF(FormFields[[#This Row],[NO2]]=0,"id",FormFields[[#This Row],[NO2]]+IF(ISNUMBER(VLOOKUP('Table Seed Map'!$A$13,SeedMap[],9,0)),VLOOKUP('Table Seed Map'!$A$13,SeedMap[],9,0),0))</f>
        <v>801112</v>
      </c>
      <c r="AD18" s="77">
        <f>IF(FormFields[[#This Row],[ID]]="id","form_field",FormFields[[#This Row],[ID]])</f>
        <v>801016</v>
      </c>
      <c r="AE18" s="76"/>
      <c r="AF18" s="78" t="str">
        <f>IF(FormFields[[#This Row],[NO2]]=0,"relation",IF(FormFields[[#This Row],[Rel]]="","",VLOOKUP(FormFields[[#This Row],[Rel]],RelationTable[[Display]:[RELID]],2,0)))</f>
        <v/>
      </c>
      <c r="AG18" s="78" t="str">
        <f>IF(FormFields[[#This Row],[NO2]]=0,"nest_relation1",IF(FormFields[[#This Row],[Rel1]]="","",VLOOKUP(FormFields[[#This Row],[Rel1]],RelationTable[[Display]:[RELID]],2,0)))</f>
        <v/>
      </c>
      <c r="AH18" s="78" t="str">
        <f>IF(FormFields[[#This Row],[NO2]]=0,"nest_relation2",IF(FormFields[[#This Row],[Rel2]]="","",VLOOKUP(FormFields[[#This Row],[Rel2]],RelationTable[[Display]:[RELID]],2,0)))</f>
        <v/>
      </c>
      <c r="AI18" s="78" t="str">
        <f>IF(FormFields[[#This Row],[NO2]]=0,"nest_relation3",IF(FormFields[[#This Row],[Rel3]]="","",VLOOKUP(FormFields[[#This Row],[Rel3]],RelationTable[[Display]:[RELID]],2,0)))</f>
        <v/>
      </c>
      <c r="AJ18" s="71">
        <f>IF(OR(FormFields[[#This Row],[Option Type]]="",FormFields[[#This Row],[Option Type]]="type"),0,1)</f>
        <v>0</v>
      </c>
      <c r="AK18" s="71" t="str">
        <f>'Table Seed Map'!$A$14&amp;"-"&amp;FormFields[[#This Row],[NO4]]</f>
        <v>Field Options-3</v>
      </c>
      <c r="AL18" s="71">
        <f>COUNTIF($AJ$2:FormFields[[#This Row],[Exists FO]],1)</f>
        <v>3</v>
      </c>
      <c r="AM18" s="71">
        <f>IF(FormFields[[#This Row],[NO4]]=0,"id",FormFields[[#This Row],[NO4]]+IF(ISNUMBER(VLOOKUP('Table Seed Map'!$A$14,SeedMap[],9,0)),VLOOKUP('Table Seed Map'!$A$14,SeedMap[],9,0),0))</f>
        <v>801203</v>
      </c>
      <c r="AN18" s="58">
        <f>IF(FormFields[[#This Row],[ID]]="id","form_field",FormFields[[#This Row],[ID]])</f>
        <v>801016</v>
      </c>
      <c r="AO18" s="79"/>
      <c r="AP18" s="79"/>
      <c r="AQ18" s="79"/>
      <c r="AR18" s="79"/>
      <c r="AS18" s="79"/>
      <c r="AT18" s="71">
        <f>IF(OR(FormFields[[#This Row],[Colspan]]="",FormFields[[#This Row],[Colspan]]="colspan"),0,1)</f>
        <v>1</v>
      </c>
      <c r="AU18" s="71" t="str">
        <f>'Table Seed Map'!$A$19&amp;"-"&amp;FormFields[[#This Row],[NO8]]</f>
        <v>Form Layout-2</v>
      </c>
      <c r="AV18" s="71">
        <f>COUNTIF($AT$1:FormFields[[#This Row],[Exists FL]],1)</f>
        <v>2</v>
      </c>
      <c r="AW18" s="71">
        <f>IF(FormFields[[#This Row],[NO8]]=0,"id",IF(FormFields[[#This Row],[Exists FL]]=1,FormFields[[#This Row],[NO8]]+IF(ISNUMBER(VLOOKUP('Table Seed Map'!$A$19,SeedMap[],9,0)),VLOOKUP('Table Seed Map'!$A$19,SeedMap[],9,0),0),""))</f>
        <v>801702</v>
      </c>
      <c r="AX18" s="71">
        <f>FormFields[Form]</f>
        <v>800905</v>
      </c>
      <c r="AY18" s="71">
        <f>IF(FormFields[[#This Row],[ID]]="id","form_field",FormFields[[#This Row],[ID]])</f>
        <v>801016</v>
      </c>
      <c r="AZ18" s="80">
        <v>12</v>
      </c>
      <c r="BA18" s="58">
        <f>FormFields[[#This Row],[ID]]</f>
        <v>801016</v>
      </c>
      <c r="BC18" s="63" t="s">
        <v>1038</v>
      </c>
      <c r="BD18" s="62" t="str">
        <f>'Table Seed Map'!$A$15&amp;"-"&amp;(-1+COUNTA($BC$1:FieldAttrs[[#This Row],[ATTR Field]]))</f>
        <v>Field Attrs-16</v>
      </c>
      <c r="BE18" s="60">
        <f>IF(FieldAttrs[[#This Row],[ATTR Field]]="","id",-1+COUNTA($BC$1:FieldAttrs[[#This Row],[ATTR Field]])+VLOOKUP('Table Seed Map'!$A$15,SeedMap[],9,0))</f>
        <v>801316</v>
      </c>
      <c r="BF18" s="58">
        <f>IFERROR(VLOOKUP(FieldAttrs[ATTR Field],FormFields[[Field Name]:[ID]],2,0),"form_field")</f>
        <v>801015</v>
      </c>
      <c r="BG18" s="58" t="s">
        <v>904</v>
      </c>
      <c r="BH18" s="58">
        <v>4</v>
      </c>
    </row>
    <row r="19" spans="13:60" x14ac:dyDescent="0.25">
      <c r="M19" s="39" t="str">
        <f>'Table Seed Map'!$A$12&amp;"-"&amp;FormFields[[#This Row],[No]]</f>
        <v>Form Fields-17</v>
      </c>
      <c r="N19" s="59" t="s">
        <v>1033</v>
      </c>
      <c r="O19" s="71">
        <f>COUNTA($N$1:FormFields[[#This Row],[Form Name]])-1</f>
        <v>17</v>
      </c>
      <c r="P19" s="70" t="str">
        <f>FormFields[[#This Row],[Form Name]]&amp;"/"&amp;FormFields[[#This Row],[Name]]</f>
        <v>PartnerTask/TaskCompleteAttachment/progress</v>
      </c>
      <c r="Q19" s="71">
        <f>IF(FormFields[[#This Row],[No]]=0,"id",FormFields[[#This Row],[No]]+IF(ISNUMBER(VLOOKUP('Table Seed Map'!$A$12,SeedMap[],9,0)),VLOOKUP('Table Seed Map'!$A$12,SeedMap[],9,0),0))</f>
        <v>801017</v>
      </c>
      <c r="R19" s="72">
        <f>IFERROR(VLOOKUP(FormFields[[#This Row],[Form Name]],ResourceForms[[FormName]:[ID]],4,0),"resource_form")</f>
        <v>800905</v>
      </c>
      <c r="S19" s="73" t="s">
        <v>823</v>
      </c>
      <c r="T19" s="73" t="s">
        <v>1017</v>
      </c>
      <c r="U19" s="73" t="s">
        <v>1030</v>
      </c>
      <c r="V19" s="74"/>
      <c r="W19" s="74"/>
      <c r="X19" s="74"/>
      <c r="Y19" s="74"/>
      <c r="Z19" s="75" t="str">
        <f>'Table Seed Map'!$A$13&amp;"-"&amp;FormFields[[#This Row],[NO2]]</f>
        <v>Field Data-13</v>
      </c>
      <c r="AA19" s="76">
        <f>COUNTIFS($AB$1:FormFields[[#This Row],[Exists]],1)-1</f>
        <v>13</v>
      </c>
      <c r="AB19" s="76">
        <f>IF(AND(FormFields[[#This Row],[Attribute]]="",FormFields[[#This Row],[Rel]]=""),0,1)</f>
        <v>1</v>
      </c>
      <c r="AC19" s="76">
        <f>IF(FormFields[[#This Row],[NO2]]=0,"id",FormFields[[#This Row],[NO2]]+IF(ISNUMBER(VLOOKUP('Table Seed Map'!$A$13,SeedMap[],9,0)),VLOOKUP('Table Seed Map'!$A$13,SeedMap[],9,0),0))</f>
        <v>801113</v>
      </c>
      <c r="AD19" s="77">
        <f>IF(FormFields[[#This Row],[ID]]="id","form_field",FormFields[[#This Row],[ID]])</f>
        <v>801017</v>
      </c>
      <c r="AE19" s="76" t="str">
        <f>IF(FormFields[[#This Row],[No]]=0,"attribute",FormFields[[#This Row],[Name]])</f>
        <v>progress</v>
      </c>
      <c r="AF19" s="78" t="str">
        <f>IF(FormFields[[#This Row],[NO2]]=0,"relation",IF(FormFields[[#This Row],[Rel]]="","",VLOOKUP(FormFields[[#This Row],[Rel]],RelationTable[[Display]:[RELID]],2,0)))</f>
        <v/>
      </c>
      <c r="AG19" s="78" t="str">
        <f>IF(FormFields[[#This Row],[NO2]]=0,"nest_relation1",IF(FormFields[[#This Row],[Rel1]]="","",VLOOKUP(FormFields[[#This Row],[Rel1]],RelationTable[[Display]:[RELID]],2,0)))</f>
        <v/>
      </c>
      <c r="AH19" s="78" t="str">
        <f>IF(FormFields[[#This Row],[NO2]]=0,"nest_relation2",IF(FormFields[[#This Row],[Rel2]]="","",VLOOKUP(FormFields[[#This Row],[Rel2]],RelationTable[[Display]:[RELID]],2,0)))</f>
        <v/>
      </c>
      <c r="AI19" s="78" t="str">
        <f>IF(FormFields[[#This Row],[NO2]]=0,"nest_relation3",IF(FormFields[[#This Row],[Rel3]]="","",VLOOKUP(FormFields[[#This Row],[Rel3]],RelationTable[[Display]:[RELID]],2,0)))</f>
        <v/>
      </c>
      <c r="AJ19" s="71">
        <f>IF(OR(FormFields[[#This Row],[Option Type]]="",FormFields[[#This Row],[Option Type]]="type"),0,1)</f>
        <v>0</v>
      </c>
      <c r="AK19" s="71" t="str">
        <f>'Table Seed Map'!$A$14&amp;"-"&amp;FormFields[[#This Row],[NO4]]</f>
        <v>Field Options-3</v>
      </c>
      <c r="AL19" s="71">
        <f>COUNTIF($AJ$2:FormFields[[#This Row],[Exists FO]],1)</f>
        <v>3</v>
      </c>
      <c r="AM19" s="71">
        <f>IF(FormFields[[#This Row],[NO4]]=0,"id",FormFields[[#This Row],[NO4]]+IF(ISNUMBER(VLOOKUP('Table Seed Map'!$A$14,SeedMap[],9,0)),VLOOKUP('Table Seed Map'!$A$14,SeedMap[],9,0),0))</f>
        <v>801203</v>
      </c>
      <c r="AN19" s="58">
        <f>IF(FormFields[[#This Row],[ID]]="id","form_field",FormFields[[#This Row],[ID]])</f>
        <v>801017</v>
      </c>
      <c r="AO19" s="79"/>
      <c r="AP19" s="79"/>
      <c r="AQ19" s="79"/>
      <c r="AR19" s="79"/>
      <c r="AS19" s="79"/>
      <c r="AT19" s="71">
        <f>IF(OR(FormFields[[#This Row],[Colspan]]="",FormFields[[#This Row],[Colspan]]="colspan"),0,1)</f>
        <v>1</v>
      </c>
      <c r="AU19" s="71" t="str">
        <f>'Table Seed Map'!$A$19&amp;"-"&amp;FormFields[[#This Row],[NO8]]</f>
        <v>Form Layout-3</v>
      </c>
      <c r="AV19" s="71">
        <f>COUNTIF($AT$1:FormFields[[#This Row],[Exists FL]],1)</f>
        <v>3</v>
      </c>
      <c r="AW19" s="71">
        <f>IF(FormFields[[#This Row],[NO8]]=0,"id",IF(FormFields[[#This Row],[Exists FL]]=1,FormFields[[#This Row],[NO8]]+IF(ISNUMBER(VLOOKUP('Table Seed Map'!$A$19,SeedMap[],9,0)),VLOOKUP('Table Seed Map'!$A$19,SeedMap[],9,0),0),""))</f>
        <v>801703</v>
      </c>
      <c r="AX19" s="71">
        <f>FormFields[Form]</f>
        <v>800905</v>
      </c>
      <c r="AY19" s="71">
        <f>IF(FormFields[[#This Row],[ID]]="id","form_field",FormFields[[#This Row],[ID]])</f>
        <v>801017</v>
      </c>
      <c r="AZ19" s="80">
        <v>12</v>
      </c>
      <c r="BA19" s="58">
        <f>FormFields[[#This Row],[ID]]</f>
        <v>801017</v>
      </c>
      <c r="BC19" s="63" t="s">
        <v>1039</v>
      </c>
      <c r="BD19" s="62" t="str">
        <f>'Table Seed Map'!$A$15&amp;"-"&amp;(-1+COUNTA($BC$1:FieldAttrs[[#This Row],[ATTR Field]]))</f>
        <v>Field Attrs-17</v>
      </c>
      <c r="BE19" s="60">
        <f>IF(FieldAttrs[[#This Row],[ATTR Field]]="","id",-1+COUNTA($BC$1:FieldAttrs[[#This Row],[ATTR Field]])+VLOOKUP('Table Seed Map'!$A$15,SeedMap[],9,0))</f>
        <v>801317</v>
      </c>
      <c r="BF19" s="58">
        <f>IFERROR(VLOOKUP(FieldAttrs[ATTR Field],FormFields[[Field Name]:[ID]],2,0),"form_field")</f>
        <v>801016</v>
      </c>
      <c r="BG19" s="58" t="s">
        <v>904</v>
      </c>
      <c r="BH19" s="58">
        <v>4</v>
      </c>
    </row>
    <row r="20" spans="13:60" x14ac:dyDescent="0.25">
      <c r="M20" s="70" t="str">
        <f>'Table Seed Map'!$A$12&amp;"-"&amp;FormFields[[#This Row],[No]]</f>
        <v>Form Fields-18</v>
      </c>
      <c r="N20" s="59" t="s">
        <v>1033</v>
      </c>
      <c r="O20" s="71">
        <f>COUNTA($N$1:FormFields[[#This Row],[Form Name]])-1</f>
        <v>18</v>
      </c>
      <c r="P20" s="70" t="str">
        <f>FormFields[[#This Row],[Form Name]]&amp;"/"&amp;FormFields[[#This Row],[Name]]</f>
        <v>PartnerTask/TaskCompleteAttachment/remarks</v>
      </c>
      <c r="Q20" s="71">
        <f>IF(FormFields[[#This Row],[No]]=0,"id",FormFields[[#This Row],[No]]+IF(ISNUMBER(VLOOKUP('Table Seed Map'!$A$12,SeedMap[],9,0)),VLOOKUP('Table Seed Map'!$A$12,SeedMap[],9,0),0))</f>
        <v>801018</v>
      </c>
      <c r="R20" s="72">
        <f>IFERROR(VLOOKUP(FormFields[[#This Row],[Form Name]],ResourceForms[[FormName]:[ID]],4,0),"resource_form")</f>
        <v>800905</v>
      </c>
      <c r="S20" s="73" t="s">
        <v>1111</v>
      </c>
      <c r="T20" s="73" t="s">
        <v>898</v>
      </c>
      <c r="U20" s="73" t="s">
        <v>1112</v>
      </c>
      <c r="V20" s="74"/>
      <c r="W20" s="74"/>
      <c r="X20" s="74"/>
      <c r="Y20" s="74"/>
      <c r="Z20" s="75" t="str">
        <f>'Table Seed Map'!$A$13&amp;"-"&amp;FormFields[[#This Row],[NO2]]</f>
        <v>Field Data-14</v>
      </c>
      <c r="AA20" s="76">
        <f>COUNTIFS($AB$1:FormFields[[#This Row],[Exists]],1)-1</f>
        <v>14</v>
      </c>
      <c r="AB20" s="76">
        <f>IF(AND(FormFields[[#This Row],[Attribute]]="",FormFields[[#This Row],[Rel]]=""),0,1)</f>
        <v>1</v>
      </c>
      <c r="AC20" s="76">
        <f>IF(FormFields[[#This Row],[NO2]]=0,"id",FormFields[[#This Row],[NO2]]+IF(ISNUMBER(VLOOKUP('Table Seed Map'!$A$13,SeedMap[],9,0)),VLOOKUP('Table Seed Map'!$A$13,SeedMap[],9,0),0))</f>
        <v>801114</v>
      </c>
      <c r="AD20" s="77">
        <f>IF(FormFields[[#This Row],[ID]]="id","form_field",FormFields[[#This Row],[ID]])</f>
        <v>801018</v>
      </c>
      <c r="AE20" s="76" t="str">
        <f>IF(FormFields[[#This Row],[No]]=0,"attribute",FormFields[[#This Row],[Name]])</f>
        <v>remarks</v>
      </c>
      <c r="AF20" s="78" t="str">
        <f>IF(FormFields[[#This Row],[NO2]]=0,"relation",IF(FormFields[[#This Row],[Rel]]="","",VLOOKUP(FormFields[[#This Row],[Rel]],RelationTable[[Display]:[RELID]],2,0)))</f>
        <v/>
      </c>
      <c r="AG20" s="78" t="str">
        <f>IF(FormFields[[#This Row],[NO2]]=0,"nest_relation1",IF(FormFields[[#This Row],[Rel1]]="","",VLOOKUP(FormFields[[#This Row],[Rel1]],RelationTable[[Display]:[RELID]],2,0)))</f>
        <v/>
      </c>
      <c r="AH20" s="78" t="str">
        <f>IF(FormFields[[#This Row],[NO2]]=0,"nest_relation2",IF(FormFields[[#This Row],[Rel2]]="","",VLOOKUP(FormFields[[#This Row],[Rel2]],RelationTable[[Display]:[RELID]],2,0)))</f>
        <v/>
      </c>
      <c r="AI20" s="78" t="str">
        <f>IF(FormFields[[#This Row],[NO2]]=0,"nest_relation3",IF(FormFields[[#This Row],[Rel3]]="","",VLOOKUP(FormFields[[#This Row],[Rel3]],RelationTable[[Display]:[RELID]],2,0)))</f>
        <v/>
      </c>
      <c r="AJ20" s="71">
        <f>IF(OR(FormFields[[#This Row],[Option Type]]="",FormFields[[#This Row],[Option Type]]="type"),0,1)</f>
        <v>0</v>
      </c>
      <c r="AK20" s="71" t="str">
        <f>'Table Seed Map'!$A$14&amp;"-"&amp;FormFields[[#This Row],[NO4]]</f>
        <v>Field Options-3</v>
      </c>
      <c r="AL20" s="71">
        <f>COUNTIF($AJ$2:FormFields[[#This Row],[Exists FO]],1)</f>
        <v>3</v>
      </c>
      <c r="AM20" s="71">
        <f>IF(FormFields[[#This Row],[NO4]]=0,"id",FormFields[[#This Row],[NO4]]+IF(ISNUMBER(VLOOKUP('Table Seed Map'!$A$14,SeedMap[],9,0)),VLOOKUP('Table Seed Map'!$A$14,SeedMap[],9,0),0))</f>
        <v>801203</v>
      </c>
      <c r="AN20" s="58">
        <f>IF(FormFields[[#This Row],[ID]]="id","form_field",FormFields[[#This Row],[ID]])</f>
        <v>801018</v>
      </c>
      <c r="AO20" s="79"/>
      <c r="AP20" s="79"/>
      <c r="AQ20" s="79"/>
      <c r="AR20" s="79"/>
      <c r="AS20" s="79"/>
      <c r="AT20" s="71">
        <f>IF(OR(FormFields[[#This Row],[Colspan]]="",FormFields[[#This Row],[Colspan]]="colspan"),0,1)</f>
        <v>1</v>
      </c>
      <c r="AU20" s="71" t="str">
        <f>'Table Seed Map'!$A$19&amp;"-"&amp;FormFields[[#This Row],[NO8]]</f>
        <v>Form Layout-4</v>
      </c>
      <c r="AV20" s="71">
        <f>COUNTIF($AT$1:FormFields[[#This Row],[Exists FL]],1)</f>
        <v>4</v>
      </c>
      <c r="AW20" s="71">
        <f>IF(FormFields[[#This Row],[NO8]]=0,"id",IF(FormFields[[#This Row],[Exists FL]]=1,FormFields[[#This Row],[NO8]]+IF(ISNUMBER(VLOOKUP('Table Seed Map'!$A$19,SeedMap[],9,0)),VLOOKUP('Table Seed Map'!$A$19,SeedMap[],9,0),0),""))</f>
        <v>801704</v>
      </c>
      <c r="AX20" s="71">
        <f>FormFields[Form]</f>
        <v>800905</v>
      </c>
      <c r="AY20" s="71">
        <f>IF(FormFields[[#This Row],[ID]]="id","form_field",FormFields[[#This Row],[ID]])</f>
        <v>801018</v>
      </c>
      <c r="AZ20" s="80">
        <v>12</v>
      </c>
      <c r="BA20" s="58">
        <f>FormFields[[#This Row],[ID]]</f>
        <v>801018</v>
      </c>
      <c r="BC20" s="63" t="s">
        <v>1040</v>
      </c>
      <c r="BD20" s="62" t="str">
        <f>'Table Seed Map'!$A$15&amp;"-"&amp;(-1+COUNTA($BC$1:FieldAttrs[[#This Row],[ATTR Field]]))</f>
        <v>Field Attrs-18</v>
      </c>
      <c r="BE20" s="60">
        <f>IF(FieldAttrs[[#This Row],[ATTR Field]]="","id",-1+COUNTA($BC$1:FieldAttrs[[#This Row],[ATTR Field]])+VLOOKUP('Table Seed Map'!$A$15,SeedMap[],9,0))</f>
        <v>801318</v>
      </c>
      <c r="BF20" s="58">
        <f>IFERROR(VLOOKUP(FieldAttrs[ATTR Field],FormFields[[Field Name]:[ID]],2,0),"form_field")</f>
        <v>801017</v>
      </c>
      <c r="BG20" s="58" t="s">
        <v>904</v>
      </c>
      <c r="BH20" s="58">
        <v>4</v>
      </c>
    </row>
    <row r="21" spans="13:60" x14ac:dyDescent="0.25">
      <c r="M21" s="70" t="str">
        <f>'Table Seed Map'!$A$12&amp;"-"&amp;FormFields[[#This Row],[No]]</f>
        <v>Form Fields-19</v>
      </c>
      <c r="N21" s="59" t="s">
        <v>1033</v>
      </c>
      <c r="O21" s="71">
        <f>COUNTA($N$1:FormFields[[#This Row],[Form Name]])-1</f>
        <v>19</v>
      </c>
      <c r="P21" s="70" t="str">
        <f>FormFields[[#This Row],[Form Name]]&amp;"/"&amp;FormFields[[#This Row],[Name]]</f>
        <v>PartnerTask/TaskCompleteAttachment/attachment1</v>
      </c>
      <c r="Q21" s="71">
        <f>IF(FormFields[[#This Row],[No]]=0,"id",FormFields[[#This Row],[No]]+IF(ISNUMBER(VLOOKUP('Table Seed Map'!$A$12,SeedMap[],9,0)),VLOOKUP('Table Seed Map'!$A$12,SeedMap[],9,0),0))</f>
        <v>801019</v>
      </c>
      <c r="R21" s="72">
        <f>IFERROR(VLOOKUP(FormFields[[#This Row],[Form Name]],ResourceForms[[FormName]:[ID]],4,0),"resource_form")</f>
        <v>800905</v>
      </c>
      <c r="S21" s="73" t="s">
        <v>837</v>
      </c>
      <c r="T21" s="73" t="s">
        <v>1034</v>
      </c>
      <c r="U21" s="73" t="s">
        <v>1035</v>
      </c>
      <c r="V21" s="74"/>
      <c r="W21" s="74"/>
      <c r="X21" s="74"/>
      <c r="Y21" s="74"/>
      <c r="Z21" s="75" t="str">
        <f>'Table Seed Map'!$A$13&amp;"-"&amp;FormFields[[#This Row],[NO2]]</f>
        <v>Field Data-15</v>
      </c>
      <c r="AA21" s="76">
        <f>COUNTIFS($AB$1:FormFields[[#This Row],[Exists]],1)-1</f>
        <v>15</v>
      </c>
      <c r="AB21" s="76">
        <f>IF(AND(FormFields[[#This Row],[Attribute]]="",FormFields[[#This Row],[Rel]]=""),0,1)</f>
        <v>1</v>
      </c>
      <c r="AC21" s="76">
        <f>IF(FormFields[[#This Row],[NO2]]=0,"id",FormFields[[#This Row],[NO2]]+IF(ISNUMBER(VLOOKUP('Table Seed Map'!$A$13,SeedMap[],9,0)),VLOOKUP('Table Seed Map'!$A$13,SeedMap[],9,0),0))</f>
        <v>801115</v>
      </c>
      <c r="AD21" s="77">
        <f>IF(FormFields[[#This Row],[ID]]="id","form_field",FormFields[[#This Row],[ID]])</f>
        <v>801019</v>
      </c>
      <c r="AE21" s="76" t="str">
        <f>IF(FormFields[[#This Row],[No]]=0,"attribute",FormFields[[#This Row],[Name]])</f>
        <v>attachment1</v>
      </c>
      <c r="AF21" s="78" t="str">
        <f>IF(FormFields[[#This Row],[NO2]]=0,"relation",IF(FormFields[[#This Row],[Rel]]="","",VLOOKUP(FormFields[[#This Row],[Rel]],RelationTable[[Display]:[RELID]],2,0)))</f>
        <v/>
      </c>
      <c r="AG21" s="78" t="str">
        <f>IF(FormFields[[#This Row],[NO2]]=0,"nest_relation1",IF(FormFields[[#This Row],[Rel1]]="","",VLOOKUP(FormFields[[#This Row],[Rel1]],RelationTable[[Display]:[RELID]],2,0)))</f>
        <v/>
      </c>
      <c r="AH21" s="78" t="str">
        <f>IF(FormFields[[#This Row],[NO2]]=0,"nest_relation2",IF(FormFields[[#This Row],[Rel2]]="","",VLOOKUP(FormFields[[#This Row],[Rel2]],RelationTable[[Display]:[RELID]],2,0)))</f>
        <v/>
      </c>
      <c r="AI21" s="78" t="str">
        <f>IF(FormFields[[#This Row],[NO2]]=0,"nest_relation3",IF(FormFields[[#This Row],[Rel3]]="","",VLOOKUP(FormFields[[#This Row],[Rel3]],RelationTable[[Display]:[RELID]],2,0)))</f>
        <v/>
      </c>
      <c r="AJ21" s="71">
        <f>IF(OR(FormFields[[#This Row],[Option Type]]="",FormFields[[#This Row],[Option Type]]="type"),0,1)</f>
        <v>0</v>
      </c>
      <c r="AK21" s="71" t="str">
        <f>'Table Seed Map'!$A$14&amp;"-"&amp;FormFields[[#This Row],[NO4]]</f>
        <v>Field Options-3</v>
      </c>
      <c r="AL21" s="71">
        <f>COUNTIF($AJ$2:FormFields[[#This Row],[Exists FO]],1)</f>
        <v>3</v>
      </c>
      <c r="AM21" s="71">
        <f>IF(FormFields[[#This Row],[NO4]]=0,"id",FormFields[[#This Row],[NO4]]+IF(ISNUMBER(VLOOKUP('Table Seed Map'!$A$14,SeedMap[],9,0)),VLOOKUP('Table Seed Map'!$A$14,SeedMap[],9,0),0))</f>
        <v>801203</v>
      </c>
      <c r="AN21" s="58">
        <f>IF(FormFields[[#This Row],[ID]]="id","form_field",FormFields[[#This Row],[ID]])</f>
        <v>801019</v>
      </c>
      <c r="AO21" s="79"/>
      <c r="AP21" s="79"/>
      <c r="AQ21" s="79"/>
      <c r="AR21" s="79"/>
      <c r="AS21" s="79"/>
      <c r="AT21" s="71">
        <f>IF(OR(FormFields[[#This Row],[Colspan]]="",FormFields[[#This Row],[Colspan]]="colspan"),0,1)</f>
        <v>1</v>
      </c>
      <c r="AU21" s="71" t="str">
        <f>'Table Seed Map'!$A$19&amp;"-"&amp;FormFields[[#This Row],[NO8]]</f>
        <v>Form Layout-5</v>
      </c>
      <c r="AV21" s="71">
        <f>COUNTIF($AT$1:FormFields[[#This Row],[Exists FL]],1)</f>
        <v>5</v>
      </c>
      <c r="AW21" s="71">
        <f>IF(FormFields[[#This Row],[NO8]]=0,"id",IF(FormFields[[#This Row],[Exists FL]]=1,FormFields[[#This Row],[NO8]]+IF(ISNUMBER(VLOOKUP('Table Seed Map'!$A$19,SeedMap[],9,0)),VLOOKUP('Table Seed Map'!$A$19,SeedMap[],9,0),0),""))</f>
        <v>801705</v>
      </c>
      <c r="AX21" s="71">
        <f>FormFields[Form]</f>
        <v>800905</v>
      </c>
      <c r="AY21" s="71">
        <f>IF(FormFields[[#This Row],[ID]]="id","form_field",FormFields[[#This Row],[ID]])</f>
        <v>801019</v>
      </c>
      <c r="AZ21" s="80">
        <v>4</v>
      </c>
      <c r="BA21" s="58">
        <f>FormFields[[#This Row],[ID]]</f>
        <v>801019</v>
      </c>
      <c r="BC21" s="63" t="s">
        <v>1040</v>
      </c>
      <c r="BD21" s="62" t="str">
        <f>'Table Seed Map'!$A$15&amp;"-"&amp;(-1+COUNTA($BC$1:FieldAttrs[[#This Row],[ATTR Field]]))</f>
        <v>Field Attrs-19</v>
      </c>
      <c r="BE21" s="60">
        <f>IF(FieldAttrs[[#This Row],[ATTR Field]]="","id",-1+COUNTA($BC$1:FieldAttrs[[#This Row],[ATTR Field]])+VLOOKUP('Table Seed Map'!$A$15,SeedMap[],9,0))</f>
        <v>801319</v>
      </c>
      <c r="BF21" s="58">
        <f>IFERROR(VLOOKUP(FieldAttrs[ATTR Field],FormFields[[Field Name]:[ID]],2,0),"form_field")</f>
        <v>801017</v>
      </c>
      <c r="BG21" s="58" t="s">
        <v>44</v>
      </c>
      <c r="BH21" s="58" t="s">
        <v>1003</v>
      </c>
    </row>
    <row r="22" spans="13:60" x14ac:dyDescent="0.25">
      <c r="M22" s="70" t="str">
        <f>'Table Seed Map'!$A$12&amp;"-"&amp;FormFields[[#This Row],[No]]</f>
        <v>Form Fields-20</v>
      </c>
      <c r="N22" s="59" t="s">
        <v>1033</v>
      </c>
      <c r="O22" s="71">
        <f>COUNTA($N$1:FormFields[[#This Row],[Form Name]])-1</f>
        <v>20</v>
      </c>
      <c r="P22" s="70" t="str">
        <f>FormFields[[#This Row],[Form Name]]&amp;"/"&amp;FormFields[[#This Row],[Name]]</f>
        <v>PartnerTask/TaskCompleteAttachment/attachment2</v>
      </c>
      <c r="Q22" s="71">
        <f>IF(FormFields[[#This Row],[No]]=0,"id",FormFields[[#This Row],[No]]+IF(ISNUMBER(VLOOKUP('Table Seed Map'!$A$12,SeedMap[],9,0)),VLOOKUP('Table Seed Map'!$A$12,SeedMap[],9,0),0))</f>
        <v>801020</v>
      </c>
      <c r="R22" s="72">
        <f>IFERROR(VLOOKUP(FormFields[[#This Row],[Form Name]],ResourceForms[[FormName]:[ID]],4,0),"resource_form")</f>
        <v>800905</v>
      </c>
      <c r="S22" s="73" t="s">
        <v>839</v>
      </c>
      <c r="T22" s="73" t="s">
        <v>1034</v>
      </c>
      <c r="U22" s="73" t="s">
        <v>1036</v>
      </c>
      <c r="V22" s="74"/>
      <c r="W22" s="74"/>
      <c r="X22" s="74"/>
      <c r="Y22" s="74"/>
      <c r="Z22" s="75" t="str">
        <f>'Table Seed Map'!$A$13&amp;"-"&amp;FormFields[[#This Row],[NO2]]</f>
        <v>Field Data-16</v>
      </c>
      <c r="AA22" s="76">
        <f>COUNTIFS($AB$1:FormFields[[#This Row],[Exists]],1)-1</f>
        <v>16</v>
      </c>
      <c r="AB22" s="76">
        <f>IF(AND(FormFields[[#This Row],[Attribute]]="",FormFields[[#This Row],[Rel]]=""),0,1)</f>
        <v>1</v>
      </c>
      <c r="AC22" s="76">
        <f>IF(FormFields[[#This Row],[NO2]]=0,"id",FormFields[[#This Row],[NO2]]+IF(ISNUMBER(VLOOKUP('Table Seed Map'!$A$13,SeedMap[],9,0)),VLOOKUP('Table Seed Map'!$A$13,SeedMap[],9,0),0))</f>
        <v>801116</v>
      </c>
      <c r="AD22" s="77">
        <f>IF(FormFields[[#This Row],[ID]]="id","form_field",FormFields[[#This Row],[ID]])</f>
        <v>801020</v>
      </c>
      <c r="AE22" s="76" t="str">
        <f>IF(FormFields[[#This Row],[No]]=0,"attribute",FormFields[[#This Row],[Name]])</f>
        <v>attachment2</v>
      </c>
      <c r="AF22" s="78" t="str">
        <f>IF(FormFields[[#This Row],[NO2]]=0,"relation",IF(FormFields[[#This Row],[Rel]]="","",VLOOKUP(FormFields[[#This Row],[Rel]],RelationTable[[Display]:[RELID]],2,0)))</f>
        <v/>
      </c>
      <c r="AG22" s="78" t="str">
        <f>IF(FormFields[[#This Row],[NO2]]=0,"nest_relation1",IF(FormFields[[#This Row],[Rel1]]="","",VLOOKUP(FormFields[[#This Row],[Rel1]],RelationTable[[Display]:[RELID]],2,0)))</f>
        <v/>
      </c>
      <c r="AH22" s="78" t="str">
        <f>IF(FormFields[[#This Row],[NO2]]=0,"nest_relation2",IF(FormFields[[#This Row],[Rel2]]="","",VLOOKUP(FormFields[[#This Row],[Rel2]],RelationTable[[Display]:[RELID]],2,0)))</f>
        <v/>
      </c>
      <c r="AI22" s="78" t="str">
        <f>IF(FormFields[[#This Row],[NO2]]=0,"nest_relation3",IF(FormFields[[#This Row],[Rel3]]="","",VLOOKUP(FormFields[[#This Row],[Rel3]],RelationTable[[Display]:[RELID]],2,0)))</f>
        <v/>
      </c>
      <c r="AJ22" s="71">
        <f>IF(OR(FormFields[[#This Row],[Option Type]]="",FormFields[[#This Row],[Option Type]]="type"),0,1)</f>
        <v>0</v>
      </c>
      <c r="AK22" s="71" t="str">
        <f>'Table Seed Map'!$A$14&amp;"-"&amp;FormFields[[#This Row],[NO4]]</f>
        <v>Field Options-3</v>
      </c>
      <c r="AL22" s="71">
        <f>COUNTIF($AJ$2:FormFields[[#This Row],[Exists FO]],1)</f>
        <v>3</v>
      </c>
      <c r="AM22" s="71">
        <f>IF(FormFields[[#This Row],[NO4]]=0,"id",FormFields[[#This Row],[NO4]]+IF(ISNUMBER(VLOOKUP('Table Seed Map'!$A$14,SeedMap[],9,0)),VLOOKUP('Table Seed Map'!$A$14,SeedMap[],9,0),0))</f>
        <v>801203</v>
      </c>
      <c r="AN22" s="58">
        <f>IF(FormFields[[#This Row],[ID]]="id","form_field",FormFields[[#This Row],[ID]])</f>
        <v>801020</v>
      </c>
      <c r="AO22" s="79"/>
      <c r="AP22" s="79"/>
      <c r="AQ22" s="79"/>
      <c r="AR22" s="79"/>
      <c r="AS22" s="79"/>
      <c r="AT22" s="71">
        <f>IF(OR(FormFields[[#This Row],[Colspan]]="",FormFields[[#This Row],[Colspan]]="colspan"),0,1)</f>
        <v>1</v>
      </c>
      <c r="AU22" s="71" t="str">
        <f>'Table Seed Map'!$A$19&amp;"-"&amp;FormFields[[#This Row],[NO8]]</f>
        <v>Form Layout-6</v>
      </c>
      <c r="AV22" s="71">
        <f>COUNTIF($AT$1:FormFields[[#This Row],[Exists FL]],1)</f>
        <v>6</v>
      </c>
      <c r="AW22" s="71">
        <f>IF(FormFields[[#This Row],[NO8]]=0,"id",IF(FormFields[[#This Row],[Exists FL]]=1,FormFields[[#This Row],[NO8]]+IF(ISNUMBER(VLOOKUP('Table Seed Map'!$A$19,SeedMap[],9,0)),VLOOKUP('Table Seed Map'!$A$19,SeedMap[],9,0),0),""))</f>
        <v>801706</v>
      </c>
      <c r="AX22" s="71">
        <f>FormFields[Form]</f>
        <v>800905</v>
      </c>
      <c r="AY22" s="71">
        <f>IF(FormFields[[#This Row],[ID]]="id","form_field",FormFields[[#This Row],[ID]])</f>
        <v>801020</v>
      </c>
      <c r="AZ22" s="80">
        <v>4</v>
      </c>
      <c r="BA22" s="58">
        <f>FormFields[[#This Row],[ID]]</f>
        <v>801020</v>
      </c>
      <c r="BC22" s="63" t="s">
        <v>1114</v>
      </c>
      <c r="BD22" s="62" t="str">
        <f>'Table Seed Map'!$A$15&amp;"-"&amp;(-1+COUNTA($BC$1:FieldAttrs[[#This Row],[ATTR Field]]))</f>
        <v>Field Attrs-20</v>
      </c>
      <c r="BE22" s="60">
        <f>IF(FieldAttrs[[#This Row],[ATTR Field]]="","id",-1+COUNTA($BC$1:FieldAttrs[[#This Row],[ATTR Field]])+VLOOKUP('Table Seed Map'!$A$15,SeedMap[],9,0))</f>
        <v>801320</v>
      </c>
      <c r="BF22" s="58">
        <f>IFERROR(VLOOKUP(FieldAttrs[ATTR Field],FormFields[[Field Name]:[ID]],2,0),"form_field")</f>
        <v>801018</v>
      </c>
      <c r="BG22" s="58" t="s">
        <v>904</v>
      </c>
      <c r="BH22" s="58">
        <v>4</v>
      </c>
    </row>
    <row r="23" spans="13:60" x14ac:dyDescent="0.25">
      <c r="M23" s="70" t="str">
        <f>'Table Seed Map'!$A$12&amp;"-"&amp;FormFields[[#This Row],[No]]</f>
        <v>Form Fields-21</v>
      </c>
      <c r="N23" s="59" t="s">
        <v>1033</v>
      </c>
      <c r="O23" s="71">
        <f>COUNTA($N$1:FormFields[[#This Row],[Form Name]])-1</f>
        <v>21</v>
      </c>
      <c r="P23" s="70" t="str">
        <f>FormFields[[#This Row],[Form Name]]&amp;"/"&amp;FormFields[[#This Row],[Name]]</f>
        <v>PartnerTask/TaskCompleteAttachment/attachment3</v>
      </c>
      <c r="Q23" s="71">
        <f>IF(FormFields[[#This Row],[No]]=0,"id",FormFields[[#This Row],[No]]+IF(ISNUMBER(VLOOKUP('Table Seed Map'!$A$12,SeedMap[],9,0)),VLOOKUP('Table Seed Map'!$A$12,SeedMap[],9,0),0))</f>
        <v>801021</v>
      </c>
      <c r="R23" s="72">
        <f>IFERROR(VLOOKUP(FormFields[[#This Row],[Form Name]],ResourceForms[[FormName]:[ID]],4,0),"resource_form")</f>
        <v>800905</v>
      </c>
      <c r="S23" s="73" t="s">
        <v>840</v>
      </c>
      <c r="T23" s="73" t="s">
        <v>1034</v>
      </c>
      <c r="U23" s="73" t="s">
        <v>1037</v>
      </c>
      <c r="V23" s="74"/>
      <c r="W23" s="74"/>
      <c r="X23" s="74"/>
      <c r="Y23" s="74"/>
      <c r="Z23" s="75" t="str">
        <f>'Table Seed Map'!$A$13&amp;"-"&amp;FormFields[[#This Row],[NO2]]</f>
        <v>Field Data-17</v>
      </c>
      <c r="AA23" s="76">
        <f>COUNTIFS($AB$1:FormFields[[#This Row],[Exists]],1)-1</f>
        <v>17</v>
      </c>
      <c r="AB23" s="76">
        <f>IF(AND(FormFields[[#This Row],[Attribute]]="",FormFields[[#This Row],[Rel]]=""),0,1)</f>
        <v>1</v>
      </c>
      <c r="AC23" s="76">
        <f>IF(FormFields[[#This Row],[NO2]]=0,"id",FormFields[[#This Row],[NO2]]+IF(ISNUMBER(VLOOKUP('Table Seed Map'!$A$13,SeedMap[],9,0)),VLOOKUP('Table Seed Map'!$A$13,SeedMap[],9,0),0))</f>
        <v>801117</v>
      </c>
      <c r="AD23" s="77">
        <f>IF(FormFields[[#This Row],[ID]]="id","form_field",FormFields[[#This Row],[ID]])</f>
        <v>801021</v>
      </c>
      <c r="AE23" s="76" t="str">
        <f>IF(FormFields[[#This Row],[No]]=0,"attribute",FormFields[[#This Row],[Name]])</f>
        <v>attachment3</v>
      </c>
      <c r="AF23" s="78" t="str">
        <f>IF(FormFields[[#This Row],[NO2]]=0,"relation",IF(FormFields[[#This Row],[Rel]]="","",VLOOKUP(FormFields[[#This Row],[Rel]],RelationTable[[Display]:[RELID]],2,0)))</f>
        <v/>
      </c>
      <c r="AG23" s="78" t="str">
        <f>IF(FormFields[[#This Row],[NO2]]=0,"nest_relation1",IF(FormFields[[#This Row],[Rel1]]="","",VLOOKUP(FormFields[[#This Row],[Rel1]],RelationTable[[Display]:[RELID]],2,0)))</f>
        <v/>
      </c>
      <c r="AH23" s="78" t="str">
        <f>IF(FormFields[[#This Row],[NO2]]=0,"nest_relation2",IF(FormFields[[#This Row],[Rel2]]="","",VLOOKUP(FormFields[[#This Row],[Rel2]],RelationTable[[Display]:[RELID]],2,0)))</f>
        <v/>
      </c>
      <c r="AI23" s="78" t="str">
        <f>IF(FormFields[[#This Row],[NO2]]=0,"nest_relation3",IF(FormFields[[#This Row],[Rel3]]="","",VLOOKUP(FormFields[[#This Row],[Rel3]],RelationTable[[Display]:[RELID]],2,0)))</f>
        <v/>
      </c>
      <c r="AJ23" s="71">
        <f>IF(OR(FormFields[[#This Row],[Option Type]]="",FormFields[[#This Row],[Option Type]]="type"),0,1)</f>
        <v>0</v>
      </c>
      <c r="AK23" s="71" t="str">
        <f>'Table Seed Map'!$A$14&amp;"-"&amp;FormFields[[#This Row],[NO4]]</f>
        <v>Field Options-3</v>
      </c>
      <c r="AL23" s="71">
        <f>COUNTIF($AJ$2:FormFields[[#This Row],[Exists FO]],1)</f>
        <v>3</v>
      </c>
      <c r="AM23" s="71">
        <f>IF(FormFields[[#This Row],[NO4]]=0,"id",FormFields[[#This Row],[NO4]]+IF(ISNUMBER(VLOOKUP('Table Seed Map'!$A$14,SeedMap[],9,0)),VLOOKUP('Table Seed Map'!$A$14,SeedMap[],9,0),0))</f>
        <v>801203</v>
      </c>
      <c r="AN23" s="58">
        <f>IF(FormFields[[#This Row],[ID]]="id","form_field",FormFields[[#This Row],[ID]])</f>
        <v>801021</v>
      </c>
      <c r="AO23" s="79"/>
      <c r="AP23" s="79"/>
      <c r="AQ23" s="79"/>
      <c r="AR23" s="79"/>
      <c r="AS23" s="79"/>
      <c r="AT23" s="71">
        <f>IF(OR(FormFields[[#This Row],[Colspan]]="",FormFields[[#This Row],[Colspan]]="colspan"),0,1)</f>
        <v>1</v>
      </c>
      <c r="AU23" s="71" t="str">
        <f>'Table Seed Map'!$A$19&amp;"-"&amp;FormFields[[#This Row],[NO8]]</f>
        <v>Form Layout-7</v>
      </c>
      <c r="AV23" s="71">
        <f>COUNTIF($AT$1:FormFields[[#This Row],[Exists FL]],1)</f>
        <v>7</v>
      </c>
      <c r="AW23" s="71">
        <f>IF(FormFields[[#This Row],[NO8]]=0,"id",IF(FormFields[[#This Row],[Exists FL]]=1,FormFields[[#This Row],[NO8]]+IF(ISNUMBER(VLOOKUP('Table Seed Map'!$A$19,SeedMap[],9,0)),VLOOKUP('Table Seed Map'!$A$19,SeedMap[],9,0),0),""))</f>
        <v>801707</v>
      </c>
      <c r="AX23" s="71">
        <f>FormFields[Form]</f>
        <v>800905</v>
      </c>
      <c r="AY23" s="71">
        <f>IF(FormFields[[#This Row],[ID]]="id","form_field",FormFields[[#This Row],[ID]])</f>
        <v>801021</v>
      </c>
      <c r="AZ23" s="80">
        <v>4</v>
      </c>
      <c r="BA23" s="58">
        <f>FormFields[[#This Row],[ID]]</f>
        <v>801021</v>
      </c>
      <c r="BC23" s="63" t="s">
        <v>1083</v>
      </c>
      <c r="BD23" s="62" t="str">
        <f>'Table Seed Map'!$A$15&amp;"-"&amp;(-1+COUNTA($BC$1:FieldAttrs[[#This Row],[ATTR Field]]))</f>
        <v>Field Attrs-21</v>
      </c>
      <c r="BE23" s="60">
        <f>IF(FieldAttrs[[#This Row],[ATTR Field]]="","id",-1+COUNTA($BC$1:FieldAttrs[[#This Row],[ATTR Field]])+VLOOKUP('Table Seed Map'!$A$15,SeedMap[],9,0))</f>
        <v>801321</v>
      </c>
      <c r="BF23" s="58">
        <f>IFERROR(VLOOKUP(FieldAttrs[ATTR Field],FormFields[[Field Name]:[ID]],2,0),"form_field")</f>
        <v>801022</v>
      </c>
      <c r="BG23" s="58" t="s">
        <v>904</v>
      </c>
      <c r="BH23" s="58">
        <v>4</v>
      </c>
    </row>
    <row r="24" spans="13:60" x14ac:dyDescent="0.25">
      <c r="M24" s="70" t="str">
        <f>'Table Seed Map'!$A$12&amp;"-"&amp;FormFields[[#This Row],[No]]</f>
        <v>Form Fields-22</v>
      </c>
      <c r="N24" s="59" t="s">
        <v>1082</v>
      </c>
      <c r="O24" s="71">
        <f>COUNTA($N$1:FormFields[[#This Row],[Form Name]])-1</f>
        <v>22</v>
      </c>
      <c r="P24" s="70" t="str">
        <f>FormFields[[#This Row],[Form Name]]&amp;"/"&amp;FormFields[[#This Row],[Name]]</f>
        <v>PartnerTask/TaskDismissForm/task.name</v>
      </c>
      <c r="Q24" s="71">
        <f>IF(FormFields[[#This Row],[No]]=0,"id",FormFields[[#This Row],[No]]+IF(ISNUMBER(VLOOKUP('Table Seed Map'!$A$12,SeedMap[],9,0)),VLOOKUP('Table Seed Map'!$A$12,SeedMap[],9,0),0))</f>
        <v>801022</v>
      </c>
      <c r="R24" s="72">
        <f>IFERROR(VLOOKUP(FormFields[[#This Row],[Form Name]],ResourceForms[[FormName]:[ID]],4,0),"resource_form")</f>
        <v>800906</v>
      </c>
      <c r="S24" s="73" t="s">
        <v>1018</v>
      </c>
      <c r="T24" s="73" t="s">
        <v>1017</v>
      </c>
      <c r="U24" s="73" t="s">
        <v>1</v>
      </c>
      <c r="V24" s="74"/>
      <c r="W24" s="74"/>
      <c r="X24" s="74"/>
      <c r="Y24" s="74"/>
      <c r="Z24" s="75" t="str">
        <f>'Table Seed Map'!$A$13&amp;"-"&amp;FormFields[[#This Row],[NO2]]</f>
        <v>Field Data-17</v>
      </c>
      <c r="AA24" s="76">
        <f>COUNTIFS($AB$1:FormFields[[#This Row],[Exists]],1)-1</f>
        <v>17</v>
      </c>
      <c r="AB24" s="76">
        <f>IF(AND(FormFields[[#This Row],[Attribute]]="",FormFields[[#This Row],[Rel]]=""),0,1)</f>
        <v>0</v>
      </c>
      <c r="AC24" s="76">
        <f>IF(FormFields[[#This Row],[NO2]]=0,"id",FormFields[[#This Row],[NO2]]+IF(ISNUMBER(VLOOKUP('Table Seed Map'!$A$13,SeedMap[],9,0)),VLOOKUP('Table Seed Map'!$A$13,SeedMap[],9,0),0))</f>
        <v>801117</v>
      </c>
      <c r="AD24" s="77">
        <f>IF(FormFields[[#This Row],[ID]]="id","form_field",FormFields[[#This Row],[ID]])</f>
        <v>801022</v>
      </c>
      <c r="AE24" s="76"/>
      <c r="AF24" s="78" t="str">
        <f>IF(FormFields[[#This Row],[NO2]]=0,"relation",IF(FormFields[[#This Row],[Rel]]="","",VLOOKUP(FormFields[[#This Row],[Rel]],RelationTable[[Display]:[RELID]],2,0)))</f>
        <v/>
      </c>
      <c r="AG24" s="78" t="str">
        <f>IF(FormFields[[#This Row],[NO2]]=0,"nest_relation1",IF(FormFields[[#This Row],[Rel1]]="","",VLOOKUP(FormFields[[#This Row],[Rel1]],RelationTable[[Display]:[RELID]],2,0)))</f>
        <v/>
      </c>
      <c r="AH24" s="78" t="str">
        <f>IF(FormFields[[#This Row],[NO2]]=0,"nest_relation2",IF(FormFields[[#This Row],[Rel2]]="","",VLOOKUP(FormFields[[#This Row],[Rel2]],RelationTable[[Display]:[RELID]],2,0)))</f>
        <v/>
      </c>
      <c r="AI24" s="78" t="str">
        <f>IF(FormFields[[#This Row],[NO2]]=0,"nest_relation3",IF(FormFields[[#This Row],[Rel3]]="","",VLOOKUP(FormFields[[#This Row],[Rel3]],RelationTable[[Display]:[RELID]],2,0)))</f>
        <v/>
      </c>
      <c r="AJ24" s="71">
        <f>IF(OR(FormFields[[#This Row],[Option Type]]="",FormFields[[#This Row],[Option Type]]="type"),0,1)</f>
        <v>0</v>
      </c>
      <c r="AK24" s="71" t="str">
        <f>'Table Seed Map'!$A$14&amp;"-"&amp;FormFields[[#This Row],[NO4]]</f>
        <v>Field Options-3</v>
      </c>
      <c r="AL24" s="71">
        <f>COUNTIF($AJ$2:FormFields[[#This Row],[Exists FO]],1)</f>
        <v>3</v>
      </c>
      <c r="AM24" s="71">
        <f>IF(FormFields[[#This Row],[NO4]]=0,"id",FormFields[[#This Row],[NO4]]+IF(ISNUMBER(VLOOKUP('Table Seed Map'!$A$14,SeedMap[],9,0)),VLOOKUP('Table Seed Map'!$A$14,SeedMap[],9,0),0))</f>
        <v>801203</v>
      </c>
      <c r="AN24" s="58">
        <f>IF(FormFields[[#This Row],[ID]]="id","form_field",FormFields[[#This Row],[ID]])</f>
        <v>801022</v>
      </c>
      <c r="AO24" s="79"/>
      <c r="AP24" s="79"/>
      <c r="AQ24" s="79"/>
      <c r="AR24" s="79"/>
      <c r="AS24" s="79"/>
      <c r="AT24" s="71">
        <f>IF(OR(FormFields[[#This Row],[Colspan]]="",FormFields[[#This Row],[Colspan]]="colspan"),0,1)</f>
        <v>0</v>
      </c>
      <c r="AU24" s="71" t="str">
        <f>'Table Seed Map'!$A$19&amp;"-"&amp;FormFields[[#This Row],[NO8]]</f>
        <v>Form Layout-7</v>
      </c>
      <c r="AV24" s="71">
        <f>COUNTIF($AT$1:FormFields[[#This Row],[Exists FL]],1)</f>
        <v>7</v>
      </c>
      <c r="AW2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1">
        <f>FormFields[Form]</f>
        <v>800906</v>
      </c>
      <c r="AY24" s="71">
        <f>IF(FormFields[[#This Row],[ID]]="id","form_field",FormFields[[#This Row],[ID]])</f>
        <v>801022</v>
      </c>
      <c r="AZ24" s="80"/>
      <c r="BA24" s="58">
        <f>FormFields[[#This Row],[ID]]</f>
        <v>801022</v>
      </c>
      <c r="BC24" s="63" t="s">
        <v>1084</v>
      </c>
      <c r="BD24" s="62" t="str">
        <f>'Table Seed Map'!$A$15&amp;"-"&amp;(-1+COUNTA($BC$1:FieldAttrs[[#This Row],[ATTR Field]]))</f>
        <v>Field Attrs-22</v>
      </c>
      <c r="BE24" s="60">
        <f>IF(FieldAttrs[[#This Row],[ATTR Field]]="","id",-1+COUNTA($BC$1:FieldAttrs[[#This Row],[ATTR Field]])+VLOOKUP('Table Seed Map'!$A$15,SeedMap[],9,0))</f>
        <v>801322</v>
      </c>
      <c r="BF24" s="58">
        <f>IFERROR(VLOOKUP(FieldAttrs[ATTR Field],FormFields[[Field Name]:[ID]],2,0),"form_field")</f>
        <v>801023</v>
      </c>
      <c r="BG24" s="58" t="s">
        <v>904</v>
      </c>
      <c r="BH24" s="58">
        <v>4</v>
      </c>
    </row>
    <row r="25" spans="13:60" x14ac:dyDescent="0.25">
      <c r="M25" s="70" t="str">
        <f>'Table Seed Map'!$A$12&amp;"-"&amp;FormFields[[#This Row],[No]]</f>
        <v>Form Fields-23</v>
      </c>
      <c r="N25" s="59" t="s">
        <v>1082</v>
      </c>
      <c r="O25" s="71">
        <f>COUNTA($N$1:FormFields[[#This Row],[Form Name]])-1</f>
        <v>23</v>
      </c>
      <c r="P25" s="70" t="str">
        <f>FormFields[[#This Row],[Form Name]]&amp;"/"&amp;FormFields[[#This Row],[Name]]</f>
        <v>PartnerTask/TaskDismissForm/task.description</v>
      </c>
      <c r="Q25" s="71">
        <f>IF(FormFields[[#This Row],[No]]=0,"id",FormFields[[#This Row],[No]]+IF(ISNUMBER(VLOOKUP('Table Seed Map'!$A$12,SeedMap[],9,0)),VLOOKUP('Table Seed Map'!$A$12,SeedMap[],9,0),0))</f>
        <v>801023</v>
      </c>
      <c r="R25" s="72">
        <f>IFERROR(VLOOKUP(FormFields[[#This Row],[Form Name]],ResourceForms[[FormName]:[ID]],4,0),"resource_form")</f>
        <v>800906</v>
      </c>
      <c r="S25" s="73" t="s">
        <v>1019</v>
      </c>
      <c r="T25" s="73" t="s">
        <v>1020</v>
      </c>
      <c r="U25" s="73" t="s">
        <v>102</v>
      </c>
      <c r="V25" s="74"/>
      <c r="W25" s="74"/>
      <c r="X25" s="74"/>
      <c r="Y25" s="74"/>
      <c r="Z25" s="75" t="str">
        <f>'Table Seed Map'!$A$13&amp;"-"&amp;FormFields[[#This Row],[NO2]]</f>
        <v>Field Data-17</v>
      </c>
      <c r="AA25" s="76">
        <f>COUNTIFS($AB$1:FormFields[[#This Row],[Exists]],1)-1</f>
        <v>17</v>
      </c>
      <c r="AB25" s="76">
        <f>IF(AND(FormFields[[#This Row],[Attribute]]="",FormFields[[#This Row],[Rel]]=""),0,1)</f>
        <v>0</v>
      </c>
      <c r="AC25" s="76">
        <f>IF(FormFields[[#This Row],[NO2]]=0,"id",FormFields[[#This Row],[NO2]]+IF(ISNUMBER(VLOOKUP('Table Seed Map'!$A$13,SeedMap[],9,0)),VLOOKUP('Table Seed Map'!$A$13,SeedMap[],9,0),0))</f>
        <v>801117</v>
      </c>
      <c r="AD25" s="77">
        <f>IF(FormFields[[#This Row],[ID]]="id","form_field",FormFields[[#This Row],[ID]])</f>
        <v>801023</v>
      </c>
      <c r="AE25" s="76"/>
      <c r="AF25" s="78" t="str">
        <f>IF(FormFields[[#This Row],[NO2]]=0,"relation",IF(FormFields[[#This Row],[Rel]]="","",VLOOKUP(FormFields[[#This Row],[Rel]],RelationTable[[Display]:[RELID]],2,0)))</f>
        <v/>
      </c>
      <c r="AG25" s="78" t="str">
        <f>IF(FormFields[[#This Row],[NO2]]=0,"nest_relation1",IF(FormFields[[#This Row],[Rel1]]="","",VLOOKUP(FormFields[[#This Row],[Rel1]],RelationTable[[Display]:[RELID]],2,0)))</f>
        <v/>
      </c>
      <c r="AH25" s="78" t="str">
        <f>IF(FormFields[[#This Row],[NO2]]=0,"nest_relation2",IF(FormFields[[#This Row],[Rel2]]="","",VLOOKUP(FormFields[[#This Row],[Rel2]],RelationTable[[Display]:[RELID]],2,0)))</f>
        <v/>
      </c>
      <c r="AI25" s="78" t="str">
        <f>IF(FormFields[[#This Row],[NO2]]=0,"nest_relation3",IF(FormFields[[#This Row],[Rel3]]="","",VLOOKUP(FormFields[[#This Row],[Rel3]],RelationTable[[Display]:[RELID]],2,0)))</f>
        <v/>
      </c>
      <c r="AJ25" s="71">
        <f>IF(OR(FormFields[[#This Row],[Option Type]]="",FormFields[[#This Row],[Option Type]]="type"),0,1)</f>
        <v>0</v>
      </c>
      <c r="AK25" s="71" t="str">
        <f>'Table Seed Map'!$A$14&amp;"-"&amp;FormFields[[#This Row],[NO4]]</f>
        <v>Field Options-3</v>
      </c>
      <c r="AL25" s="71">
        <f>COUNTIF($AJ$2:FormFields[[#This Row],[Exists FO]],1)</f>
        <v>3</v>
      </c>
      <c r="AM25" s="71">
        <f>IF(FormFields[[#This Row],[NO4]]=0,"id",FormFields[[#This Row],[NO4]]+IF(ISNUMBER(VLOOKUP('Table Seed Map'!$A$14,SeedMap[],9,0)),VLOOKUP('Table Seed Map'!$A$14,SeedMap[],9,0),0))</f>
        <v>801203</v>
      </c>
      <c r="AN25" s="58">
        <f>IF(FormFields[[#This Row],[ID]]="id","form_field",FormFields[[#This Row],[ID]])</f>
        <v>801023</v>
      </c>
      <c r="AO25" s="79"/>
      <c r="AP25" s="79"/>
      <c r="AQ25" s="79"/>
      <c r="AR25" s="79"/>
      <c r="AS25" s="79"/>
      <c r="AT25" s="71">
        <f>IF(OR(FormFields[[#This Row],[Colspan]]="",FormFields[[#This Row],[Colspan]]="colspan"),0,1)</f>
        <v>0</v>
      </c>
      <c r="AU25" s="71" t="str">
        <f>'Table Seed Map'!$A$19&amp;"-"&amp;FormFields[[#This Row],[NO8]]</f>
        <v>Form Layout-7</v>
      </c>
      <c r="AV25" s="71">
        <f>COUNTIF($AT$1:FormFields[[#This Row],[Exists FL]],1)</f>
        <v>7</v>
      </c>
      <c r="AW2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1">
        <f>FormFields[Form]</f>
        <v>800906</v>
      </c>
      <c r="AY25" s="71">
        <f>IF(FormFields[[#This Row],[ID]]="id","form_field",FormFields[[#This Row],[ID]])</f>
        <v>801023</v>
      </c>
      <c r="AZ25" s="80"/>
      <c r="BA25" s="58">
        <f>FormFields[[#This Row],[ID]]</f>
        <v>801023</v>
      </c>
      <c r="BC25" s="63" t="s">
        <v>1115</v>
      </c>
      <c r="BD25" s="62" t="str">
        <f>'Table Seed Map'!$A$15&amp;"-"&amp;(-1+COUNTA($BC$1:FieldAttrs[[#This Row],[ATTR Field]]))</f>
        <v>Field Attrs-23</v>
      </c>
      <c r="BE25" s="60">
        <f>IF(FieldAttrs[[#This Row],[ATTR Field]]="","id",-1+COUNTA($BC$1:FieldAttrs[[#This Row],[ATTR Field]])+VLOOKUP('Table Seed Map'!$A$15,SeedMap[],9,0))</f>
        <v>801323</v>
      </c>
      <c r="BF25" s="58">
        <f>IFERROR(VLOOKUP(FieldAttrs[ATTR Field],FormFields[[Field Name]:[ID]],2,0),"form_field")</f>
        <v>801024</v>
      </c>
      <c r="BG25" s="58" t="s">
        <v>904</v>
      </c>
      <c r="BH25" s="58">
        <v>4</v>
      </c>
    </row>
    <row r="26" spans="13:60" x14ac:dyDescent="0.25">
      <c r="M26" s="70" t="str">
        <f>'Table Seed Map'!$A$12&amp;"-"&amp;FormFields[[#This Row],[No]]</f>
        <v>Form Fields-24</v>
      </c>
      <c r="N26" s="59" t="s">
        <v>1082</v>
      </c>
      <c r="O26" s="71">
        <f>COUNTA($N$1:FormFields[[#This Row],[Form Name]])-1</f>
        <v>24</v>
      </c>
      <c r="P26" s="70" t="str">
        <f>FormFields[[#This Row],[Form Name]]&amp;"/"&amp;FormFields[[#This Row],[Name]]</f>
        <v>PartnerTask/TaskDismissForm/progress</v>
      </c>
      <c r="Q26" s="71">
        <f>IF(FormFields[[#This Row],[No]]=0,"id",FormFields[[#This Row],[No]]+IF(ISNUMBER(VLOOKUP('Table Seed Map'!$A$12,SeedMap[],9,0)),VLOOKUP('Table Seed Map'!$A$12,SeedMap[],9,0),0))</f>
        <v>801024</v>
      </c>
      <c r="R26" s="72">
        <f>IFERROR(VLOOKUP(FormFields[[#This Row],[Form Name]],ResourceForms[[FormName]:[ID]],4,0),"resource_form")</f>
        <v>800906</v>
      </c>
      <c r="S26" s="73" t="s">
        <v>823</v>
      </c>
      <c r="T26" s="73" t="s">
        <v>1017</v>
      </c>
      <c r="U26" s="73" t="s">
        <v>1030</v>
      </c>
      <c r="V26" s="74"/>
      <c r="W26" s="74"/>
      <c r="X26" s="74"/>
      <c r="Y26" s="74"/>
      <c r="Z26" s="75" t="str">
        <f>'Table Seed Map'!$A$13&amp;"-"&amp;FormFields[[#This Row],[NO2]]</f>
        <v>Field Data-18</v>
      </c>
      <c r="AA26" s="76">
        <f>COUNTIFS($AB$1:FormFields[[#This Row],[Exists]],1)-1</f>
        <v>18</v>
      </c>
      <c r="AB26" s="76">
        <f>IF(AND(FormFields[[#This Row],[Attribute]]="",FormFields[[#This Row],[Rel]]=""),0,1)</f>
        <v>1</v>
      </c>
      <c r="AC26" s="76">
        <f>IF(FormFields[[#This Row],[NO2]]=0,"id",FormFields[[#This Row],[NO2]]+IF(ISNUMBER(VLOOKUP('Table Seed Map'!$A$13,SeedMap[],9,0)),VLOOKUP('Table Seed Map'!$A$13,SeedMap[],9,0),0))</f>
        <v>801118</v>
      </c>
      <c r="AD26" s="77">
        <f>IF(FormFields[[#This Row],[ID]]="id","form_field",FormFields[[#This Row],[ID]])</f>
        <v>801024</v>
      </c>
      <c r="AE26" s="76" t="str">
        <f>IF(FormFields[[#This Row],[No]]=0,"attribute",FormFields[[#This Row],[Name]])</f>
        <v>progress</v>
      </c>
      <c r="AF26" s="78" t="str">
        <f>IF(FormFields[[#This Row],[NO2]]=0,"relation",IF(FormFields[[#This Row],[Rel]]="","",VLOOKUP(FormFields[[#This Row],[Rel]],RelationTable[[Display]:[RELID]],2,0)))</f>
        <v/>
      </c>
      <c r="AG26" s="78" t="str">
        <f>IF(FormFields[[#This Row],[NO2]]=0,"nest_relation1",IF(FormFields[[#This Row],[Rel1]]="","",VLOOKUP(FormFields[[#This Row],[Rel1]],RelationTable[[Display]:[RELID]],2,0)))</f>
        <v/>
      </c>
      <c r="AH26" s="78" t="str">
        <f>IF(FormFields[[#This Row],[NO2]]=0,"nest_relation2",IF(FormFields[[#This Row],[Rel2]]="","",VLOOKUP(FormFields[[#This Row],[Rel2]],RelationTable[[Display]:[RELID]],2,0)))</f>
        <v/>
      </c>
      <c r="AI26" s="78" t="str">
        <f>IF(FormFields[[#This Row],[NO2]]=0,"nest_relation3",IF(FormFields[[#This Row],[Rel3]]="","",VLOOKUP(FormFields[[#This Row],[Rel3]],RelationTable[[Display]:[RELID]],2,0)))</f>
        <v/>
      </c>
      <c r="AJ26" s="71">
        <f>IF(OR(FormFields[[#This Row],[Option Type]]="",FormFields[[#This Row],[Option Type]]="type"),0,1)</f>
        <v>0</v>
      </c>
      <c r="AK26" s="71" t="str">
        <f>'Table Seed Map'!$A$14&amp;"-"&amp;FormFields[[#This Row],[NO4]]</f>
        <v>Field Options-3</v>
      </c>
      <c r="AL26" s="71">
        <f>COUNTIF($AJ$2:FormFields[[#This Row],[Exists FO]],1)</f>
        <v>3</v>
      </c>
      <c r="AM26" s="71">
        <f>IF(FormFields[[#This Row],[NO4]]=0,"id",FormFields[[#This Row],[NO4]]+IF(ISNUMBER(VLOOKUP('Table Seed Map'!$A$14,SeedMap[],9,0)),VLOOKUP('Table Seed Map'!$A$14,SeedMap[],9,0),0))</f>
        <v>801203</v>
      </c>
      <c r="AN26" s="58">
        <f>IF(FormFields[[#This Row],[ID]]="id","form_field",FormFields[[#This Row],[ID]])</f>
        <v>801024</v>
      </c>
      <c r="AO26" s="79"/>
      <c r="AP26" s="79"/>
      <c r="AQ26" s="79"/>
      <c r="AR26" s="79"/>
      <c r="AS26" s="79"/>
      <c r="AT26" s="71">
        <f>IF(OR(FormFields[[#This Row],[Colspan]]="",FormFields[[#This Row],[Colspan]]="colspan"),0,1)</f>
        <v>0</v>
      </c>
      <c r="AU26" s="71" t="str">
        <f>'Table Seed Map'!$A$19&amp;"-"&amp;FormFields[[#This Row],[NO8]]</f>
        <v>Form Layout-7</v>
      </c>
      <c r="AV26" s="71">
        <f>COUNTIF($AT$1:FormFields[[#This Row],[Exists FL]],1)</f>
        <v>7</v>
      </c>
      <c r="AW26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1">
        <f>FormFields[Form]</f>
        <v>800906</v>
      </c>
      <c r="AY26" s="71">
        <f>IF(FormFields[[#This Row],[ID]]="id","form_field",FormFields[[#This Row],[ID]])</f>
        <v>801024</v>
      </c>
      <c r="AZ26" s="80"/>
      <c r="BA26" s="58">
        <f>FormFields[[#This Row],[ID]]</f>
        <v>801024</v>
      </c>
      <c r="BC26" s="63" t="s">
        <v>1115</v>
      </c>
      <c r="BD26" s="62" t="str">
        <f>'Table Seed Map'!$A$15&amp;"-"&amp;(-1+COUNTA($BC$1:FieldAttrs[[#This Row],[ATTR Field]]))</f>
        <v>Field Attrs-24</v>
      </c>
      <c r="BE26" s="60">
        <f>IF(FieldAttrs[[#This Row],[ATTR Field]]="","id",-1+COUNTA($BC$1:FieldAttrs[[#This Row],[ATTR Field]])+VLOOKUP('Table Seed Map'!$A$15,SeedMap[],9,0))</f>
        <v>801324</v>
      </c>
      <c r="BF26" s="58">
        <f>IFERROR(VLOOKUP(FieldAttrs[ATTR Field],FormFields[[Field Name]:[ID]],2,0),"form_field")</f>
        <v>801024</v>
      </c>
      <c r="BG26" s="58" t="s">
        <v>44</v>
      </c>
      <c r="BH26" s="58" t="s">
        <v>1002</v>
      </c>
    </row>
    <row r="27" spans="13:60" x14ac:dyDescent="0.25">
      <c r="M27" s="70" t="str">
        <f>'Table Seed Map'!$A$12&amp;"-"&amp;FormFields[[#This Row],[No]]</f>
        <v>Form Fields-25</v>
      </c>
      <c r="N27" s="59" t="s">
        <v>1082</v>
      </c>
      <c r="O27" s="71">
        <f>COUNTA($N$1:FormFields[[#This Row],[Form Name]])-1</f>
        <v>25</v>
      </c>
      <c r="P27" s="70" t="str">
        <f>FormFields[[#This Row],[Form Name]]&amp;"/"&amp;FormFields[[#This Row],[Name]]</f>
        <v>PartnerTask/TaskDismissForm/remarks</v>
      </c>
      <c r="Q27" s="71">
        <f>IF(FormFields[[#This Row],[No]]=0,"id",FormFields[[#This Row],[No]]+IF(ISNUMBER(VLOOKUP('Table Seed Map'!$A$12,SeedMap[],9,0)),VLOOKUP('Table Seed Map'!$A$12,SeedMap[],9,0),0))</f>
        <v>801025</v>
      </c>
      <c r="R27" s="72">
        <f>IFERROR(VLOOKUP(FormFields[[#This Row],[Form Name]],ResourceForms[[FormName]:[ID]],4,0),"resource_form")</f>
        <v>800906</v>
      </c>
      <c r="S27" s="73" t="s">
        <v>1111</v>
      </c>
      <c r="T27" s="73" t="s">
        <v>898</v>
      </c>
      <c r="U27" s="73" t="s">
        <v>1112</v>
      </c>
      <c r="V27" s="74"/>
      <c r="W27" s="74"/>
      <c r="X27" s="74"/>
      <c r="Y27" s="74"/>
      <c r="Z27" s="75" t="str">
        <f>'Table Seed Map'!$A$13&amp;"-"&amp;FormFields[[#This Row],[NO2]]</f>
        <v>Field Data-19</v>
      </c>
      <c r="AA27" s="76">
        <f>COUNTIFS($AB$1:FormFields[[#This Row],[Exists]],1)-1</f>
        <v>19</v>
      </c>
      <c r="AB27" s="76">
        <f>IF(AND(FormFields[[#This Row],[Attribute]]="",FormFields[[#This Row],[Rel]]=""),0,1)</f>
        <v>1</v>
      </c>
      <c r="AC27" s="76">
        <f>IF(FormFields[[#This Row],[NO2]]=0,"id",FormFields[[#This Row],[NO2]]+IF(ISNUMBER(VLOOKUP('Table Seed Map'!$A$13,SeedMap[],9,0)),VLOOKUP('Table Seed Map'!$A$13,SeedMap[],9,0),0))</f>
        <v>801119</v>
      </c>
      <c r="AD27" s="77">
        <f>IF(FormFields[[#This Row],[ID]]="id","form_field",FormFields[[#This Row],[ID]])</f>
        <v>801025</v>
      </c>
      <c r="AE27" s="76" t="str">
        <f>IF(FormFields[[#This Row],[No]]=0,"attribute",FormFields[[#This Row],[Name]])</f>
        <v>remarks</v>
      </c>
      <c r="AF27" s="78" t="str">
        <f>IF(FormFields[[#This Row],[NO2]]=0,"relation",IF(FormFields[[#This Row],[Rel]]="","",VLOOKUP(FormFields[[#This Row],[Rel]],RelationTable[[Display]:[RELID]],2,0)))</f>
        <v/>
      </c>
      <c r="AG27" s="78" t="str">
        <f>IF(FormFields[[#This Row],[NO2]]=0,"nest_relation1",IF(FormFields[[#This Row],[Rel1]]="","",VLOOKUP(FormFields[[#This Row],[Rel1]],RelationTable[[Display]:[RELID]],2,0)))</f>
        <v/>
      </c>
      <c r="AH27" s="78" t="str">
        <f>IF(FormFields[[#This Row],[NO2]]=0,"nest_relation2",IF(FormFields[[#This Row],[Rel2]]="","",VLOOKUP(FormFields[[#This Row],[Rel2]],RelationTable[[Display]:[RELID]],2,0)))</f>
        <v/>
      </c>
      <c r="AI27" s="78" t="str">
        <f>IF(FormFields[[#This Row],[NO2]]=0,"nest_relation3",IF(FormFields[[#This Row],[Rel3]]="","",VLOOKUP(FormFields[[#This Row],[Rel3]],RelationTable[[Display]:[RELID]],2,0)))</f>
        <v/>
      </c>
      <c r="AJ27" s="71">
        <f>IF(OR(FormFields[[#This Row],[Option Type]]="",FormFields[[#This Row],[Option Type]]="type"),0,1)</f>
        <v>0</v>
      </c>
      <c r="AK27" s="71" t="str">
        <f>'Table Seed Map'!$A$14&amp;"-"&amp;FormFields[[#This Row],[NO4]]</f>
        <v>Field Options-3</v>
      </c>
      <c r="AL27" s="71">
        <f>COUNTIF($AJ$2:FormFields[[#This Row],[Exists FO]],1)</f>
        <v>3</v>
      </c>
      <c r="AM27" s="71">
        <f>IF(FormFields[[#This Row],[NO4]]=0,"id",FormFields[[#This Row],[NO4]]+IF(ISNUMBER(VLOOKUP('Table Seed Map'!$A$14,SeedMap[],9,0)),VLOOKUP('Table Seed Map'!$A$14,SeedMap[],9,0),0))</f>
        <v>801203</v>
      </c>
      <c r="AN27" s="58">
        <f>IF(FormFields[[#This Row],[ID]]="id","form_field",FormFields[[#This Row],[ID]])</f>
        <v>801025</v>
      </c>
      <c r="AO27" s="79"/>
      <c r="AP27" s="79"/>
      <c r="AQ27" s="79"/>
      <c r="AR27" s="79"/>
      <c r="AS27" s="79"/>
      <c r="AT27" s="71">
        <f>IF(OR(FormFields[[#This Row],[Colspan]]="",FormFields[[#This Row],[Colspan]]="colspan"),0,1)</f>
        <v>0</v>
      </c>
      <c r="AU27" s="71" t="str">
        <f>'Table Seed Map'!$A$19&amp;"-"&amp;FormFields[[#This Row],[NO8]]</f>
        <v>Form Layout-7</v>
      </c>
      <c r="AV27" s="71">
        <f>COUNTIF($AT$1:FormFields[[#This Row],[Exists FL]],1)</f>
        <v>7</v>
      </c>
      <c r="AW27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1">
        <f>FormFields[Form]</f>
        <v>800906</v>
      </c>
      <c r="AY27" s="71">
        <f>IF(FormFields[[#This Row],[ID]]="id","form_field",FormFields[[#This Row],[ID]])</f>
        <v>801025</v>
      </c>
      <c r="AZ27" s="80"/>
      <c r="BA27" s="58">
        <f>FormFields[[#This Row],[ID]]</f>
        <v>801025</v>
      </c>
      <c r="BC27" s="63" t="s">
        <v>1116</v>
      </c>
      <c r="BD27" s="62" t="str">
        <f>'Table Seed Map'!$A$15&amp;"-"&amp;(-1+COUNTA($BC$1:FieldAttrs[[#This Row],[ATTR Field]]))</f>
        <v>Field Attrs-25</v>
      </c>
      <c r="BE27" s="60">
        <f>IF(FieldAttrs[[#This Row],[ATTR Field]]="","id",-1+COUNTA($BC$1:FieldAttrs[[#This Row],[ATTR Field]])+VLOOKUP('Table Seed Map'!$A$15,SeedMap[],9,0))</f>
        <v>801325</v>
      </c>
      <c r="BF27" s="58">
        <f>IFERROR(VLOOKUP(FieldAttrs[ATTR Field],FormFields[[Field Name]:[ID]],2,0),"form_field")</f>
        <v>801025</v>
      </c>
      <c r="BG27" s="58" t="s">
        <v>904</v>
      </c>
      <c r="BH27" s="58">
        <v>4</v>
      </c>
    </row>
    <row r="28" spans="13:60" x14ac:dyDescent="0.25">
      <c r="M28" s="70" t="str">
        <f>'Table Seed Map'!$A$12&amp;"-"&amp;FormFields[[#This Row],[No]]</f>
        <v>Form Fields-26</v>
      </c>
      <c r="N28" s="59" t="s">
        <v>1131</v>
      </c>
      <c r="O28" s="71">
        <f>COUNTA($N$1:FormFields[[#This Row],[Form Name]])-1</f>
        <v>26</v>
      </c>
      <c r="P28" s="70" t="str">
        <f>FormFields[[#This Row],[Form Name]]&amp;"/"&amp;FormFields[[#This Row],[Name]]</f>
        <v>Category/CreateCategory/name</v>
      </c>
      <c r="Q28" s="71">
        <f>IF(FormFields[[#This Row],[No]]=0,"id",FormFields[[#This Row],[No]]+IF(ISNUMBER(VLOOKUP('Table Seed Map'!$A$12,SeedMap[],9,0)),VLOOKUP('Table Seed Map'!$A$12,SeedMap[],9,0),0))</f>
        <v>801026</v>
      </c>
      <c r="R28" s="72">
        <f>IFERROR(VLOOKUP(FormFields[[#This Row],[Form Name]],ResourceForms[[FormName]:[ID]],4,0),"resource_form")</f>
        <v>800907</v>
      </c>
      <c r="S28" s="73" t="s">
        <v>23</v>
      </c>
      <c r="T28" s="73" t="s">
        <v>897</v>
      </c>
      <c r="U28" s="73" t="s">
        <v>1132</v>
      </c>
      <c r="V28" s="74"/>
      <c r="W28" s="74"/>
      <c r="X28" s="74"/>
      <c r="Y28" s="74"/>
      <c r="Z28" s="75" t="str">
        <f>'Table Seed Map'!$A$13&amp;"-"&amp;FormFields[[#This Row],[NO2]]</f>
        <v>Field Data-20</v>
      </c>
      <c r="AA28" s="76">
        <f>COUNTIFS($AB$1:FormFields[[#This Row],[Exists]],1)-1</f>
        <v>20</v>
      </c>
      <c r="AB28" s="76">
        <f>IF(AND(FormFields[[#This Row],[Attribute]]="",FormFields[[#This Row],[Rel]]=""),0,1)</f>
        <v>1</v>
      </c>
      <c r="AC28" s="76">
        <f>IF(FormFields[[#This Row],[NO2]]=0,"id",FormFields[[#This Row],[NO2]]+IF(ISNUMBER(VLOOKUP('Table Seed Map'!$A$13,SeedMap[],9,0)),VLOOKUP('Table Seed Map'!$A$13,SeedMap[],9,0),0))</f>
        <v>801120</v>
      </c>
      <c r="AD28" s="77">
        <f>IF(FormFields[[#This Row],[ID]]="id","form_field",FormFields[[#This Row],[ID]])</f>
        <v>801026</v>
      </c>
      <c r="AE28" s="76" t="str">
        <f>IF(FormFields[[#This Row],[No]]=0,"attribute",FormFields[[#This Row],[Name]])</f>
        <v>name</v>
      </c>
      <c r="AF28" s="78" t="str">
        <f>IF(FormFields[[#This Row],[NO2]]=0,"relation",IF(FormFields[[#This Row],[Rel]]="","",VLOOKUP(FormFields[[#This Row],[Rel]],RelationTable[[Display]:[RELID]],2,0)))</f>
        <v/>
      </c>
      <c r="AG28" s="78" t="str">
        <f>IF(FormFields[[#This Row],[NO2]]=0,"nest_relation1",IF(FormFields[[#This Row],[Rel1]]="","",VLOOKUP(FormFields[[#This Row],[Rel1]],RelationTable[[Display]:[RELID]],2,0)))</f>
        <v/>
      </c>
      <c r="AH28" s="78" t="str">
        <f>IF(FormFields[[#This Row],[NO2]]=0,"nest_relation2",IF(FormFields[[#This Row],[Rel2]]="","",VLOOKUP(FormFields[[#This Row],[Rel2]],RelationTable[[Display]:[RELID]],2,0)))</f>
        <v/>
      </c>
      <c r="AI28" s="78" t="str">
        <f>IF(FormFields[[#This Row],[NO2]]=0,"nest_relation3",IF(FormFields[[#This Row],[Rel3]]="","",VLOOKUP(FormFields[[#This Row],[Rel3]],RelationTable[[Display]:[RELID]],2,0)))</f>
        <v/>
      </c>
      <c r="AJ28" s="71">
        <f>IF(OR(FormFields[[#This Row],[Option Type]]="",FormFields[[#This Row],[Option Type]]="type"),0,1)</f>
        <v>0</v>
      </c>
      <c r="AK28" s="71" t="str">
        <f>'Table Seed Map'!$A$14&amp;"-"&amp;FormFields[[#This Row],[NO4]]</f>
        <v>Field Options-3</v>
      </c>
      <c r="AL28" s="71">
        <f>COUNTIF($AJ$2:FormFields[[#This Row],[Exists FO]],1)</f>
        <v>3</v>
      </c>
      <c r="AM28" s="71">
        <f>IF(FormFields[[#This Row],[NO4]]=0,"id",FormFields[[#This Row],[NO4]]+IF(ISNUMBER(VLOOKUP('Table Seed Map'!$A$14,SeedMap[],9,0)),VLOOKUP('Table Seed Map'!$A$14,SeedMap[],9,0),0))</f>
        <v>801203</v>
      </c>
      <c r="AN28" s="58">
        <f>IF(FormFields[[#This Row],[ID]]="id","form_field",FormFields[[#This Row],[ID]])</f>
        <v>801026</v>
      </c>
      <c r="AO28" s="79"/>
      <c r="AP28" s="79"/>
      <c r="AQ28" s="79"/>
      <c r="AR28" s="79"/>
      <c r="AS28" s="79"/>
      <c r="AT28" s="71">
        <f>IF(OR(FormFields[[#This Row],[Colspan]]="",FormFields[[#This Row],[Colspan]]="colspan"),0,1)</f>
        <v>0</v>
      </c>
      <c r="AU28" s="71" t="str">
        <f>'Table Seed Map'!$A$19&amp;"-"&amp;FormFields[[#This Row],[NO8]]</f>
        <v>Form Layout-7</v>
      </c>
      <c r="AV28" s="71">
        <f>COUNTIF($AT$1:FormFields[[#This Row],[Exists FL]],1)</f>
        <v>7</v>
      </c>
      <c r="AW28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1">
        <f>FormFields[Form]</f>
        <v>800907</v>
      </c>
      <c r="AY28" s="71">
        <f>IF(FormFields[[#This Row],[ID]]="id","form_field",FormFields[[#This Row],[ID]])</f>
        <v>801026</v>
      </c>
      <c r="AZ28" s="80"/>
      <c r="BA28" s="58">
        <f>FormFields[[#This Row],[ID]]</f>
        <v>801026</v>
      </c>
      <c r="BC28" s="63" t="s">
        <v>1243</v>
      </c>
      <c r="BD28" s="62" t="str">
        <f>'Table Seed Map'!$A$15&amp;"-"&amp;(-1+COUNTA($BC$1:FieldAttrs[[#This Row],[ATTR Field]]))</f>
        <v>Field Attrs-26</v>
      </c>
      <c r="BE28" s="60">
        <f>IF(FieldAttrs[[#This Row],[ATTR Field]]="","id",-1+COUNTA($BC$1:FieldAttrs[[#This Row],[ATTR Field]])+VLOOKUP('Table Seed Map'!$A$15,SeedMap[],9,0))</f>
        <v>801326</v>
      </c>
      <c r="BF28" s="58">
        <f>IFERROR(VLOOKUP(FieldAttrs[ATTR Field],FormFields[[Field Name]:[ID]],2,0),"form_field")</f>
        <v>801028</v>
      </c>
      <c r="BG28" s="58" t="s">
        <v>904</v>
      </c>
      <c r="BH28" s="58">
        <v>4</v>
      </c>
    </row>
    <row r="29" spans="13:60" x14ac:dyDescent="0.25">
      <c r="M29" s="70" t="str">
        <f>'Table Seed Map'!$A$12&amp;"-"&amp;FormFields[[#This Row],[No]]</f>
        <v>Form Fields-27</v>
      </c>
      <c r="N29" s="59" t="s">
        <v>1131</v>
      </c>
      <c r="O29" s="71">
        <f>COUNTA($N$1:FormFields[[#This Row],[Form Name]])-1</f>
        <v>27</v>
      </c>
      <c r="P29" s="70" t="str">
        <f>FormFields[[#This Row],[Form Name]]&amp;"/"&amp;FormFields[[#This Row],[Name]]</f>
        <v>Category/CreateCategory/status</v>
      </c>
      <c r="Q29" s="71">
        <f>IF(FormFields[[#This Row],[No]]=0,"id",FormFields[[#This Row],[No]]+IF(ISNUMBER(VLOOKUP('Table Seed Map'!$A$12,SeedMap[],9,0)),VLOOKUP('Table Seed Map'!$A$12,SeedMap[],9,0),0))</f>
        <v>801027</v>
      </c>
      <c r="R29" s="72">
        <f>IFERROR(VLOOKUP(FormFields[[#This Row],[Form Name]],ResourceForms[[FormName]:[ID]],4,0),"resource_form")</f>
        <v>800907</v>
      </c>
      <c r="S29" s="73" t="s">
        <v>809</v>
      </c>
      <c r="T29" s="73" t="s">
        <v>899</v>
      </c>
      <c r="U29" s="73" t="s">
        <v>901</v>
      </c>
      <c r="V29" s="74"/>
      <c r="W29" s="74"/>
      <c r="X29" s="74"/>
      <c r="Y29" s="74"/>
      <c r="Z29" s="75" t="str">
        <f>'Table Seed Map'!$A$13&amp;"-"&amp;FormFields[[#This Row],[NO2]]</f>
        <v>Field Data-21</v>
      </c>
      <c r="AA29" s="76">
        <f>COUNTIFS($AB$1:FormFields[[#This Row],[Exists]],1)-1</f>
        <v>21</v>
      </c>
      <c r="AB29" s="76">
        <f>IF(AND(FormFields[[#This Row],[Attribute]]="",FormFields[[#This Row],[Rel]]=""),0,1)</f>
        <v>1</v>
      </c>
      <c r="AC29" s="76">
        <f>IF(FormFields[[#This Row],[NO2]]=0,"id",FormFields[[#This Row],[NO2]]+IF(ISNUMBER(VLOOKUP('Table Seed Map'!$A$13,SeedMap[],9,0)),VLOOKUP('Table Seed Map'!$A$13,SeedMap[],9,0),0))</f>
        <v>801121</v>
      </c>
      <c r="AD29" s="77">
        <f>IF(FormFields[[#This Row],[ID]]="id","form_field",FormFields[[#This Row],[ID]])</f>
        <v>801027</v>
      </c>
      <c r="AE29" s="76" t="str">
        <f>IF(FormFields[[#This Row],[No]]=0,"attribute",FormFields[[#This Row],[Name]])</f>
        <v>status</v>
      </c>
      <c r="AF29" s="78" t="str">
        <f>IF(FormFields[[#This Row],[NO2]]=0,"relation",IF(FormFields[[#This Row],[Rel]]="","",VLOOKUP(FormFields[[#This Row],[Rel]],RelationTable[[Display]:[RELID]],2,0)))</f>
        <v/>
      </c>
      <c r="AG29" s="78" t="str">
        <f>IF(FormFields[[#This Row],[NO2]]=0,"nest_relation1",IF(FormFields[[#This Row],[Rel1]]="","",VLOOKUP(FormFields[[#This Row],[Rel1]],RelationTable[[Display]:[RELID]],2,0)))</f>
        <v/>
      </c>
      <c r="AH29" s="78" t="str">
        <f>IF(FormFields[[#This Row],[NO2]]=0,"nest_relation2",IF(FormFields[[#This Row],[Rel2]]="","",VLOOKUP(FormFields[[#This Row],[Rel2]],RelationTable[[Display]:[RELID]],2,0)))</f>
        <v/>
      </c>
      <c r="AI29" s="78" t="str">
        <f>IF(FormFields[[#This Row],[NO2]]=0,"nest_relation3",IF(FormFields[[#This Row],[Rel3]]="","",VLOOKUP(FormFields[[#This Row],[Rel3]],RelationTable[[Display]:[RELID]],2,0)))</f>
        <v/>
      </c>
      <c r="AJ29" s="71">
        <f>IF(OR(FormFields[[#This Row],[Option Type]]="",FormFields[[#This Row],[Option Type]]="type"),0,1)</f>
        <v>1</v>
      </c>
      <c r="AK29" s="71" t="str">
        <f>'Table Seed Map'!$A$14&amp;"-"&amp;FormFields[[#This Row],[NO4]]</f>
        <v>Field Options-4</v>
      </c>
      <c r="AL29" s="71">
        <f>COUNTIF($AJ$2:FormFields[[#This Row],[Exists FO]],1)</f>
        <v>4</v>
      </c>
      <c r="AM29" s="71">
        <f>IF(FormFields[[#This Row],[NO4]]=0,"id",FormFields[[#This Row],[NO4]]+IF(ISNUMBER(VLOOKUP('Table Seed Map'!$A$14,SeedMap[],9,0)),VLOOKUP('Table Seed Map'!$A$14,SeedMap[],9,0),0))</f>
        <v>801204</v>
      </c>
      <c r="AN29" s="58">
        <f>IF(FormFields[[#This Row],[ID]]="id","form_field",FormFields[[#This Row],[ID]])</f>
        <v>801027</v>
      </c>
      <c r="AO29" s="79" t="s">
        <v>902</v>
      </c>
      <c r="AP29" s="79"/>
      <c r="AQ29" s="79"/>
      <c r="AR29" s="79"/>
      <c r="AS29" s="79"/>
      <c r="AT29" s="71">
        <f>IF(OR(FormFields[[#This Row],[Colspan]]="",FormFields[[#This Row],[Colspan]]="colspan"),0,1)</f>
        <v>0</v>
      </c>
      <c r="AU29" s="71" t="str">
        <f>'Table Seed Map'!$A$19&amp;"-"&amp;FormFields[[#This Row],[NO8]]</f>
        <v>Form Layout-7</v>
      </c>
      <c r="AV29" s="71">
        <f>COUNTIF($AT$1:FormFields[[#This Row],[Exists FL]],1)</f>
        <v>7</v>
      </c>
      <c r="AW29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1">
        <f>FormFields[Form]</f>
        <v>800907</v>
      </c>
      <c r="AY29" s="71">
        <f>IF(FormFields[[#This Row],[ID]]="id","form_field",FormFields[[#This Row],[ID]])</f>
        <v>801027</v>
      </c>
      <c r="AZ29" s="80"/>
      <c r="BA29" s="58">
        <f>FormFields[[#This Row],[ID]]</f>
        <v>801027</v>
      </c>
      <c r="BC29" s="63" t="s">
        <v>1244</v>
      </c>
      <c r="BD29" s="62" t="str">
        <f>'Table Seed Map'!$A$15&amp;"-"&amp;(-1+COUNTA($BC$1:FieldAttrs[[#This Row],[ATTR Field]]))</f>
        <v>Field Attrs-27</v>
      </c>
      <c r="BE29" s="60">
        <f>IF(FieldAttrs[[#This Row],[ATTR Field]]="","id",-1+COUNTA($BC$1:FieldAttrs[[#This Row],[ATTR Field]])+VLOOKUP('Table Seed Map'!$A$15,SeedMap[],9,0))</f>
        <v>801327</v>
      </c>
      <c r="BF29" s="58">
        <f>IFERROR(VLOOKUP(FieldAttrs[ATTR Field],FormFields[[Field Name]:[ID]],2,0),"form_field")</f>
        <v>801029</v>
      </c>
      <c r="BG29" s="58" t="s">
        <v>904</v>
      </c>
      <c r="BH29" s="58">
        <v>4</v>
      </c>
    </row>
    <row r="30" spans="13:60" x14ac:dyDescent="0.25">
      <c r="M30" s="70" t="str">
        <f>'Table Seed Map'!$A$12&amp;"-"&amp;FormFields[[#This Row],[No]]</f>
        <v>Form Fields-28</v>
      </c>
      <c r="N30" s="34" t="s">
        <v>1242</v>
      </c>
      <c r="O30" s="71">
        <f>COUNTA($N$1:FormFields[[#This Row],[Form Name]])-1</f>
        <v>28</v>
      </c>
      <c r="P30" s="70" t="str">
        <f>FormFields[[#This Row],[Form Name]]&amp;"/"&amp;FormFields[[#This Row],[Name]]</f>
        <v>Profile/CreateProfile/name</v>
      </c>
      <c r="Q30" s="71">
        <f>IF(FormFields[[#This Row],[No]]=0,"id",FormFields[[#This Row],[No]]+IF(ISNUMBER(VLOOKUP('Table Seed Map'!$A$12,SeedMap[],9,0)),VLOOKUP('Table Seed Map'!$A$12,SeedMap[],9,0),0))</f>
        <v>801028</v>
      </c>
      <c r="R30" s="72">
        <f>IFERROR(VLOOKUP(FormFields[[#This Row],[Form Name]],ResourceForms[[FormName]:[ID]],4,0),"resource_form")</f>
        <v>800908</v>
      </c>
      <c r="S30" s="42" t="s">
        <v>23</v>
      </c>
      <c r="T30" s="42" t="s">
        <v>897</v>
      </c>
      <c r="U30" s="42" t="s">
        <v>1</v>
      </c>
      <c r="V30" s="74"/>
      <c r="W30" s="74"/>
      <c r="X30" s="74"/>
      <c r="Y30" s="74"/>
      <c r="Z30" s="75" t="str">
        <f>'Table Seed Map'!$A$13&amp;"-"&amp;FormFields[[#This Row],[NO2]]</f>
        <v>Field Data-22</v>
      </c>
      <c r="AA30" s="76">
        <f>COUNTIFS($AB$1:FormFields[[#This Row],[Exists]],1)-1</f>
        <v>22</v>
      </c>
      <c r="AB30" s="76">
        <f>IF(AND(FormFields[[#This Row],[Attribute]]="",FormFields[[#This Row],[Rel]]=""),0,1)</f>
        <v>1</v>
      </c>
      <c r="AC30" s="76">
        <f>IF(FormFields[[#This Row],[NO2]]=0,"id",FormFields[[#This Row],[NO2]]+IF(ISNUMBER(VLOOKUP('Table Seed Map'!$A$13,SeedMap[],9,0)),VLOOKUP('Table Seed Map'!$A$13,SeedMap[],9,0),0))</f>
        <v>801122</v>
      </c>
      <c r="AD30" s="77">
        <f>IF(FormFields[[#This Row],[ID]]="id","form_field",FormFields[[#This Row],[ID]])</f>
        <v>801028</v>
      </c>
      <c r="AE30" s="76" t="str">
        <f>IF(FormFields[[#This Row],[No]]=0,"attribute",FormFields[[#This Row],[Name]])</f>
        <v>name</v>
      </c>
      <c r="AF30" s="78" t="str">
        <f>IF(FormFields[[#This Row],[NO2]]=0,"relation",IF(FormFields[[#This Row],[Rel]]="","",VLOOKUP(FormFields[[#This Row],[Rel]],RelationTable[[Display]:[RELID]],2,0)))</f>
        <v/>
      </c>
      <c r="AG30" s="78" t="str">
        <f>IF(FormFields[[#This Row],[NO2]]=0,"nest_relation1",IF(FormFields[[#This Row],[Rel1]]="","",VLOOKUP(FormFields[[#This Row],[Rel1]],RelationTable[[Display]:[RELID]],2,0)))</f>
        <v/>
      </c>
      <c r="AH30" s="78" t="str">
        <f>IF(FormFields[[#This Row],[NO2]]=0,"nest_relation2",IF(FormFields[[#This Row],[Rel2]]="","",VLOOKUP(FormFields[[#This Row],[Rel2]],RelationTable[[Display]:[RELID]],2,0)))</f>
        <v/>
      </c>
      <c r="AI30" s="78" t="str">
        <f>IF(FormFields[[#This Row],[NO2]]=0,"nest_relation3",IF(FormFields[[#This Row],[Rel3]]="","",VLOOKUP(FormFields[[#This Row],[Rel3]],RelationTable[[Display]:[RELID]],2,0)))</f>
        <v/>
      </c>
      <c r="AJ30" s="71">
        <f>IF(OR(FormFields[[#This Row],[Option Type]]="",FormFields[[#This Row],[Option Type]]="type"),0,1)</f>
        <v>0</v>
      </c>
      <c r="AK30" s="71" t="str">
        <f>'Table Seed Map'!$A$14&amp;"-"&amp;FormFields[[#This Row],[NO4]]</f>
        <v>Field Options-4</v>
      </c>
      <c r="AL30" s="71">
        <f>COUNTIF($AJ$2:FormFields[[#This Row],[Exists FO]],1)</f>
        <v>4</v>
      </c>
      <c r="AM30" s="71">
        <f>IF(FormFields[[#This Row],[NO4]]=0,"id",FormFields[[#This Row],[NO4]]+IF(ISNUMBER(VLOOKUP('Table Seed Map'!$A$14,SeedMap[],9,0)),VLOOKUP('Table Seed Map'!$A$14,SeedMap[],9,0),0))</f>
        <v>801204</v>
      </c>
      <c r="AN30" s="58">
        <f>IF(FormFields[[#This Row],[ID]]="id","form_field",FormFields[[#This Row],[ID]])</f>
        <v>801028</v>
      </c>
      <c r="AO30" s="79"/>
      <c r="AP30" s="79"/>
      <c r="AQ30" s="79"/>
      <c r="AR30" s="79"/>
      <c r="AS30" s="79"/>
      <c r="AT30" s="71">
        <f>IF(OR(FormFields[[#This Row],[Colspan]]="",FormFields[[#This Row],[Colspan]]="colspan"),0,1)</f>
        <v>0</v>
      </c>
      <c r="AU30" s="71" t="str">
        <f>'Table Seed Map'!$A$19&amp;"-"&amp;FormFields[[#This Row],[NO8]]</f>
        <v>Form Layout-7</v>
      </c>
      <c r="AV30" s="71">
        <f>COUNTIF($AT$1:FormFields[[#This Row],[Exists FL]],1)</f>
        <v>7</v>
      </c>
      <c r="AW30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1">
        <f>FormFields[Form]</f>
        <v>800908</v>
      </c>
      <c r="AY30" s="71">
        <f>IF(FormFields[[#This Row],[ID]]="id","form_field",FormFields[[#This Row],[ID]])</f>
        <v>801028</v>
      </c>
      <c r="AZ30" s="80"/>
      <c r="BA30" s="58">
        <f>FormFields[[#This Row],[ID]]</f>
        <v>801028</v>
      </c>
      <c r="BC30" s="63" t="s">
        <v>1245</v>
      </c>
      <c r="BD30" s="62" t="str">
        <f>'Table Seed Map'!$A$15&amp;"-"&amp;(-1+COUNTA($BC$1:FieldAttrs[[#This Row],[ATTR Field]]))</f>
        <v>Field Attrs-28</v>
      </c>
      <c r="BE30" s="60">
        <f>IF(FieldAttrs[[#This Row],[ATTR Field]]="","id",-1+COUNTA($BC$1:FieldAttrs[[#This Row],[ATTR Field]])+VLOOKUP('Table Seed Map'!$A$15,SeedMap[],9,0))</f>
        <v>801328</v>
      </c>
      <c r="BF30" s="58">
        <f>IFERROR(VLOOKUP(FieldAttrs[ATTR Field],FormFields[[Field Name]:[ID]],2,0),"form_field")</f>
        <v>801030</v>
      </c>
      <c r="BG30" s="58" t="s">
        <v>904</v>
      </c>
      <c r="BH30" s="58">
        <v>4</v>
      </c>
    </row>
    <row r="31" spans="13:60" x14ac:dyDescent="0.25">
      <c r="M31" s="70" t="str">
        <f>'Table Seed Map'!$A$12&amp;"-"&amp;FormFields[[#This Row],[No]]</f>
        <v>Form Fields-29</v>
      </c>
      <c r="N31" s="34" t="s">
        <v>1242</v>
      </c>
      <c r="O31" s="71">
        <f>COUNTA($N$1:FormFields[[#This Row],[Form Name]])-1</f>
        <v>29</v>
      </c>
      <c r="P31" s="70" t="str">
        <f>FormFields[[#This Row],[Form Name]]&amp;"/"&amp;FormFields[[#This Row],[Name]]</f>
        <v>Profile/CreateProfile/email</v>
      </c>
      <c r="Q31" s="71">
        <f>IF(FormFields[[#This Row],[No]]=0,"id",FormFields[[#This Row],[No]]+IF(ISNUMBER(VLOOKUP('Table Seed Map'!$A$12,SeedMap[],9,0)),VLOOKUP('Table Seed Map'!$A$12,SeedMap[],9,0),0))</f>
        <v>801029</v>
      </c>
      <c r="R31" s="72">
        <f>IFERROR(VLOOKUP(FormFields[[#This Row],[Form Name]],ResourceForms[[FormName]:[ID]],4,0),"resource_form")</f>
        <v>800908</v>
      </c>
      <c r="S31" s="42" t="s">
        <v>854</v>
      </c>
      <c r="T31" s="42" t="s">
        <v>897</v>
      </c>
      <c r="U31" s="42" t="s">
        <v>919</v>
      </c>
      <c r="V31" s="74"/>
      <c r="W31" s="74"/>
      <c r="X31" s="74"/>
      <c r="Y31" s="74"/>
      <c r="Z31" s="75" t="str">
        <f>'Table Seed Map'!$A$13&amp;"-"&amp;FormFields[[#This Row],[NO2]]</f>
        <v>Field Data-23</v>
      </c>
      <c r="AA31" s="76">
        <f>COUNTIFS($AB$1:FormFields[[#This Row],[Exists]],1)-1</f>
        <v>23</v>
      </c>
      <c r="AB31" s="76">
        <f>IF(AND(FormFields[[#This Row],[Attribute]]="",FormFields[[#This Row],[Rel]]=""),0,1)</f>
        <v>1</v>
      </c>
      <c r="AC31" s="76">
        <f>IF(FormFields[[#This Row],[NO2]]=0,"id",FormFields[[#This Row],[NO2]]+IF(ISNUMBER(VLOOKUP('Table Seed Map'!$A$13,SeedMap[],9,0)),VLOOKUP('Table Seed Map'!$A$13,SeedMap[],9,0),0))</f>
        <v>801123</v>
      </c>
      <c r="AD31" s="77">
        <f>IF(FormFields[[#This Row],[ID]]="id","form_field",FormFields[[#This Row],[ID]])</f>
        <v>801029</v>
      </c>
      <c r="AE31" s="76" t="str">
        <f>IF(FormFields[[#This Row],[No]]=0,"attribute",FormFields[[#This Row],[Name]])</f>
        <v>email</v>
      </c>
      <c r="AF31" s="78" t="str">
        <f>IF(FormFields[[#This Row],[NO2]]=0,"relation",IF(FormFields[[#This Row],[Rel]]="","",VLOOKUP(FormFields[[#This Row],[Rel]],RelationTable[[Display]:[RELID]],2,0)))</f>
        <v/>
      </c>
      <c r="AG31" s="78" t="str">
        <f>IF(FormFields[[#This Row],[NO2]]=0,"nest_relation1",IF(FormFields[[#This Row],[Rel1]]="","",VLOOKUP(FormFields[[#This Row],[Rel1]],RelationTable[[Display]:[RELID]],2,0)))</f>
        <v/>
      </c>
      <c r="AH31" s="78" t="str">
        <f>IF(FormFields[[#This Row],[NO2]]=0,"nest_relation2",IF(FormFields[[#This Row],[Rel2]]="","",VLOOKUP(FormFields[[#This Row],[Rel2]],RelationTable[[Display]:[RELID]],2,0)))</f>
        <v/>
      </c>
      <c r="AI31" s="78" t="str">
        <f>IF(FormFields[[#This Row],[NO2]]=0,"nest_relation3",IF(FormFields[[#This Row],[Rel3]]="","",VLOOKUP(FormFields[[#This Row],[Rel3]],RelationTable[[Display]:[RELID]],2,0)))</f>
        <v/>
      </c>
      <c r="AJ31" s="71">
        <f>IF(OR(FormFields[[#This Row],[Option Type]]="",FormFields[[#This Row],[Option Type]]="type"),0,1)</f>
        <v>0</v>
      </c>
      <c r="AK31" s="71" t="str">
        <f>'Table Seed Map'!$A$14&amp;"-"&amp;FormFields[[#This Row],[NO4]]</f>
        <v>Field Options-4</v>
      </c>
      <c r="AL31" s="71">
        <f>COUNTIF($AJ$2:FormFields[[#This Row],[Exists FO]],1)</f>
        <v>4</v>
      </c>
      <c r="AM31" s="71">
        <f>IF(FormFields[[#This Row],[NO4]]=0,"id",FormFields[[#This Row],[NO4]]+IF(ISNUMBER(VLOOKUP('Table Seed Map'!$A$14,SeedMap[],9,0)),VLOOKUP('Table Seed Map'!$A$14,SeedMap[],9,0),0))</f>
        <v>801204</v>
      </c>
      <c r="AN31" s="58">
        <f>IF(FormFields[[#This Row],[ID]]="id","form_field",FormFields[[#This Row],[ID]])</f>
        <v>801029</v>
      </c>
      <c r="AO31" s="79"/>
      <c r="AP31" s="79"/>
      <c r="AQ31" s="79"/>
      <c r="AR31" s="79"/>
      <c r="AS31" s="79"/>
      <c r="AT31" s="71">
        <f>IF(OR(FormFields[[#This Row],[Colspan]]="",FormFields[[#This Row],[Colspan]]="colspan"),0,1)</f>
        <v>0</v>
      </c>
      <c r="AU31" s="71" t="str">
        <f>'Table Seed Map'!$A$19&amp;"-"&amp;FormFields[[#This Row],[NO8]]</f>
        <v>Form Layout-7</v>
      </c>
      <c r="AV31" s="71">
        <f>COUNTIF($AT$1:FormFields[[#This Row],[Exists FL]],1)</f>
        <v>7</v>
      </c>
      <c r="AW31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1">
        <f>FormFields[Form]</f>
        <v>800908</v>
      </c>
      <c r="AY31" s="71">
        <f>IF(FormFields[[#This Row],[ID]]="id","form_field",FormFields[[#This Row],[ID]])</f>
        <v>801029</v>
      </c>
      <c r="AZ31" s="80"/>
      <c r="BA31" s="58">
        <f>FormFields[[#This Row],[ID]]</f>
        <v>801029</v>
      </c>
      <c r="BC31" s="63" t="s">
        <v>1253</v>
      </c>
      <c r="BD31" s="62" t="str">
        <f>'Table Seed Map'!$A$15&amp;"-"&amp;(-1+COUNTA($BC$1:FieldAttrs[[#This Row],[ATTR Field]]))</f>
        <v>Field Attrs-29</v>
      </c>
      <c r="BE31" s="60">
        <f>IF(FieldAttrs[[#This Row],[ATTR Field]]="","id",-1+COUNTA($BC$1:FieldAttrs[[#This Row],[ATTR Field]])+VLOOKUP('Table Seed Map'!$A$15,SeedMap[],9,0))</f>
        <v>801329</v>
      </c>
      <c r="BF31" s="58">
        <f>IFERROR(VLOOKUP(FieldAttrs[ATTR Field],FormFields[[Field Name]:[ID]],2,0),"form_field")</f>
        <v>801031</v>
      </c>
      <c r="BG31" s="58" t="s">
        <v>904</v>
      </c>
      <c r="BH31" s="58">
        <v>4</v>
      </c>
    </row>
    <row r="32" spans="13:60" x14ac:dyDescent="0.25">
      <c r="M32" s="70" t="str">
        <f>'Table Seed Map'!$A$12&amp;"-"&amp;FormFields[[#This Row],[No]]</f>
        <v>Form Fields-30</v>
      </c>
      <c r="N32" s="34" t="s">
        <v>1242</v>
      </c>
      <c r="O32" s="71">
        <f>COUNTA($N$1:FormFields[[#This Row],[Form Name]])-1</f>
        <v>30</v>
      </c>
      <c r="P32" s="70" t="str">
        <f>FormFields[[#This Row],[Form Name]]&amp;"/"&amp;FormFields[[#This Row],[Name]]</f>
        <v>Profile/CreateProfile/password</v>
      </c>
      <c r="Q32" s="71">
        <f>IF(FormFields[[#This Row],[No]]=0,"id",FormFields[[#This Row],[No]]+IF(ISNUMBER(VLOOKUP('Table Seed Map'!$A$12,SeedMap[],9,0)),VLOOKUP('Table Seed Map'!$A$12,SeedMap[],9,0),0))</f>
        <v>801030</v>
      </c>
      <c r="R32" s="72">
        <f>IFERROR(VLOOKUP(FormFields[[#This Row],[Form Name]],ResourceForms[[FormName]:[ID]],4,0),"resource_form")</f>
        <v>800908</v>
      </c>
      <c r="S32" s="42" t="s">
        <v>855</v>
      </c>
      <c r="T32" s="42" t="s">
        <v>855</v>
      </c>
      <c r="U32" s="42" t="s">
        <v>920</v>
      </c>
      <c r="V32" s="74"/>
      <c r="W32" s="74"/>
      <c r="X32" s="74"/>
      <c r="Y32" s="74"/>
      <c r="Z32" s="75" t="str">
        <f>'Table Seed Map'!$A$13&amp;"-"&amp;FormFields[[#This Row],[NO2]]</f>
        <v>Field Data-24</v>
      </c>
      <c r="AA32" s="76">
        <f>COUNTIFS($AB$1:FormFields[[#This Row],[Exists]],1)-1</f>
        <v>24</v>
      </c>
      <c r="AB32" s="76">
        <f>IF(AND(FormFields[[#This Row],[Attribute]]="",FormFields[[#This Row],[Rel]]=""),0,1)</f>
        <v>1</v>
      </c>
      <c r="AC32" s="76">
        <f>IF(FormFields[[#This Row],[NO2]]=0,"id",FormFields[[#This Row],[NO2]]+IF(ISNUMBER(VLOOKUP('Table Seed Map'!$A$13,SeedMap[],9,0)),VLOOKUP('Table Seed Map'!$A$13,SeedMap[],9,0),0))</f>
        <v>801124</v>
      </c>
      <c r="AD32" s="77">
        <f>IF(FormFields[[#This Row],[ID]]="id","form_field",FormFields[[#This Row],[ID]])</f>
        <v>801030</v>
      </c>
      <c r="AE32" s="76" t="str">
        <f>IF(FormFields[[#This Row],[No]]=0,"attribute",FormFields[[#This Row],[Name]])</f>
        <v>password</v>
      </c>
      <c r="AF32" s="78" t="str">
        <f>IF(FormFields[[#This Row],[NO2]]=0,"relation",IF(FormFields[[#This Row],[Rel]]="","",VLOOKUP(FormFields[[#This Row],[Rel]],RelationTable[[Display]:[RELID]],2,0)))</f>
        <v/>
      </c>
      <c r="AG32" s="78" t="str">
        <f>IF(FormFields[[#This Row],[NO2]]=0,"nest_relation1",IF(FormFields[[#This Row],[Rel1]]="","",VLOOKUP(FormFields[[#This Row],[Rel1]],RelationTable[[Display]:[RELID]],2,0)))</f>
        <v/>
      </c>
      <c r="AH32" s="78" t="str">
        <f>IF(FormFields[[#This Row],[NO2]]=0,"nest_relation2",IF(FormFields[[#This Row],[Rel2]]="","",VLOOKUP(FormFields[[#This Row],[Rel2]],RelationTable[[Display]:[RELID]],2,0)))</f>
        <v/>
      </c>
      <c r="AI32" s="78" t="str">
        <f>IF(FormFields[[#This Row],[NO2]]=0,"nest_relation3",IF(FormFields[[#This Row],[Rel3]]="","",VLOOKUP(FormFields[[#This Row],[Rel3]],RelationTable[[Display]:[RELID]],2,0)))</f>
        <v/>
      </c>
      <c r="AJ32" s="71">
        <f>IF(OR(FormFields[[#This Row],[Option Type]]="",FormFields[[#This Row],[Option Type]]="type"),0,1)</f>
        <v>0</v>
      </c>
      <c r="AK32" s="71" t="str">
        <f>'Table Seed Map'!$A$14&amp;"-"&amp;FormFields[[#This Row],[NO4]]</f>
        <v>Field Options-4</v>
      </c>
      <c r="AL32" s="71">
        <f>COUNTIF($AJ$2:FormFields[[#This Row],[Exists FO]],1)</f>
        <v>4</v>
      </c>
      <c r="AM32" s="71">
        <f>IF(FormFields[[#This Row],[NO4]]=0,"id",FormFields[[#This Row],[NO4]]+IF(ISNUMBER(VLOOKUP('Table Seed Map'!$A$14,SeedMap[],9,0)),VLOOKUP('Table Seed Map'!$A$14,SeedMap[],9,0),0))</f>
        <v>801204</v>
      </c>
      <c r="AN32" s="58">
        <f>IF(FormFields[[#This Row],[ID]]="id","form_field",FormFields[[#This Row],[ID]])</f>
        <v>801030</v>
      </c>
      <c r="AO32" s="79"/>
      <c r="AP32" s="79"/>
      <c r="AQ32" s="79"/>
      <c r="AR32" s="79"/>
      <c r="AS32" s="79"/>
      <c r="AT32" s="71">
        <f>IF(OR(FormFields[[#This Row],[Colspan]]="",FormFields[[#This Row],[Colspan]]="colspan"),0,1)</f>
        <v>0</v>
      </c>
      <c r="AU32" s="71" t="str">
        <f>'Table Seed Map'!$A$19&amp;"-"&amp;FormFields[[#This Row],[NO8]]</f>
        <v>Form Layout-7</v>
      </c>
      <c r="AV32" s="71">
        <f>COUNTIF($AT$1:FormFields[[#This Row],[Exists FL]],1)</f>
        <v>7</v>
      </c>
      <c r="AW32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1">
        <f>FormFields[Form]</f>
        <v>800908</v>
      </c>
      <c r="AY32" s="71">
        <f>IF(FormFields[[#This Row],[ID]]="id","form_field",FormFields[[#This Row],[ID]])</f>
        <v>801030</v>
      </c>
      <c r="AZ32" s="80"/>
      <c r="BA32" s="58">
        <f>FormFields[[#This Row],[ID]]</f>
        <v>801030</v>
      </c>
      <c r="BC32" s="63" t="s">
        <v>1252</v>
      </c>
      <c r="BD32" s="62" t="str">
        <f>'Table Seed Map'!$A$15&amp;"-"&amp;(-1+COUNTA($BC$1:FieldAttrs[[#This Row],[ATTR Field]]))</f>
        <v>Field Attrs-30</v>
      </c>
      <c r="BE32" s="60">
        <f>IF(FieldAttrs[[#This Row],[ATTR Field]]="","id",-1+COUNTA($BC$1:FieldAttrs[[#This Row],[ATTR Field]])+VLOOKUP('Table Seed Map'!$A$15,SeedMap[],9,0))</f>
        <v>801330</v>
      </c>
      <c r="BF32" s="58">
        <f>IFERROR(VLOOKUP(FieldAttrs[ATTR Field],FormFields[[Field Name]:[ID]],2,0),"form_field")</f>
        <v>801032</v>
      </c>
      <c r="BG32" s="58" t="s">
        <v>904</v>
      </c>
      <c r="BH32" s="58">
        <v>4</v>
      </c>
    </row>
    <row r="33" spans="13:60" x14ac:dyDescent="0.25">
      <c r="M33" s="70" t="str">
        <f>'Table Seed Map'!$A$12&amp;"-"&amp;FormFields[[#This Row],[No]]</f>
        <v>Form Fields-31</v>
      </c>
      <c r="N33" s="59" t="s">
        <v>1249</v>
      </c>
      <c r="O33" s="71">
        <f>COUNTA($N$1:FormFields[[#This Row],[Form Name]])-1</f>
        <v>31</v>
      </c>
      <c r="P33" s="70" t="str">
        <f>FormFields[[#This Row],[Form Name]]&amp;"/"&amp;FormFields[[#This Row],[Name]]</f>
        <v>PartnerTask/TaskUpdateForm/task.name</v>
      </c>
      <c r="Q33" s="71">
        <f>IF(FormFields[[#This Row],[No]]=0,"id",FormFields[[#This Row],[No]]+IF(ISNUMBER(VLOOKUP('Table Seed Map'!$A$12,SeedMap[],9,0)),VLOOKUP('Table Seed Map'!$A$12,SeedMap[],9,0),0))</f>
        <v>801031</v>
      </c>
      <c r="R33" s="72">
        <f>IFERROR(VLOOKUP(FormFields[[#This Row],[Form Name]],ResourceForms[[FormName]:[ID]],4,0),"resource_form")</f>
        <v>800909</v>
      </c>
      <c r="S33" s="73" t="s">
        <v>1018</v>
      </c>
      <c r="T33" s="73" t="s">
        <v>1017</v>
      </c>
      <c r="U33" s="73" t="s">
        <v>845</v>
      </c>
      <c r="V33" s="74"/>
      <c r="W33" s="74"/>
      <c r="X33" s="74"/>
      <c r="Y33" s="74"/>
      <c r="Z33" s="75" t="str">
        <f>'Table Seed Map'!$A$13&amp;"-"&amp;FormFields[[#This Row],[NO2]]</f>
        <v>Field Data-24</v>
      </c>
      <c r="AA33" s="76">
        <f>COUNTIFS($AB$1:FormFields[[#This Row],[Exists]],1)-1</f>
        <v>24</v>
      </c>
      <c r="AB33" s="76">
        <f>IF(AND(FormFields[[#This Row],[Attribute]]="",FormFields[[#This Row],[Rel]]=""),0,1)</f>
        <v>0</v>
      </c>
      <c r="AC33" s="76">
        <f>IF(FormFields[[#This Row],[NO2]]=0,"id",FormFields[[#This Row],[NO2]]+IF(ISNUMBER(VLOOKUP('Table Seed Map'!$A$13,SeedMap[],9,0)),VLOOKUP('Table Seed Map'!$A$13,SeedMap[],9,0),0))</f>
        <v>801124</v>
      </c>
      <c r="AD33" s="77">
        <f>IF(FormFields[[#This Row],[ID]]="id","form_field",FormFields[[#This Row],[ID]])</f>
        <v>801031</v>
      </c>
      <c r="AE33" s="76"/>
      <c r="AF33" s="78" t="str">
        <f>IF(FormFields[[#This Row],[NO2]]=0,"relation",IF(FormFields[[#This Row],[Rel]]="","",VLOOKUP(FormFields[[#This Row],[Rel]],RelationTable[[Display]:[RELID]],2,0)))</f>
        <v/>
      </c>
      <c r="AG33" s="78" t="str">
        <f>IF(FormFields[[#This Row],[NO2]]=0,"nest_relation1",IF(FormFields[[#This Row],[Rel1]]="","",VLOOKUP(FormFields[[#This Row],[Rel1]],RelationTable[[Display]:[RELID]],2,0)))</f>
        <v/>
      </c>
      <c r="AH33" s="78" t="str">
        <f>IF(FormFields[[#This Row],[NO2]]=0,"nest_relation2",IF(FormFields[[#This Row],[Rel2]]="","",VLOOKUP(FormFields[[#This Row],[Rel2]],RelationTable[[Display]:[RELID]],2,0)))</f>
        <v/>
      </c>
      <c r="AI33" s="78" t="str">
        <f>IF(FormFields[[#This Row],[NO2]]=0,"nest_relation3",IF(FormFields[[#This Row],[Rel3]]="","",VLOOKUP(FormFields[[#This Row],[Rel3]],RelationTable[[Display]:[RELID]],2,0)))</f>
        <v/>
      </c>
      <c r="AJ33" s="71">
        <f>IF(OR(FormFields[[#This Row],[Option Type]]="",FormFields[[#This Row],[Option Type]]="type"),0,1)</f>
        <v>0</v>
      </c>
      <c r="AK33" s="71" t="str">
        <f>'Table Seed Map'!$A$14&amp;"-"&amp;FormFields[[#This Row],[NO4]]</f>
        <v>Field Options-4</v>
      </c>
      <c r="AL33" s="71">
        <f>COUNTIF($AJ$2:FormFields[[#This Row],[Exists FO]],1)</f>
        <v>4</v>
      </c>
      <c r="AM33" s="71">
        <f>IF(FormFields[[#This Row],[NO4]]=0,"id",FormFields[[#This Row],[NO4]]+IF(ISNUMBER(VLOOKUP('Table Seed Map'!$A$14,SeedMap[],9,0)),VLOOKUP('Table Seed Map'!$A$14,SeedMap[],9,0),0))</f>
        <v>801204</v>
      </c>
      <c r="AN33" s="58">
        <f>IF(FormFields[[#This Row],[ID]]="id","form_field",FormFields[[#This Row],[ID]])</f>
        <v>801031</v>
      </c>
      <c r="AO33" s="79"/>
      <c r="AP33" s="79"/>
      <c r="AQ33" s="79"/>
      <c r="AR33" s="79"/>
      <c r="AS33" s="79"/>
      <c r="AT33" s="71">
        <f>IF(OR(FormFields[[#This Row],[Colspan]]="",FormFields[[#This Row],[Colspan]]="colspan"),0,1)</f>
        <v>0</v>
      </c>
      <c r="AU33" s="71" t="str">
        <f>'Table Seed Map'!$A$19&amp;"-"&amp;FormFields[[#This Row],[NO8]]</f>
        <v>Form Layout-7</v>
      </c>
      <c r="AV33" s="71">
        <f>COUNTIF($AT$1:FormFields[[#This Row],[Exists FL]],1)</f>
        <v>7</v>
      </c>
      <c r="AW33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1">
        <f>FormFields[Form]</f>
        <v>800909</v>
      </c>
      <c r="AY33" s="71">
        <f>IF(FormFields[[#This Row],[ID]]="id","form_field",FormFields[[#This Row],[ID]])</f>
        <v>801031</v>
      </c>
      <c r="AZ33" s="80"/>
      <c r="BA33" s="58">
        <f>FormFields[[#This Row],[ID]]</f>
        <v>801031</v>
      </c>
      <c r="BC33" s="63" t="s">
        <v>1251</v>
      </c>
      <c r="BD33" s="62" t="str">
        <f>'Table Seed Map'!$A$15&amp;"-"&amp;(-1+COUNTA($BC$1:FieldAttrs[[#This Row],[ATTR Field]]))</f>
        <v>Field Attrs-31</v>
      </c>
      <c r="BE33" s="60">
        <f>IF(FieldAttrs[[#This Row],[ATTR Field]]="","id",-1+COUNTA($BC$1:FieldAttrs[[#This Row],[ATTR Field]])+VLOOKUP('Table Seed Map'!$A$15,SeedMap[],9,0))</f>
        <v>801331</v>
      </c>
      <c r="BF33" s="58">
        <f>IFERROR(VLOOKUP(FieldAttrs[ATTR Field],FormFields[[Field Name]:[ID]],2,0),"form_field")</f>
        <v>801033</v>
      </c>
      <c r="BG33" s="58" t="s">
        <v>904</v>
      </c>
      <c r="BH33" s="58">
        <v>4</v>
      </c>
    </row>
    <row r="34" spans="13:60" x14ac:dyDescent="0.25">
      <c r="M34" s="70" t="str">
        <f>'Table Seed Map'!$A$12&amp;"-"&amp;FormFields[[#This Row],[No]]</f>
        <v>Form Fields-32</v>
      </c>
      <c r="N34" s="59" t="s">
        <v>1249</v>
      </c>
      <c r="O34" s="71">
        <f>COUNTA($N$1:FormFields[[#This Row],[Form Name]])-1</f>
        <v>32</v>
      </c>
      <c r="P34" s="70" t="str">
        <f>FormFields[[#This Row],[Form Name]]&amp;"/"&amp;FormFields[[#This Row],[Name]]</f>
        <v>PartnerTask/TaskUpdateForm/progress</v>
      </c>
      <c r="Q34" s="71">
        <f>IF(FormFields[[#This Row],[No]]=0,"id",FormFields[[#This Row],[No]]+IF(ISNUMBER(VLOOKUP('Table Seed Map'!$A$12,SeedMap[],9,0)),VLOOKUP('Table Seed Map'!$A$12,SeedMap[],9,0),0))</f>
        <v>801032</v>
      </c>
      <c r="R34" s="72">
        <f>IFERROR(VLOOKUP(FormFields[[#This Row],[Form Name]],ResourceForms[[FormName]:[ID]],4,0),"resource_form")</f>
        <v>800909</v>
      </c>
      <c r="S34" s="73" t="s">
        <v>823</v>
      </c>
      <c r="T34" s="73" t="s">
        <v>899</v>
      </c>
      <c r="U34" s="73" t="s">
        <v>1250</v>
      </c>
      <c r="V34" s="74"/>
      <c r="W34" s="74"/>
      <c r="X34" s="74"/>
      <c r="Y34" s="74"/>
      <c r="Z34" s="75" t="str">
        <f>'Table Seed Map'!$A$13&amp;"-"&amp;FormFields[[#This Row],[NO2]]</f>
        <v>Field Data-25</v>
      </c>
      <c r="AA34" s="76">
        <f>COUNTIFS($AB$1:FormFields[[#This Row],[Exists]],1)-1</f>
        <v>25</v>
      </c>
      <c r="AB34" s="76">
        <f>IF(AND(FormFields[[#This Row],[Attribute]]="",FormFields[[#This Row],[Rel]]=""),0,1)</f>
        <v>1</v>
      </c>
      <c r="AC34" s="76">
        <f>IF(FormFields[[#This Row],[NO2]]=0,"id",FormFields[[#This Row],[NO2]]+IF(ISNUMBER(VLOOKUP('Table Seed Map'!$A$13,SeedMap[],9,0)),VLOOKUP('Table Seed Map'!$A$13,SeedMap[],9,0),0))</f>
        <v>801125</v>
      </c>
      <c r="AD34" s="77">
        <f>IF(FormFields[[#This Row],[ID]]="id","form_field",FormFields[[#This Row],[ID]])</f>
        <v>801032</v>
      </c>
      <c r="AE34" s="76" t="str">
        <f>IF(FormFields[[#This Row],[No]]=0,"attribute",FormFields[[#This Row],[Name]])</f>
        <v>progress</v>
      </c>
      <c r="AF34" s="78" t="str">
        <f>IF(FormFields[[#This Row],[NO2]]=0,"relation",IF(FormFields[[#This Row],[Rel]]="","",VLOOKUP(FormFields[[#This Row],[Rel]],RelationTable[[Display]:[RELID]],2,0)))</f>
        <v/>
      </c>
      <c r="AG34" s="78" t="str">
        <f>IF(FormFields[[#This Row],[NO2]]=0,"nest_relation1",IF(FormFields[[#This Row],[Rel1]]="","",VLOOKUP(FormFields[[#This Row],[Rel1]],RelationTable[[Display]:[RELID]],2,0)))</f>
        <v/>
      </c>
      <c r="AH34" s="78" t="str">
        <f>IF(FormFields[[#This Row],[NO2]]=0,"nest_relation2",IF(FormFields[[#This Row],[Rel2]]="","",VLOOKUP(FormFields[[#This Row],[Rel2]],RelationTable[[Display]:[RELID]],2,0)))</f>
        <v/>
      </c>
      <c r="AI34" s="78" t="str">
        <f>IF(FormFields[[#This Row],[NO2]]=0,"nest_relation3",IF(FormFields[[#This Row],[Rel3]]="","",VLOOKUP(FormFields[[#This Row],[Rel3]],RelationTable[[Display]:[RELID]],2,0)))</f>
        <v/>
      </c>
      <c r="AJ34" s="71">
        <f>IF(OR(FormFields[[#This Row],[Option Type]]="",FormFields[[#This Row],[Option Type]]="type"),0,1)</f>
        <v>1</v>
      </c>
      <c r="AK34" s="71" t="str">
        <f>'Table Seed Map'!$A$14&amp;"-"&amp;FormFields[[#This Row],[NO4]]</f>
        <v>Field Options-5</v>
      </c>
      <c r="AL34" s="71">
        <f>COUNTIF($AJ$2:FormFields[[#This Row],[Exists FO]],1)</f>
        <v>5</v>
      </c>
      <c r="AM34" s="71">
        <f>IF(FormFields[[#This Row],[NO4]]=0,"id",FormFields[[#This Row],[NO4]]+IF(ISNUMBER(VLOOKUP('Table Seed Map'!$A$14,SeedMap[],9,0)),VLOOKUP('Table Seed Map'!$A$14,SeedMap[],9,0),0))</f>
        <v>801205</v>
      </c>
      <c r="AN34" s="58">
        <f>IF(FormFields[[#This Row],[ID]]="id","form_field",FormFields[[#This Row],[ID]])</f>
        <v>801032</v>
      </c>
      <c r="AO34" s="79" t="s">
        <v>902</v>
      </c>
      <c r="AP34" s="79"/>
      <c r="AQ34" s="79"/>
      <c r="AR34" s="79"/>
      <c r="AS34" s="79"/>
      <c r="AT34" s="71">
        <f>IF(OR(FormFields[[#This Row],[Colspan]]="",FormFields[[#This Row],[Colspan]]="colspan"),0,1)</f>
        <v>0</v>
      </c>
      <c r="AU34" s="71" t="str">
        <f>'Table Seed Map'!$A$19&amp;"-"&amp;FormFields[[#This Row],[NO8]]</f>
        <v>Form Layout-7</v>
      </c>
      <c r="AV34" s="71">
        <f>COUNTIF($AT$1:FormFields[[#This Row],[Exists FL]],1)</f>
        <v>7</v>
      </c>
      <c r="AW34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1">
        <f>FormFields[Form]</f>
        <v>800909</v>
      </c>
      <c r="AY34" s="71">
        <f>IF(FormFields[[#This Row],[ID]]="id","form_field",FormFields[[#This Row],[ID]])</f>
        <v>801032</v>
      </c>
      <c r="AZ34" s="80"/>
      <c r="BA34" s="58">
        <f>FormFields[[#This Row],[ID]]</f>
        <v>801032</v>
      </c>
    </row>
    <row r="35" spans="13:60" x14ac:dyDescent="0.25">
      <c r="M35" s="70" t="str">
        <f>'Table Seed Map'!$A$12&amp;"-"&amp;FormFields[[#This Row],[No]]</f>
        <v>Form Fields-33</v>
      </c>
      <c r="N35" s="59" t="s">
        <v>1249</v>
      </c>
      <c r="O35" s="71">
        <f>COUNTA($N$1:FormFields[[#This Row],[Form Name]])-1</f>
        <v>33</v>
      </c>
      <c r="P35" s="70" t="str">
        <f>FormFields[[#This Row],[Form Name]]&amp;"/"&amp;FormFields[[#This Row],[Name]]</f>
        <v>PartnerTask/TaskUpdateForm/remarks</v>
      </c>
      <c r="Q35" s="71">
        <f>IF(FormFields[[#This Row],[No]]=0,"id",FormFields[[#This Row],[No]]+IF(ISNUMBER(VLOOKUP('Table Seed Map'!$A$12,SeedMap[],9,0)),VLOOKUP('Table Seed Map'!$A$12,SeedMap[],9,0),0))</f>
        <v>801033</v>
      </c>
      <c r="R35" s="72">
        <f>IFERROR(VLOOKUP(FormFields[[#This Row],[Form Name]],ResourceForms[[FormName]:[ID]],4,0),"resource_form")</f>
        <v>800909</v>
      </c>
      <c r="S35" s="73" t="s">
        <v>1111</v>
      </c>
      <c r="T35" s="73" t="s">
        <v>898</v>
      </c>
      <c r="U35" s="73" t="s">
        <v>1112</v>
      </c>
      <c r="V35" s="74"/>
      <c r="W35" s="74"/>
      <c r="X35" s="74"/>
      <c r="Y35" s="74"/>
      <c r="Z35" s="75" t="str">
        <f>'Table Seed Map'!$A$13&amp;"-"&amp;FormFields[[#This Row],[NO2]]</f>
        <v>Field Data-26</v>
      </c>
      <c r="AA35" s="76">
        <f>COUNTIFS($AB$1:FormFields[[#This Row],[Exists]],1)-1</f>
        <v>26</v>
      </c>
      <c r="AB35" s="76">
        <f>IF(AND(FormFields[[#This Row],[Attribute]]="",FormFields[[#This Row],[Rel]]=""),0,1)</f>
        <v>1</v>
      </c>
      <c r="AC35" s="76">
        <f>IF(FormFields[[#This Row],[NO2]]=0,"id",FormFields[[#This Row],[NO2]]+IF(ISNUMBER(VLOOKUP('Table Seed Map'!$A$13,SeedMap[],9,0)),VLOOKUP('Table Seed Map'!$A$13,SeedMap[],9,0),0))</f>
        <v>801126</v>
      </c>
      <c r="AD35" s="77">
        <f>IF(FormFields[[#This Row],[ID]]="id","form_field",FormFields[[#This Row],[ID]])</f>
        <v>801033</v>
      </c>
      <c r="AE35" s="76" t="str">
        <f>IF(FormFields[[#This Row],[No]]=0,"attribute",FormFields[[#This Row],[Name]])</f>
        <v>remarks</v>
      </c>
      <c r="AF35" s="78" t="str">
        <f>IF(FormFields[[#This Row],[NO2]]=0,"relation",IF(FormFields[[#This Row],[Rel]]="","",VLOOKUP(FormFields[[#This Row],[Rel]],RelationTable[[Display]:[RELID]],2,0)))</f>
        <v/>
      </c>
      <c r="AG35" s="78" t="str">
        <f>IF(FormFields[[#This Row],[NO2]]=0,"nest_relation1",IF(FormFields[[#This Row],[Rel1]]="","",VLOOKUP(FormFields[[#This Row],[Rel1]],RelationTable[[Display]:[RELID]],2,0)))</f>
        <v/>
      </c>
      <c r="AH35" s="78" t="str">
        <f>IF(FormFields[[#This Row],[NO2]]=0,"nest_relation2",IF(FormFields[[#This Row],[Rel2]]="","",VLOOKUP(FormFields[[#This Row],[Rel2]],RelationTable[[Display]:[RELID]],2,0)))</f>
        <v/>
      </c>
      <c r="AI35" s="78" t="str">
        <f>IF(FormFields[[#This Row],[NO2]]=0,"nest_relation3",IF(FormFields[[#This Row],[Rel3]]="","",VLOOKUP(FormFields[[#This Row],[Rel3]],RelationTable[[Display]:[RELID]],2,0)))</f>
        <v/>
      </c>
      <c r="AJ35" s="71">
        <f>IF(OR(FormFields[[#This Row],[Option Type]]="",FormFields[[#This Row],[Option Type]]="type"),0,1)</f>
        <v>0</v>
      </c>
      <c r="AK35" s="71" t="str">
        <f>'Table Seed Map'!$A$14&amp;"-"&amp;FormFields[[#This Row],[NO4]]</f>
        <v>Field Options-5</v>
      </c>
      <c r="AL35" s="71">
        <f>COUNTIF($AJ$2:FormFields[[#This Row],[Exists FO]],1)</f>
        <v>5</v>
      </c>
      <c r="AM35" s="71">
        <f>IF(FormFields[[#This Row],[NO4]]=0,"id",FormFields[[#This Row],[NO4]]+IF(ISNUMBER(VLOOKUP('Table Seed Map'!$A$14,SeedMap[],9,0)),VLOOKUP('Table Seed Map'!$A$14,SeedMap[],9,0),0))</f>
        <v>801205</v>
      </c>
      <c r="AN35" s="58">
        <f>IF(FormFields[[#This Row],[ID]]="id","form_field",FormFields[[#This Row],[ID]])</f>
        <v>801033</v>
      </c>
      <c r="AO35" s="79"/>
      <c r="AP35" s="79"/>
      <c r="AQ35" s="79"/>
      <c r="AR35" s="79"/>
      <c r="AS35" s="79"/>
      <c r="AT35" s="71">
        <f>IF(OR(FormFields[[#This Row],[Colspan]]="",FormFields[[#This Row],[Colspan]]="colspan"),0,1)</f>
        <v>0</v>
      </c>
      <c r="AU35" s="71" t="str">
        <f>'Table Seed Map'!$A$19&amp;"-"&amp;FormFields[[#This Row],[NO8]]</f>
        <v>Form Layout-7</v>
      </c>
      <c r="AV35" s="71">
        <f>COUNTIF($AT$1:FormFields[[#This Row],[Exists FL]],1)</f>
        <v>7</v>
      </c>
      <c r="AW35" s="71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1">
        <f>FormFields[Form]</f>
        <v>800909</v>
      </c>
      <c r="AY35" s="71">
        <f>IF(FormFields[[#This Row],[ID]]="id","form_field",FormFields[[#This Row],[ID]])</f>
        <v>801033</v>
      </c>
      <c r="AZ35" s="80"/>
      <c r="BA35" s="58">
        <f>FormFields[[#This Row],[ID]]</f>
        <v>801033</v>
      </c>
    </row>
  </sheetData>
  <dataValidations count="9">
    <dataValidation type="list" allowBlank="1" showInputMessage="1" showErrorMessage="1" sqref="EN2:ES2 CS2:CY2 BX2 V2:Y35">
      <formula1>Relations</formula1>
    </dataValidation>
    <dataValidation type="list" allowBlank="1" showInputMessage="1" showErrorMessage="1" sqref="CH2 DY2 BV2:BW2 N2:N35">
      <formula1>FormNames</formula1>
    </dataValidation>
    <dataValidation type="list" allowBlank="1" showInputMessage="1" showErrorMessage="1" sqref="DB2 DN2 EA2 BY2 BJ2:BJ11 BC2:BC3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1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T1" sqref="AT1:AY1048576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IFERROR($A1+1,1)</f>
        <v>1</v>
      </c>
      <c r="B2" s="1" t="s">
        <v>492</v>
      </c>
      <c r="C2" s="6" t="str">
        <f>MID(MigrationRenamer[Filename],26,LEN(MigrationRenamer[Filename])-35)</f>
        <v>__groups</v>
      </c>
      <c r="D2" s="6" t="str">
        <f t="shared" ref="D2:D44" si="0">"2019_01_24_"</f>
        <v>2019_01_24_</v>
      </c>
      <c r="E2" s="6" t="str">
        <f>TEXT(MATCH(MigrationRenamer[[#This Row],[Table]],Tables[Table],0),"000000")</f>
        <v>000002</v>
      </c>
      <c r="F2" s="6" t="str">
        <f>RIGHT(MigrationRenamer[Filename],LEN(MigrationRenamer[Filename])-LEN(MigrationRenamer[Date Part])-LEN(MigrationRenamer[Sequence]))</f>
        <v>_create___groups_table.php</v>
      </c>
      <c r="G2" s="6" t="str">
        <f>MigrationRenamer[Date Part]&amp;MigrationRenamer[Sequence]&amp;MigrationRenamer[Name Part]</f>
        <v>2019_01_24_000002_create___groups_table.php</v>
      </c>
      <c r="H2" s="6" t="str">
        <f>IFERROR("ren "&amp;MigrationRenamer[Filename]&amp;" "&amp;MigrationRenamer[New Name],"del "&amp;MigrationRenamer[Filename])</f>
        <v>ren 2019_01_24_000002_create___groups_table.php 2019_01_24_000002_create___groups_table.php</v>
      </c>
    </row>
    <row r="3" spans="1:8" x14ac:dyDescent="0.25">
      <c r="A3" s="3">
        <f>IFERROR($A2+1,1)</f>
        <v>2</v>
      </c>
      <c r="B3" s="1" t="s">
        <v>493</v>
      </c>
      <c r="C3" s="6" t="str">
        <f>MID(MigrationRenamer[Filename],26,LEN(MigrationRenamer[Filename])-35)</f>
        <v>__group_users</v>
      </c>
      <c r="D3" s="6" t="str">
        <f t="shared" si="0"/>
        <v>2019_01_24_</v>
      </c>
      <c r="E3" s="6" t="str">
        <f>TEXT(MATCH(MigrationRenamer[[#This Row],[Table]],Tables[Table],0),"000000")</f>
        <v>000003</v>
      </c>
      <c r="F3" s="6" t="str">
        <f>RIGHT(MigrationRenamer[Filename],LEN(MigrationRenamer[Filename])-LEN(MigrationRenamer[Date Part])-LEN(MigrationRenamer[Sequence]))</f>
        <v>_create___group_users_table.php</v>
      </c>
      <c r="G3" s="6" t="str">
        <f>MigrationRenamer[Date Part]&amp;MigrationRenamer[Sequence]&amp;MigrationRenamer[Name Part]</f>
        <v>2019_01_24_000003_create___group_users_table.php</v>
      </c>
      <c r="H3" s="6" t="str">
        <f>IFERROR("ren "&amp;MigrationRenamer[Filename]&amp;" "&amp;MigrationRenamer[New Name],"del "&amp;MigrationRenamer[Filename])</f>
        <v>ren 2019_01_24_000003_create___group_users_table.php 2019_01_24_000003_create___group_users_table.php</v>
      </c>
    </row>
    <row r="4" spans="1:8" x14ac:dyDescent="0.25">
      <c r="A4" s="3">
        <f t="shared" ref="A4:A42" si="1">IFERROR($A3+1,1)</f>
        <v>3</v>
      </c>
      <c r="B4" s="1" t="s">
        <v>494</v>
      </c>
      <c r="C4" s="6" t="str">
        <f>MID(MigrationRenamer[Filename],26,LEN(MigrationRenamer[Filename])-35)</f>
        <v>__roles</v>
      </c>
      <c r="D4" s="6" t="str">
        <f t="shared" si="0"/>
        <v>2019_01_24_</v>
      </c>
      <c r="E4" s="6" t="str">
        <f>TEXT(MATCH(MigrationRenamer[[#This Row],[Table]],Tables[Table],0),"000000")</f>
        <v>000004</v>
      </c>
      <c r="F4" s="6" t="str">
        <f>RIGHT(MigrationRenamer[Filename],LEN(MigrationRenamer[Filename])-LEN(MigrationRenamer[Date Part])-LEN(MigrationRenamer[Sequence]))</f>
        <v>_create___roles_table.php</v>
      </c>
      <c r="G4" s="6" t="str">
        <f>MigrationRenamer[Date Part]&amp;MigrationRenamer[Sequence]&amp;MigrationRenamer[Name Part]</f>
        <v>2019_01_24_000004_create___roles_table.php</v>
      </c>
      <c r="H4" s="6" t="str">
        <f>IFERROR("ren "&amp;MigrationRenamer[Filename]&amp;" "&amp;MigrationRenamer[New Name],"del "&amp;MigrationRenamer[Filename])</f>
        <v>ren 2019_01_24_000004_create___roles_table.php 2019_01_24_000004_create___roles_table.php</v>
      </c>
    </row>
    <row r="5" spans="1:8" x14ac:dyDescent="0.25">
      <c r="A5" s="3">
        <f t="shared" si="1"/>
        <v>4</v>
      </c>
      <c r="B5" s="1" t="s">
        <v>495</v>
      </c>
      <c r="C5" s="6" t="str">
        <f>MID(MigrationRenamer[Filename],26,LEN(MigrationRenamer[Filename])-35)</f>
        <v>__group_roles</v>
      </c>
      <c r="D5" s="6" t="str">
        <f t="shared" si="0"/>
        <v>2019_01_24_</v>
      </c>
      <c r="E5" s="6" t="str">
        <f>TEXT(MATCH(MigrationRenamer[[#This Row],[Table]],Tables[Table],0),"000000")</f>
        <v>000005</v>
      </c>
      <c r="F5" s="6" t="str">
        <f>RIGHT(MigrationRenamer[Filename],LEN(MigrationRenamer[Filename])-LEN(MigrationRenamer[Date Part])-LEN(MigrationRenamer[Sequence]))</f>
        <v>_create___group_roles_table.php</v>
      </c>
      <c r="G5" s="6" t="str">
        <f>MigrationRenamer[Date Part]&amp;MigrationRenamer[Sequence]&amp;MigrationRenamer[Name Part]</f>
        <v>2019_01_24_000005_create___group_roles_table.php</v>
      </c>
      <c r="H5" s="6" t="str">
        <f>IFERROR("ren "&amp;MigrationRenamer[Filename]&amp;" "&amp;MigrationRenamer[New Name],"del "&amp;MigrationRenamer[Filename])</f>
        <v>ren 2019_01_24_000005_create___group_roles_table.php 2019_01_24_000005_create___group_roles_table.php</v>
      </c>
    </row>
    <row r="6" spans="1:8" x14ac:dyDescent="0.25">
      <c r="A6" s="3">
        <f t="shared" si="1"/>
        <v>5</v>
      </c>
      <c r="B6" s="1" t="s">
        <v>496</v>
      </c>
      <c r="C6" s="6" t="str">
        <f>MID(MigrationRenamer[Filename],26,LEN(MigrationRenamer[Filename])-35)</f>
        <v>__resources</v>
      </c>
      <c r="D6" s="6" t="str">
        <f t="shared" si="0"/>
        <v>2019_01_24_</v>
      </c>
      <c r="E6" s="6" t="str">
        <f>TEXT(MATCH(MigrationRenamer[[#This Row],[Table]],Tables[Table],0),"000000")</f>
        <v>000006</v>
      </c>
      <c r="F6" s="6" t="str">
        <f>RIGHT(MigrationRenamer[Filename],LEN(MigrationRenamer[Filename])-LEN(MigrationRenamer[Date Part])-LEN(MigrationRenamer[Sequence]))</f>
        <v>_create___resources_table.php</v>
      </c>
      <c r="G6" s="6" t="str">
        <f>MigrationRenamer[Date Part]&amp;MigrationRenamer[Sequence]&amp;MigrationRenamer[Name Part]</f>
        <v>2019_01_24_000006_create___resources_table.php</v>
      </c>
      <c r="H6" s="6" t="str">
        <f>IFERROR("ren "&amp;MigrationRenamer[Filename]&amp;" "&amp;MigrationRenamer[New Name],"del "&amp;MigrationRenamer[Filename])</f>
        <v>ren 2019_01_24_000006_create___resources_table.php 2019_01_24_000006_create___resources_table.php</v>
      </c>
    </row>
    <row r="7" spans="1:8" x14ac:dyDescent="0.25">
      <c r="A7" s="3">
        <f t="shared" si="1"/>
        <v>6</v>
      </c>
      <c r="B7" s="1" t="s">
        <v>497</v>
      </c>
      <c r="C7" s="6" t="str">
        <f>MID(MigrationRenamer[Filename],26,LEN(MigrationRenamer[Filename])-35)</f>
        <v>__resource_roles</v>
      </c>
      <c r="D7" s="6" t="str">
        <f t="shared" si="0"/>
        <v>2019_01_24_</v>
      </c>
      <c r="E7" s="6" t="str">
        <f>TEXT(MATCH(MigrationRenamer[[#This Row],[Table]],Tables[Table],0),"000000")</f>
        <v>000007</v>
      </c>
      <c r="F7" s="6" t="str">
        <f>RIGHT(MigrationRenamer[Filename],LEN(MigrationRenamer[Filename])-LEN(MigrationRenamer[Date Part])-LEN(MigrationRenamer[Sequence]))</f>
        <v>_create___resource_roles_table.php</v>
      </c>
      <c r="G7" s="6" t="str">
        <f>MigrationRenamer[Date Part]&amp;MigrationRenamer[Sequence]&amp;MigrationRenamer[Name Part]</f>
        <v>2019_01_24_000007_create___resource_roles_table.php</v>
      </c>
      <c r="H7" s="6" t="str">
        <f>IFERROR("ren "&amp;MigrationRenamer[Filename]&amp;" "&amp;MigrationRenamer[New Name],"del "&amp;MigrationRenamer[Filename])</f>
        <v>ren 2019_01_24_000007_create___resource_roles_table.php 2019_01_24_000007_create___resource_roles_table.php</v>
      </c>
    </row>
    <row r="8" spans="1:8" x14ac:dyDescent="0.25">
      <c r="A8" s="3">
        <f t="shared" si="1"/>
        <v>7</v>
      </c>
      <c r="B8" s="1" t="s">
        <v>498</v>
      </c>
      <c r="C8" s="6" t="str">
        <f>MID(MigrationRenamer[Filename],26,LEN(MigrationRenamer[Filename])-35)</f>
        <v>__resource_relations</v>
      </c>
      <c r="D8" s="6" t="str">
        <f t="shared" si="0"/>
        <v>2019_01_24_</v>
      </c>
      <c r="E8" s="6" t="str">
        <f>TEXT(MATCH(MigrationRenamer[[#This Row],[Table]],Tables[Table],0),"000000")</f>
        <v>000008</v>
      </c>
      <c r="F8" s="6" t="str">
        <f>RIGHT(MigrationRenamer[Filename],LEN(MigrationRenamer[Filename])-LEN(MigrationRenamer[Date Part])-LEN(MigrationRenamer[Sequence]))</f>
        <v>_create___resource_relations_table.php</v>
      </c>
      <c r="G8" s="6" t="str">
        <f>MigrationRenamer[Date Part]&amp;MigrationRenamer[Sequence]&amp;MigrationRenamer[Name Part]</f>
        <v>2019_01_24_000008_create___resource_relations_table.php</v>
      </c>
      <c r="H8" s="6" t="str">
        <f>IFERROR("ren "&amp;MigrationRenamer[Filename]&amp;" "&amp;MigrationRenamer[New Name],"del "&amp;MigrationRenamer[Filename])</f>
        <v>ren 2019_01_24_000008_create___resource_relations_table.php 2019_01_24_000008_create___resource_relations_table.php</v>
      </c>
    </row>
    <row r="9" spans="1:8" x14ac:dyDescent="0.25">
      <c r="A9" s="3">
        <f t="shared" si="1"/>
        <v>8</v>
      </c>
      <c r="B9" s="1" t="s">
        <v>499</v>
      </c>
      <c r="C9" s="6" t="str">
        <f>MID(MigrationRenamer[Filename],26,LEN(MigrationRenamer[Filename])-35)</f>
        <v>__resource_scopes</v>
      </c>
      <c r="D9" s="6" t="str">
        <f t="shared" si="0"/>
        <v>2019_01_24_</v>
      </c>
      <c r="E9" s="6" t="str">
        <f>TEXT(MATCH(MigrationRenamer[[#This Row],[Table]],Tables[Table],0),"000000")</f>
        <v>000009</v>
      </c>
      <c r="F9" s="6" t="str">
        <f>RIGHT(MigrationRenamer[Filename],LEN(MigrationRenamer[Filename])-LEN(MigrationRenamer[Date Part])-LEN(MigrationRenamer[Sequence]))</f>
        <v>_create___resource_scopes_table.php</v>
      </c>
      <c r="G9" s="6" t="str">
        <f>MigrationRenamer[Date Part]&amp;MigrationRenamer[Sequence]&amp;MigrationRenamer[Name Part]</f>
        <v>2019_01_24_000009_create___resource_scopes_table.php</v>
      </c>
      <c r="H9" s="6" t="str">
        <f>IFERROR("ren "&amp;MigrationRenamer[Filename]&amp;" "&amp;MigrationRenamer[New Name],"del "&amp;MigrationRenamer[Filename])</f>
        <v>ren 2019_01_24_000009_create___resource_scopes_table.php 2019_01_24_000009_create___resource_scopes_table.php</v>
      </c>
    </row>
    <row r="10" spans="1:8" x14ac:dyDescent="0.25">
      <c r="A10" s="3">
        <f t="shared" si="1"/>
        <v>9</v>
      </c>
      <c r="B10" s="1" t="s">
        <v>500</v>
      </c>
      <c r="C10" s="6" t="str">
        <f>MID(MigrationRenamer[Filename],26,LEN(MigrationRenamer[Filename])-35)</f>
        <v>__resource_forms</v>
      </c>
      <c r="D10" s="6" t="str">
        <f t="shared" si="0"/>
        <v>2019_01_24_</v>
      </c>
      <c r="E10" s="6" t="str">
        <f>TEXT(MATCH(MigrationRenamer[[#This Row],[Table]],Tables[Table],0),"000000")</f>
        <v>000010</v>
      </c>
      <c r="F10" s="6" t="str">
        <f>RIGHT(MigrationRenamer[Filename],LEN(MigrationRenamer[Filename])-LEN(MigrationRenamer[Date Part])-LEN(MigrationRenamer[Sequence]))</f>
        <v>_create___resource_forms_table.php</v>
      </c>
      <c r="G10" s="6" t="str">
        <f>MigrationRenamer[Date Part]&amp;MigrationRenamer[Sequence]&amp;MigrationRenamer[Name Part]</f>
        <v>2019_01_24_000010_create___resource_forms_table.php</v>
      </c>
      <c r="H10" s="6" t="str">
        <f>IFERROR("ren "&amp;MigrationRenamer[Filename]&amp;" "&amp;MigrationRenamer[New Name],"del "&amp;MigrationRenamer[Filename])</f>
        <v>ren 2019_01_24_000010_create___resource_forms_table.php 2019_01_24_000010_create___resource_forms_table.php</v>
      </c>
    </row>
    <row r="11" spans="1:8" x14ac:dyDescent="0.25">
      <c r="A11" s="3">
        <f t="shared" si="1"/>
        <v>10</v>
      </c>
      <c r="B11" s="1" t="s">
        <v>501</v>
      </c>
      <c r="C11" s="6" t="str">
        <f>MID(MigrationRenamer[Filename],26,LEN(MigrationRenamer[Filename])-35)</f>
        <v>__resource_form_fields</v>
      </c>
      <c r="D11" s="6" t="str">
        <f t="shared" si="0"/>
        <v>2019_01_24_</v>
      </c>
      <c r="E11" s="6" t="str">
        <f>TEXT(MATCH(MigrationRenamer[[#This Row],[Table]],Tables[Table],0),"000000")</f>
        <v>000011</v>
      </c>
      <c r="F11" s="6" t="str">
        <f>RIGHT(MigrationRenamer[Filename],LEN(MigrationRenamer[Filename])-LEN(MigrationRenamer[Date Part])-LEN(MigrationRenamer[Sequence]))</f>
        <v>_create___resource_form_fields_table.php</v>
      </c>
      <c r="G11" s="6" t="str">
        <f>MigrationRenamer[Date Part]&amp;MigrationRenamer[Sequence]&amp;MigrationRenamer[Name Part]</f>
        <v>2019_01_24_000011_create___resource_form_fields_table.php</v>
      </c>
      <c r="H11" s="6" t="str">
        <f>IFERROR("ren "&amp;MigrationRenamer[Filename]&amp;" "&amp;MigrationRenamer[New Name],"del "&amp;MigrationRenamer[Filename])</f>
        <v>ren 2019_01_24_000011_create___resource_form_fields_table.php 2019_01_24_000011_create___resource_form_fields_table.php</v>
      </c>
    </row>
    <row r="12" spans="1:8" x14ac:dyDescent="0.25">
      <c r="A12" s="3">
        <f t="shared" si="1"/>
        <v>11</v>
      </c>
      <c r="B12" s="1" t="s">
        <v>502</v>
      </c>
      <c r="C12" s="6" t="str">
        <f>MID(MigrationRenamer[Filename],26,LEN(MigrationRenamer[Filename])-35)</f>
        <v>__resource_form_field_attrs</v>
      </c>
      <c r="D12" s="6" t="str">
        <f t="shared" si="0"/>
        <v>2019_01_24_</v>
      </c>
      <c r="E12" s="6" t="str">
        <f>TEXT(MATCH(MigrationRenamer[[#This Row],[Table]],Tables[Table],0),"000000")</f>
        <v>000012</v>
      </c>
      <c r="F12" s="6" t="str">
        <f>RIGHT(MigrationRenamer[Filename],LEN(MigrationRenamer[Filename])-LEN(MigrationRenamer[Date Part])-LEN(MigrationRenamer[Sequence]))</f>
        <v>_create___resource_form_field_attrs_table.php</v>
      </c>
      <c r="G12" s="6" t="str">
        <f>MigrationRenamer[Date Part]&amp;MigrationRenamer[Sequence]&amp;MigrationRenamer[Name Part]</f>
        <v>2019_01_24_000012_create___resource_form_field_attrs_table.php</v>
      </c>
      <c r="H12" s="6" t="str">
        <f>IFERROR("ren "&amp;MigrationRenamer[Filename]&amp;" "&amp;MigrationRenamer[New Name],"del "&amp;MigrationRenamer[Filename])</f>
        <v>ren 2019_01_24_000012_create___resource_form_field_attrs_table.php 2019_01_24_000012_create___resource_form_field_attrs_table.php</v>
      </c>
    </row>
    <row r="13" spans="1:8" x14ac:dyDescent="0.25">
      <c r="A13" s="3">
        <f t="shared" si="1"/>
        <v>12</v>
      </c>
      <c r="B13" s="1" t="s">
        <v>503</v>
      </c>
      <c r="C13" s="6" t="str">
        <f>MID(MigrationRenamer[Filename],26,LEN(MigrationRenamer[Filename])-35)</f>
        <v>__resource_form_field_data</v>
      </c>
      <c r="D13" s="6" t="str">
        <f t="shared" si="0"/>
        <v>2019_01_24_</v>
      </c>
      <c r="E13" s="6" t="str">
        <f>TEXT(MATCH(MigrationRenamer[[#This Row],[Table]],Tables[Table],0),"000000")</f>
        <v>000013</v>
      </c>
      <c r="F13" s="6" t="str">
        <f>RIGHT(MigrationRenamer[Filename],LEN(MigrationRenamer[Filename])-LEN(MigrationRenamer[Date Part])-LEN(MigrationRenamer[Sequence]))</f>
        <v>_create___resource_form_field_data_table.php</v>
      </c>
      <c r="G13" s="6" t="str">
        <f>MigrationRenamer[Date Part]&amp;MigrationRenamer[Sequence]&amp;MigrationRenamer[Name Part]</f>
        <v>2019_01_24_000013_create___resource_form_field_data_table.php</v>
      </c>
      <c r="H13" s="6" t="str">
        <f>IFERROR("ren "&amp;MigrationRenamer[Filename]&amp;" "&amp;MigrationRenamer[New Name],"del "&amp;MigrationRenamer[Filename])</f>
        <v>ren 2019_01_24_000013_create___resource_form_field_data_table.php 2019_01_24_000013_create___resource_form_field_data_table.php</v>
      </c>
    </row>
    <row r="14" spans="1:8" x14ac:dyDescent="0.25">
      <c r="A14" s="3">
        <f t="shared" si="1"/>
        <v>13</v>
      </c>
      <c r="B14" s="1" t="s">
        <v>504</v>
      </c>
      <c r="C14" s="6" t="str">
        <f>MID(MigrationRenamer[Filename],26,LEN(MigrationRenamer[Filename])-35)</f>
        <v>__resource_form_field_validations</v>
      </c>
      <c r="D14" s="6" t="str">
        <f t="shared" si="0"/>
        <v>2019_01_24_</v>
      </c>
      <c r="E14" s="6" t="str">
        <f>TEXT(MATCH(MigrationRenamer[[#This Row],[Table]],Tables[Table],0),"000000")</f>
        <v>000014</v>
      </c>
      <c r="F14" s="6" t="str">
        <f>RIGHT(MigrationRenamer[Filename],LEN(MigrationRenamer[Filename])-LEN(MigrationRenamer[Date Part])-LEN(MigrationRenamer[Sequence]))</f>
        <v>_create___resource_form_field_validations_table.php</v>
      </c>
      <c r="G14" s="6" t="str">
        <f>MigrationRenamer[Date Part]&amp;MigrationRenamer[Sequence]&amp;MigrationRenamer[Name Part]</f>
        <v>2019_01_24_000014_create___resource_form_field_validations_table.php</v>
      </c>
      <c r="H14" s="6" t="str">
        <f>IFERROR("ren "&amp;MigrationRenamer[Filename]&amp;" "&amp;MigrationRenamer[New Name],"del "&amp;MigrationRenamer[Filename])</f>
        <v>ren 2019_01_24_000014_create___resource_form_field_validations_table.php 2019_01_24_000014_create___resource_form_field_validations_table.php</v>
      </c>
    </row>
    <row r="15" spans="1:8" x14ac:dyDescent="0.25">
      <c r="A15" s="3">
        <f t="shared" si="1"/>
        <v>14</v>
      </c>
      <c r="B15" s="1" t="s">
        <v>505</v>
      </c>
      <c r="C15" s="6" t="str">
        <f>MID(MigrationRenamer[Filename],26,LEN(MigrationRenamer[Filename])-35)</f>
        <v>__resource_form_field_options</v>
      </c>
      <c r="D15" s="6" t="str">
        <f t="shared" si="0"/>
        <v>2019_01_24_</v>
      </c>
      <c r="E15" s="6" t="str">
        <f>TEXT(MATCH(MigrationRenamer[[#This Row],[Table]],Tables[Table],0),"000000")</f>
        <v>000015</v>
      </c>
      <c r="F15" s="6" t="str">
        <f>RIGHT(MigrationRenamer[Filename],LEN(MigrationRenamer[Filename])-LEN(MigrationRenamer[Date Part])-LEN(MigrationRenamer[Sequence]))</f>
        <v>_create___resource_form_field_options_table.php</v>
      </c>
      <c r="G15" s="6" t="str">
        <f>MigrationRenamer[Date Part]&amp;MigrationRenamer[Sequence]&amp;MigrationRenamer[Name Part]</f>
        <v>2019_01_24_000015_create___resource_form_field_options_table.php</v>
      </c>
      <c r="H15" s="6" t="str">
        <f>IFERROR("ren "&amp;MigrationRenamer[Filename]&amp;" "&amp;MigrationRenamer[New Name],"del "&amp;MigrationRenamer[Filename])</f>
        <v>ren 2019_01_24_000015_create___resource_form_field_options_table.php 2019_01_24_000015_create___resource_form_field_options_table.php</v>
      </c>
    </row>
    <row r="16" spans="1:8" x14ac:dyDescent="0.25">
      <c r="A16" s="3">
        <f t="shared" si="1"/>
        <v>15</v>
      </c>
      <c r="B16" s="1" t="s">
        <v>506</v>
      </c>
      <c r="C16" s="6" t="str">
        <f>MID(MigrationRenamer[Filename],26,LEN(MigrationRenamer[Filename])-35)</f>
        <v>__resource_form_field_depends</v>
      </c>
      <c r="D16" s="6" t="str">
        <f t="shared" si="0"/>
        <v>2019_01_24_</v>
      </c>
      <c r="E16" s="6" t="str">
        <f>TEXT(MATCH(MigrationRenamer[[#This Row],[Table]],Tables[Table],0),"000000")</f>
        <v>000016</v>
      </c>
      <c r="F16" s="6" t="str">
        <f>RIGHT(MigrationRenamer[Filename],LEN(MigrationRenamer[Filename])-LEN(MigrationRenamer[Date Part])-LEN(MigrationRenamer[Sequence]))</f>
        <v>_create___resource_form_field_depends_table.php</v>
      </c>
      <c r="G16" s="6" t="str">
        <f>MigrationRenamer[Date Part]&amp;MigrationRenamer[Sequence]&amp;MigrationRenamer[Name Part]</f>
        <v>2019_01_24_000016_create___resource_form_field_depends_table.php</v>
      </c>
      <c r="H16" s="6" t="str">
        <f>IFERROR("ren "&amp;MigrationRenamer[Filename]&amp;" "&amp;MigrationRenamer[New Name],"del "&amp;MigrationRenamer[Filename])</f>
        <v>ren 2019_01_24_000016_create___resource_form_field_depends_table.php 2019_01_24_000016_create___resource_form_field_depends_table.php</v>
      </c>
    </row>
    <row r="17" spans="1:8" x14ac:dyDescent="0.25">
      <c r="A17" s="3">
        <f t="shared" si="1"/>
        <v>16</v>
      </c>
      <c r="B17" s="1" t="s">
        <v>507</v>
      </c>
      <c r="C17" s="6" t="str">
        <f>MID(MigrationRenamer[Filename],26,LEN(MigrationRenamer[Filename])-35)</f>
        <v>__resource_form_field_dynamic</v>
      </c>
      <c r="D17" s="6" t="str">
        <f t="shared" si="0"/>
        <v>2019_01_24_</v>
      </c>
      <c r="E17" s="6" t="str">
        <f>TEXT(MATCH(MigrationRenamer[[#This Row],[Table]],Tables[Table],0),"000000")</f>
        <v>000017</v>
      </c>
      <c r="F17" s="6" t="str">
        <f>RIGHT(MigrationRenamer[Filename],LEN(MigrationRenamer[Filename])-LEN(MigrationRenamer[Date Part])-LEN(MigrationRenamer[Sequence]))</f>
        <v>_create___resource_form_field_dynamic_table.php</v>
      </c>
      <c r="G17" s="6" t="str">
        <f>MigrationRenamer[Date Part]&amp;MigrationRenamer[Sequence]&amp;MigrationRenamer[Name Part]</f>
        <v>2019_01_24_000017_create___resource_form_field_dynamic_table.php</v>
      </c>
      <c r="H17" s="6" t="str">
        <f>IFERROR("ren "&amp;MigrationRenamer[Filename]&amp;" "&amp;MigrationRenamer[New Name],"del "&amp;MigrationRenamer[Filename])</f>
        <v>ren 2019_01_24_000017_create___resource_form_field_dynamic_table.php 2019_01_24_000017_create___resource_form_field_dynamic_table.php</v>
      </c>
    </row>
    <row r="18" spans="1:8" x14ac:dyDescent="0.25">
      <c r="A18" s="3">
        <f t="shared" si="1"/>
        <v>17</v>
      </c>
      <c r="B18" s="1" t="s">
        <v>508</v>
      </c>
      <c r="C18" s="6" t="str">
        <f>MID(MigrationRenamer[Filename],26,LEN(MigrationRenamer[Filename])-35)</f>
        <v>__resource_form_layout</v>
      </c>
      <c r="D18" s="6" t="str">
        <f t="shared" si="0"/>
        <v>2019_01_24_</v>
      </c>
      <c r="E18" s="6" t="str">
        <f>TEXT(MATCH(MigrationRenamer[[#This Row],[Table]],Tables[Table],0),"000000")</f>
        <v>000018</v>
      </c>
      <c r="F18" s="6" t="str">
        <f>RIGHT(MigrationRenamer[Filename],LEN(MigrationRenamer[Filename])-LEN(MigrationRenamer[Date Part])-LEN(MigrationRenamer[Sequence]))</f>
        <v>_create___resource_form_layout_table.php</v>
      </c>
      <c r="G18" s="6" t="str">
        <f>MigrationRenamer[Date Part]&amp;MigrationRenamer[Sequence]&amp;MigrationRenamer[Name Part]</f>
        <v>2019_01_24_000018_create___resource_form_layout_table.php</v>
      </c>
      <c r="H18" s="6" t="str">
        <f>IFERROR("ren "&amp;MigrationRenamer[Filename]&amp;" "&amp;MigrationRenamer[New Name],"del "&amp;MigrationRenamer[Filename])</f>
        <v>ren 2019_01_24_000018_create___resource_form_layout_table.php 2019_01_24_000018_create___resource_form_layout_table.php</v>
      </c>
    </row>
    <row r="19" spans="1:8" x14ac:dyDescent="0.25">
      <c r="A19" s="3">
        <f t="shared" si="1"/>
        <v>18</v>
      </c>
      <c r="B19" s="1" t="s">
        <v>509</v>
      </c>
      <c r="C19" s="6" t="str">
        <f>MID(MigrationRenamer[Filename],26,LEN(MigrationRenamer[Filename])-35)</f>
        <v>__resource_form_data_map</v>
      </c>
      <c r="D19" s="6" t="str">
        <f t="shared" si="0"/>
        <v>2019_01_24_</v>
      </c>
      <c r="E19" s="6" t="str">
        <f>TEXT(MATCH(MigrationRenamer[[#This Row],[Table]],Tables[Table],0),"000000")</f>
        <v>000032</v>
      </c>
      <c r="F19" s="6" t="str">
        <f>RIGHT(MigrationRenamer[Filename],LEN(MigrationRenamer[Filename])-LEN(MigrationRenamer[Date Part])-LEN(MigrationRenamer[Sequence]))</f>
        <v>_create___resource_form_data_map_table.php</v>
      </c>
      <c r="G19" s="6" t="str">
        <f>MigrationRenamer[Date Part]&amp;MigrationRenamer[Sequence]&amp;MigrationRenamer[Name Part]</f>
        <v>2019_01_24_000032_create___resource_form_data_map_table.php</v>
      </c>
      <c r="H19" s="6" t="str">
        <f>IFERROR("ren "&amp;MigrationRenamer[Filename]&amp;" "&amp;MigrationRenamer[New Name],"del "&amp;MigrationRenamer[Filename])</f>
        <v>ren 2019_01_24_000019_create___resource_form_data_map_table.php 2019_01_24_000032_create___resource_form_data_map_table.php</v>
      </c>
    </row>
    <row r="20" spans="1:8" x14ac:dyDescent="0.25">
      <c r="A20" s="3">
        <f t="shared" si="1"/>
        <v>19</v>
      </c>
      <c r="B20" s="1" t="s">
        <v>510</v>
      </c>
      <c r="C20" s="6" t="str">
        <f>MID(MigrationRenamer[Filename],26,LEN(MigrationRenamer[Filename])-35)</f>
        <v>__resource_form_collection</v>
      </c>
      <c r="D20" s="6" t="str">
        <f t="shared" si="0"/>
        <v>2019_01_24_</v>
      </c>
      <c r="E20" s="6" t="str">
        <f>TEXT(MATCH(MigrationRenamer[[#This Row],[Table]],Tables[Table],0),"000000")</f>
        <v>000019</v>
      </c>
      <c r="F20" s="6" t="str">
        <f>RIGHT(MigrationRenamer[Filename],LEN(MigrationRenamer[Filename])-LEN(MigrationRenamer[Date Part])-LEN(MigrationRenamer[Sequence]))</f>
        <v>_create___resource_form_collection_table.php</v>
      </c>
      <c r="G20" s="6" t="str">
        <f>MigrationRenamer[Date Part]&amp;MigrationRenamer[Sequence]&amp;MigrationRenamer[Name Part]</f>
        <v>2019_01_24_000019_create___resource_form_collection_table.php</v>
      </c>
      <c r="H20" s="6" t="str">
        <f>IFERROR("ren "&amp;MigrationRenamer[Filename]&amp;" "&amp;MigrationRenamer[New Name],"del "&amp;MigrationRenamer[Filename])</f>
        <v>ren 2019_01_24_000020_create___resource_form_collection_table.php 2019_01_24_000019_create___resource_form_collection_table.php</v>
      </c>
    </row>
    <row r="21" spans="1:8" x14ac:dyDescent="0.25">
      <c r="A21" s="3">
        <f t="shared" si="1"/>
        <v>20</v>
      </c>
      <c r="B21" s="1" t="s">
        <v>511</v>
      </c>
      <c r="C21" s="6" t="str">
        <f>MID(MigrationRenamer[Filename],26,LEN(MigrationRenamer[Filename])-35)</f>
        <v>__resource_form_upload</v>
      </c>
      <c r="D21" s="6" t="str">
        <f t="shared" si="0"/>
        <v>2019_01_24_</v>
      </c>
      <c r="E21" s="6" t="str">
        <f>TEXT(MATCH(MigrationRenamer[[#This Row],[Table]],Tables[Table],0),"000000")</f>
        <v>000020</v>
      </c>
      <c r="F21" s="6" t="str">
        <f>RIGHT(MigrationRenamer[Filename],LEN(MigrationRenamer[Filename])-LEN(MigrationRenamer[Date Part])-LEN(MigrationRenamer[Sequence]))</f>
        <v>_create___resource_form_upload_table.php</v>
      </c>
      <c r="G21" s="6" t="str">
        <f>MigrationRenamer[Date Part]&amp;MigrationRenamer[Sequence]&amp;MigrationRenamer[Name Part]</f>
        <v>2019_01_24_000020_create___resource_form_upload_table.php</v>
      </c>
      <c r="H21" s="6" t="str">
        <f>IFERROR("ren "&amp;MigrationRenamer[Filename]&amp;" "&amp;MigrationRenamer[New Name],"del "&amp;MigrationRenamer[Filename])</f>
        <v>ren 2019_01_24_000021_create___resource_form_upload_table.php 2019_01_24_000020_create___resource_form_upload_table.php</v>
      </c>
    </row>
    <row r="22" spans="1:8" x14ac:dyDescent="0.25">
      <c r="A22" s="3">
        <f t="shared" si="1"/>
        <v>21</v>
      </c>
      <c r="B22" s="1" t="s">
        <v>512</v>
      </c>
      <c r="C22" s="6" t="str">
        <f>MID(MigrationRenamer[Filename],26,LEN(MigrationRenamer[Filename])-35)</f>
        <v>__resource_form_defaults</v>
      </c>
      <c r="D22" s="6" t="str">
        <f t="shared" si="0"/>
        <v>2019_01_24_</v>
      </c>
      <c r="E22" s="6" t="str">
        <f>TEXT(MATCH(MigrationRenamer[[#This Row],[Table]],Tables[Table],0),"000000")</f>
        <v>000021</v>
      </c>
      <c r="F22" s="6" t="str">
        <f>RIGHT(MigrationRenamer[Filename],LEN(MigrationRenamer[Filename])-LEN(MigrationRenamer[Date Part])-LEN(MigrationRenamer[Sequence]))</f>
        <v>_create___resource_form_defaults_table.php</v>
      </c>
      <c r="G22" s="6" t="str">
        <f>MigrationRenamer[Date Part]&amp;MigrationRenamer[Sequence]&amp;MigrationRenamer[Name Part]</f>
        <v>2019_01_24_000021_create___resource_form_defaults_table.php</v>
      </c>
      <c r="H22" s="6" t="str">
        <f>IFERROR("ren "&amp;MigrationRenamer[Filename]&amp;" "&amp;MigrationRenamer[New Name],"del "&amp;MigrationRenamer[Filename])</f>
        <v>ren 2019_01_24_000022_create___resource_form_defaults_table.php 2019_01_24_000021_create___resource_form_defaults_table.php</v>
      </c>
    </row>
    <row r="23" spans="1:8" x14ac:dyDescent="0.25">
      <c r="A23" s="3">
        <f t="shared" si="1"/>
        <v>22</v>
      </c>
      <c r="B23" s="1" t="s">
        <v>513</v>
      </c>
      <c r="C23" s="6" t="str">
        <f>MID(MigrationRenamer[Filename],26,LEN(MigrationRenamer[Filename])-35)</f>
        <v>__resource_lists</v>
      </c>
      <c r="D23" s="6" t="str">
        <f t="shared" si="0"/>
        <v>2019_01_24_</v>
      </c>
      <c r="E23" s="6" t="str">
        <f>TEXT(MATCH(MigrationRenamer[[#This Row],[Table]],Tables[Table],0),"000000")</f>
        <v>000022</v>
      </c>
      <c r="F23" s="6" t="str">
        <f>RIGHT(MigrationRenamer[Filename],LEN(MigrationRenamer[Filename])-LEN(MigrationRenamer[Date Part])-LEN(MigrationRenamer[Sequence]))</f>
        <v>_create___resource_lists_table.php</v>
      </c>
      <c r="G23" s="6" t="str">
        <f>MigrationRenamer[Date Part]&amp;MigrationRenamer[Sequence]&amp;MigrationRenamer[Name Part]</f>
        <v>2019_01_24_000022_create___resource_lists_table.php</v>
      </c>
      <c r="H23" s="6" t="str">
        <f>IFERROR("ren "&amp;MigrationRenamer[Filename]&amp;" "&amp;MigrationRenamer[New Name],"del "&amp;MigrationRenamer[Filename])</f>
        <v>ren 2019_01_24_000023_create___resource_lists_table.php 2019_01_24_000022_create___resource_lists_table.php</v>
      </c>
    </row>
    <row r="24" spans="1:8" x14ac:dyDescent="0.25">
      <c r="A24" s="3">
        <f t="shared" si="1"/>
        <v>23</v>
      </c>
      <c r="B24" s="1" t="s">
        <v>514</v>
      </c>
      <c r="C24" s="6" t="str">
        <f>MID(MigrationRenamer[Filename],26,LEN(MigrationRenamer[Filename])-35)</f>
        <v>__resource_list_relations</v>
      </c>
      <c r="D24" s="6" t="str">
        <f t="shared" si="0"/>
        <v>2019_01_24_</v>
      </c>
      <c r="E24" s="6" t="str">
        <f>TEXT(MATCH(MigrationRenamer[[#This Row],[Table]],Tables[Table],0),"000000")</f>
        <v>000023</v>
      </c>
      <c r="F24" s="6" t="str">
        <f>RIGHT(MigrationRenamer[Filename],LEN(MigrationRenamer[Filename])-LEN(MigrationRenamer[Date Part])-LEN(MigrationRenamer[Sequence]))</f>
        <v>_create___resource_list_relations_table.php</v>
      </c>
      <c r="G24" s="6" t="str">
        <f>MigrationRenamer[Date Part]&amp;MigrationRenamer[Sequence]&amp;MigrationRenamer[Name Part]</f>
        <v>2019_01_24_000023_create___resource_list_relations_table.php</v>
      </c>
      <c r="H24" s="6" t="str">
        <f>IFERROR("ren "&amp;MigrationRenamer[Filename]&amp;" "&amp;MigrationRenamer[New Name],"del "&amp;MigrationRenamer[Filename])</f>
        <v>ren 2019_01_24_000024_create___resource_list_relations_table.php 2019_01_24_000023_create___resource_list_relations_table.php</v>
      </c>
    </row>
    <row r="25" spans="1:8" x14ac:dyDescent="0.25">
      <c r="A25" s="3">
        <f t="shared" si="1"/>
        <v>24</v>
      </c>
      <c r="B25" s="1" t="s">
        <v>515</v>
      </c>
      <c r="C25" s="6" t="str">
        <f>MID(MigrationRenamer[Filename],26,LEN(MigrationRenamer[Filename])-35)</f>
        <v>__resource_list_scopes</v>
      </c>
      <c r="D25" s="6" t="str">
        <f t="shared" si="0"/>
        <v>2019_01_24_</v>
      </c>
      <c r="E25" s="6" t="str">
        <f>TEXT(MATCH(MigrationRenamer[[#This Row],[Table]],Tables[Table],0),"000000")</f>
        <v>000024</v>
      </c>
      <c r="F25" s="6" t="str">
        <f>RIGHT(MigrationRenamer[Filename],LEN(MigrationRenamer[Filename])-LEN(MigrationRenamer[Date Part])-LEN(MigrationRenamer[Sequence]))</f>
        <v>_create___resource_list_scopes_table.php</v>
      </c>
      <c r="G25" s="6" t="str">
        <f>MigrationRenamer[Date Part]&amp;MigrationRenamer[Sequence]&amp;MigrationRenamer[Name Part]</f>
        <v>2019_01_24_000024_create___resource_list_scopes_table.php</v>
      </c>
      <c r="H25" s="6" t="str">
        <f>IFERROR("ren "&amp;MigrationRenamer[Filename]&amp;" "&amp;MigrationRenamer[New Name],"del "&amp;MigrationRenamer[Filename])</f>
        <v>ren 2019_01_24_000025_create___resource_list_scopes_table.php 2019_01_24_000024_create___resource_list_scopes_table.php</v>
      </c>
    </row>
    <row r="26" spans="1:8" x14ac:dyDescent="0.25">
      <c r="A26" s="3">
        <f t="shared" si="1"/>
        <v>25</v>
      </c>
      <c r="B26" s="1" t="s">
        <v>516</v>
      </c>
      <c r="C26" s="6" t="str">
        <f>MID(MigrationRenamer[Filename],26,LEN(MigrationRenamer[Filename])-35)</f>
        <v>__resource_list_layout</v>
      </c>
      <c r="D26" s="6" t="str">
        <f t="shared" si="0"/>
        <v>2019_01_24_</v>
      </c>
      <c r="E26" s="6" t="str">
        <f>TEXT(MATCH(MigrationRenamer[[#This Row],[Table]],Tables[Table],0),"000000")</f>
        <v>000025</v>
      </c>
      <c r="F26" s="6" t="str">
        <f>RIGHT(MigrationRenamer[Filename],LEN(MigrationRenamer[Filename])-LEN(MigrationRenamer[Date Part])-LEN(MigrationRenamer[Sequence]))</f>
        <v>_create___resource_list_layout_table.php</v>
      </c>
      <c r="G26" s="6" t="str">
        <f>MigrationRenamer[Date Part]&amp;MigrationRenamer[Sequence]&amp;MigrationRenamer[Name Part]</f>
        <v>2019_01_24_000025_create___resource_list_layout_table.php</v>
      </c>
      <c r="H26" s="6" t="str">
        <f>IFERROR("ren "&amp;MigrationRenamer[Filename]&amp;" "&amp;MigrationRenamer[New Name],"del "&amp;MigrationRenamer[Filename])</f>
        <v>ren 2019_01_24_000026_create___resource_list_layout_table.php 2019_01_24_000025_create___resource_list_layout_table.php</v>
      </c>
    </row>
    <row r="27" spans="1:8" x14ac:dyDescent="0.25">
      <c r="A27" s="3">
        <f t="shared" si="1"/>
        <v>26</v>
      </c>
      <c r="B27" s="1" t="s">
        <v>517</v>
      </c>
      <c r="C27" s="6" t="str">
        <f>MID(MigrationRenamer[Filename],26,LEN(MigrationRenamer[Filename])-35)</f>
        <v>__resource_list_search</v>
      </c>
      <c r="D27" s="6" t="str">
        <f t="shared" si="0"/>
        <v>2019_01_24_</v>
      </c>
      <c r="E27" s="6" t="str">
        <f>TEXT(MATCH(MigrationRenamer[[#This Row],[Table]],Tables[Table],0),"000000")</f>
        <v>000026</v>
      </c>
      <c r="F27" s="6" t="str">
        <f>RIGHT(MigrationRenamer[Filename],LEN(MigrationRenamer[Filename])-LEN(MigrationRenamer[Date Part])-LEN(MigrationRenamer[Sequence]))</f>
        <v>_create___resource_list_search_table.php</v>
      </c>
      <c r="G27" s="6" t="str">
        <f>MigrationRenamer[Date Part]&amp;MigrationRenamer[Sequence]&amp;MigrationRenamer[Name Part]</f>
        <v>2019_01_24_000026_create___resource_list_search_table.php</v>
      </c>
      <c r="H27" s="6" t="str">
        <f>IFERROR("ren "&amp;MigrationRenamer[Filename]&amp;" "&amp;MigrationRenamer[New Name],"del "&amp;MigrationRenamer[Filename])</f>
        <v>ren 2019_01_24_000027_create___resource_list_search_table.php 2019_01_24_000026_create___resource_list_search_table.php</v>
      </c>
    </row>
    <row r="28" spans="1:8" x14ac:dyDescent="0.25">
      <c r="A28" s="3">
        <f t="shared" si="1"/>
        <v>27</v>
      </c>
      <c r="B28" s="1" t="s">
        <v>518</v>
      </c>
      <c r="C28" s="6" t="str">
        <f>MID(MigrationRenamer[Filename],26,LEN(MigrationRenamer[Filename])-35)</f>
        <v>__resource_data</v>
      </c>
      <c r="D28" s="6" t="str">
        <f t="shared" si="0"/>
        <v>2019_01_24_</v>
      </c>
      <c r="E28" s="6" t="str">
        <f>TEXT(MATCH(MigrationRenamer[[#This Row],[Table]],Tables[Table],0),"000000")</f>
        <v>000027</v>
      </c>
      <c r="F28" s="6" t="str">
        <f>RIGHT(MigrationRenamer[Filename],LEN(MigrationRenamer[Filename])-LEN(MigrationRenamer[Date Part])-LEN(MigrationRenamer[Sequence]))</f>
        <v>_create___resource_data_table.php</v>
      </c>
      <c r="G28" s="6" t="str">
        <f>MigrationRenamer[Date Part]&amp;MigrationRenamer[Sequence]&amp;MigrationRenamer[Name Part]</f>
        <v>2019_01_24_000027_create___resource_data_table.php</v>
      </c>
      <c r="H28" s="6" t="str">
        <f>IFERROR("ren "&amp;MigrationRenamer[Filename]&amp;" "&amp;MigrationRenamer[New Name],"del "&amp;MigrationRenamer[Filename])</f>
        <v>ren 2019_01_24_000028_create___resource_data_table.php 2019_01_24_000027_create___resource_data_table.php</v>
      </c>
    </row>
    <row r="29" spans="1:8" x14ac:dyDescent="0.25">
      <c r="A29" s="3">
        <f t="shared" si="1"/>
        <v>28</v>
      </c>
      <c r="B29" s="1" t="s">
        <v>519</v>
      </c>
      <c r="C29" s="6" t="str">
        <f>MID(MigrationRenamer[Filename],26,LEN(MigrationRenamer[Filename])-35)</f>
        <v>__resource_data_relations</v>
      </c>
      <c r="D29" s="6" t="str">
        <f t="shared" si="0"/>
        <v>2019_01_24_</v>
      </c>
      <c r="E29" s="6" t="str">
        <f>TEXT(MATCH(MigrationRenamer[[#This Row],[Table]],Tables[Table],0),"000000")</f>
        <v>000028</v>
      </c>
      <c r="F29" s="6" t="str">
        <f>RIGHT(MigrationRenamer[Filename],LEN(MigrationRenamer[Filename])-LEN(MigrationRenamer[Date Part])-LEN(MigrationRenamer[Sequence]))</f>
        <v>_create___resource_data_relations_table.php</v>
      </c>
      <c r="G29" s="6" t="str">
        <f>MigrationRenamer[Date Part]&amp;MigrationRenamer[Sequence]&amp;MigrationRenamer[Name Part]</f>
        <v>2019_01_24_000028_create___resource_data_relations_table.php</v>
      </c>
      <c r="H29" s="6" t="str">
        <f>IFERROR("ren "&amp;MigrationRenamer[Filename]&amp;" "&amp;MigrationRenamer[New Name],"del "&amp;MigrationRenamer[Filename])</f>
        <v>ren 2019_01_24_000029_create___resource_data_relations_table.php 2019_01_24_000028_create___resource_data_relations_table.php</v>
      </c>
    </row>
    <row r="30" spans="1:8" x14ac:dyDescent="0.25">
      <c r="A30" s="3">
        <f t="shared" si="1"/>
        <v>29</v>
      </c>
      <c r="B30" s="1" t="s">
        <v>520</v>
      </c>
      <c r="C30" s="6" t="str">
        <f>MID(MigrationRenamer[Filename],26,LEN(MigrationRenamer[Filename])-35)</f>
        <v>__resource_data_scopes</v>
      </c>
      <c r="D30" s="6" t="str">
        <f t="shared" si="0"/>
        <v>2019_01_24_</v>
      </c>
      <c r="E30" s="6" t="str">
        <f>TEXT(MATCH(MigrationRenamer[[#This Row],[Table]],Tables[Table],0),"000000")</f>
        <v>000029</v>
      </c>
      <c r="F30" s="6" t="str">
        <f>RIGHT(MigrationRenamer[Filename],LEN(MigrationRenamer[Filename])-LEN(MigrationRenamer[Date Part])-LEN(MigrationRenamer[Sequence]))</f>
        <v>_create___resource_data_scopes_table.php</v>
      </c>
      <c r="G30" s="6" t="str">
        <f>MigrationRenamer[Date Part]&amp;MigrationRenamer[Sequence]&amp;MigrationRenamer[Name Part]</f>
        <v>2019_01_24_000029_create___resource_data_scopes_table.php</v>
      </c>
      <c r="H30" s="6" t="str">
        <f>IFERROR("ren "&amp;MigrationRenamer[Filename]&amp;" "&amp;MigrationRenamer[New Name],"del "&amp;MigrationRenamer[Filename])</f>
        <v>ren 2019_01_24_000030_create___resource_data_scopes_table.php 2019_01_24_000029_create___resource_data_scopes_table.php</v>
      </c>
    </row>
    <row r="31" spans="1:8" x14ac:dyDescent="0.25">
      <c r="A31" s="3">
        <f t="shared" si="1"/>
        <v>30</v>
      </c>
      <c r="B31" s="1" t="s">
        <v>521</v>
      </c>
      <c r="C31" s="6" t="str">
        <f>MID(MigrationRenamer[Filename],26,LEN(MigrationRenamer[Filename])-35)</f>
        <v>__resource_data_view_sections</v>
      </c>
      <c r="D31" s="6" t="str">
        <f t="shared" si="0"/>
        <v>2019_01_24_</v>
      </c>
      <c r="E31" s="6" t="str">
        <f>TEXT(MATCH(MigrationRenamer[[#This Row],[Table]],Tables[Table],0),"000000")</f>
        <v>000030</v>
      </c>
      <c r="F31" s="6" t="str">
        <f>RIGHT(MigrationRenamer[Filename],LEN(MigrationRenamer[Filename])-LEN(MigrationRenamer[Date Part])-LEN(MigrationRenamer[Sequence]))</f>
        <v>_create___resource_data_view_sections_table.php</v>
      </c>
      <c r="G31" s="6" t="str">
        <f>MigrationRenamer[Date Part]&amp;MigrationRenamer[Sequence]&amp;MigrationRenamer[Name Part]</f>
        <v>2019_01_24_000030_create___resource_data_view_sections_table.php</v>
      </c>
      <c r="H31" s="6" t="str">
        <f>IFERROR("ren "&amp;MigrationRenamer[Filename]&amp;" "&amp;MigrationRenamer[New Name],"del "&amp;MigrationRenamer[Filename])</f>
        <v>ren 2019_01_24_000031_create___resource_data_view_sections_table.php 2019_01_24_000030_create___resource_data_view_sections_table.php</v>
      </c>
    </row>
    <row r="32" spans="1:8" x14ac:dyDescent="0.25">
      <c r="A32" s="3">
        <f t="shared" si="1"/>
        <v>31</v>
      </c>
      <c r="B32" s="1" t="s">
        <v>522</v>
      </c>
      <c r="C32" s="6" t="str">
        <f>MID(MigrationRenamer[Filename],26,LEN(MigrationRenamer[Filename])-35)</f>
        <v>__resource_data_view_section_items</v>
      </c>
      <c r="D32" s="6" t="str">
        <f t="shared" si="0"/>
        <v>2019_01_24_</v>
      </c>
      <c r="E32" s="6" t="str">
        <f>TEXT(MATCH(MigrationRenamer[[#This Row],[Table]],Tables[Table],0),"000000")</f>
        <v>000031</v>
      </c>
      <c r="F32" s="6" t="str">
        <f>RIGHT(MigrationRenamer[Filename],LEN(MigrationRenamer[Filename])-LEN(MigrationRenamer[Date Part])-LEN(MigrationRenamer[Sequence]))</f>
        <v>_create___resource_data_view_section_items_table.php</v>
      </c>
      <c r="G32" s="6" t="str">
        <f>MigrationRenamer[Date Part]&amp;MigrationRenamer[Sequence]&amp;MigrationRenamer[Name Part]</f>
        <v>2019_01_24_000031_create___resource_data_view_section_items_table.php</v>
      </c>
      <c r="H32" s="6" t="str">
        <f>IFERROR("ren "&amp;MigrationRenamer[Filename]&amp;" "&amp;MigrationRenamer[New Name],"del "&amp;MigrationRenamer[Filename])</f>
        <v>ren 2019_01_24_000032_create___resource_data_view_section_items_table.php 2019_01_24_000031_create___resource_data_view_section_items_table.php</v>
      </c>
    </row>
    <row r="33" spans="1:8" x14ac:dyDescent="0.25">
      <c r="A33" s="3">
        <f t="shared" si="1"/>
        <v>32</v>
      </c>
      <c r="B33" s="1" t="s">
        <v>523</v>
      </c>
      <c r="C33" s="6" t="str">
        <f>MID(MigrationRenamer[Filename],26,LEN(MigrationRenamer[Filename])-35)</f>
        <v>__resource_actions</v>
      </c>
      <c r="D33" s="6" t="str">
        <f t="shared" si="0"/>
        <v>2019_01_24_</v>
      </c>
      <c r="E33" s="6" t="str">
        <f>TEXT(MATCH(MigrationRenamer[[#This Row],[Table]],Tables[Table],0),"000000")</f>
        <v>000033</v>
      </c>
      <c r="F33" s="6" t="str">
        <f>RIGHT(MigrationRenamer[Filename],LEN(MigrationRenamer[Filename])-LEN(MigrationRenamer[Date Part])-LEN(MigrationRenamer[Sequence]))</f>
        <v>_create___resource_actions_table.php</v>
      </c>
      <c r="G33" s="6" t="str">
        <f>MigrationRenamer[Date Part]&amp;MigrationRenamer[Sequence]&amp;MigrationRenamer[Name Part]</f>
        <v>2019_01_24_000033_create___resource_actions_table.php</v>
      </c>
      <c r="H33" s="6" t="str">
        <f>IFERROR("ren "&amp;MigrationRenamer[Filename]&amp;" "&amp;MigrationRenamer[New Name],"del "&amp;MigrationRenamer[Filename])</f>
        <v>ren 2019_01_24_000033_create___resource_actions_table.php 2019_01_24_000033_create___resource_actions_table.php</v>
      </c>
    </row>
    <row r="34" spans="1:8" x14ac:dyDescent="0.25">
      <c r="A34" s="3">
        <f t="shared" si="1"/>
        <v>33</v>
      </c>
      <c r="B34" s="1" t="s">
        <v>524</v>
      </c>
      <c r="C34" s="6" t="str">
        <f>MID(MigrationRenamer[Filename],26,LEN(MigrationRenamer[Filename])-35)</f>
        <v>__resource_action_attrs</v>
      </c>
      <c r="D34" s="6" t="str">
        <f t="shared" si="0"/>
        <v>2019_01_24_</v>
      </c>
      <c r="E34" s="6" t="str">
        <f>TEXT(MATCH(MigrationRenamer[[#This Row],[Table]],Tables[Table],0),"000000")</f>
        <v>000034</v>
      </c>
      <c r="F34" s="6" t="str">
        <f>RIGHT(MigrationRenamer[Filename],LEN(MigrationRenamer[Filename])-LEN(MigrationRenamer[Date Part])-LEN(MigrationRenamer[Sequence]))</f>
        <v>_create___resource_action_attrs_table.php</v>
      </c>
      <c r="G34" s="6" t="str">
        <f>MigrationRenamer[Date Part]&amp;MigrationRenamer[Sequence]&amp;MigrationRenamer[Name Part]</f>
        <v>2019_01_24_000034_create___resource_action_attrs_table.php</v>
      </c>
      <c r="H34" s="6" t="str">
        <f>IFERROR("ren "&amp;MigrationRenamer[Filename]&amp;" "&amp;MigrationRenamer[New Name],"del "&amp;MigrationRenamer[Filename])</f>
        <v>ren 2019_01_24_000034_create___resource_action_attrs_table.php 2019_01_24_000034_create___resource_action_attrs_table.php</v>
      </c>
    </row>
    <row r="35" spans="1:8" x14ac:dyDescent="0.25">
      <c r="A35" s="3">
        <f t="shared" si="1"/>
        <v>34</v>
      </c>
      <c r="B35" s="1" t="s">
        <v>525</v>
      </c>
      <c r="C35" s="6" t="str">
        <f>MID(MigrationRenamer[Filename],26,LEN(MigrationRenamer[Filename])-35)</f>
        <v>__resource_action_methods</v>
      </c>
      <c r="D35" s="6" t="str">
        <f t="shared" si="0"/>
        <v>2019_01_24_</v>
      </c>
      <c r="E35" s="6" t="str">
        <f>TEXT(MATCH(MigrationRenamer[[#This Row],[Table]],Tables[Table],0),"000000")</f>
        <v>000035</v>
      </c>
      <c r="F35" s="6" t="str">
        <f>RIGHT(MigrationRenamer[Filename],LEN(MigrationRenamer[Filename])-LEN(MigrationRenamer[Date Part])-LEN(MigrationRenamer[Sequence]))</f>
        <v>_create___resource_action_methods_table.php</v>
      </c>
      <c r="G35" s="6" t="str">
        <f>MigrationRenamer[Date Part]&amp;MigrationRenamer[Sequence]&amp;MigrationRenamer[Name Part]</f>
        <v>2019_01_24_000035_create___resource_action_methods_table.php</v>
      </c>
      <c r="H35" s="6" t="str">
        <f>IFERROR("ren "&amp;MigrationRenamer[Filename]&amp;" "&amp;MigrationRenamer[New Name],"del "&amp;MigrationRenamer[Filename])</f>
        <v>ren 2019_01_24_000035_create___resource_action_methods_table.php 2019_01_24_000035_create___resource_action_methods_table.php</v>
      </c>
    </row>
    <row r="36" spans="1:8" x14ac:dyDescent="0.25">
      <c r="A36" s="3">
        <f t="shared" si="1"/>
        <v>35</v>
      </c>
      <c r="B36" s="1" t="s">
        <v>526</v>
      </c>
      <c r="C36" s="6" t="str">
        <f>MID(MigrationRenamer[Filename],26,LEN(MigrationRenamer[Filename])-35)</f>
        <v>__resource_action_lists</v>
      </c>
      <c r="D36" s="6" t="str">
        <f t="shared" si="0"/>
        <v>2019_01_24_</v>
      </c>
      <c r="E36" s="6" t="str">
        <f>TEXT(MATCH(MigrationRenamer[[#This Row],[Table]],Tables[Table],0),"000000")</f>
        <v>000036</v>
      </c>
      <c r="F36" s="6" t="str">
        <f>RIGHT(MigrationRenamer[Filename],LEN(MigrationRenamer[Filename])-LEN(MigrationRenamer[Date Part])-LEN(MigrationRenamer[Sequence]))</f>
        <v>_create___resource_action_lists_table.php</v>
      </c>
      <c r="G36" s="6" t="str">
        <f>MigrationRenamer[Date Part]&amp;MigrationRenamer[Sequence]&amp;MigrationRenamer[Name Part]</f>
        <v>2019_01_24_000036_create___resource_action_lists_table.php</v>
      </c>
      <c r="H36" s="6" t="str">
        <f>IFERROR("ren "&amp;MigrationRenamer[Filename]&amp;" "&amp;MigrationRenamer[New Name],"del "&amp;MigrationRenamer[Filename])</f>
        <v>ren 2019_01_24_000036_create___resource_action_lists_table.php 2019_01_24_000036_create___resource_action_lists_table.php</v>
      </c>
    </row>
    <row r="37" spans="1:8" x14ac:dyDescent="0.25">
      <c r="A37" s="3">
        <f t="shared" si="1"/>
        <v>36</v>
      </c>
      <c r="B37" s="1" t="s">
        <v>527</v>
      </c>
      <c r="C37" s="6" t="str">
        <f>MID(MigrationRenamer[Filename],26,LEN(MigrationRenamer[Filename])-35)</f>
        <v>__resource_action_data</v>
      </c>
      <c r="D37" s="6" t="str">
        <f t="shared" si="0"/>
        <v>2019_01_24_</v>
      </c>
      <c r="E37" s="6" t="str">
        <f>TEXT(MATCH(MigrationRenamer[[#This Row],[Table]],Tables[Table],0),"000000")</f>
        <v>000037</v>
      </c>
      <c r="F37" s="6" t="str">
        <f>RIGHT(MigrationRenamer[Filename],LEN(MigrationRenamer[Filename])-LEN(MigrationRenamer[Date Part])-LEN(MigrationRenamer[Sequence]))</f>
        <v>_create___resource_action_data_table.php</v>
      </c>
      <c r="G37" s="6" t="str">
        <f>MigrationRenamer[Date Part]&amp;MigrationRenamer[Sequence]&amp;MigrationRenamer[Name Part]</f>
        <v>2019_01_24_000037_create___resource_action_data_table.php</v>
      </c>
      <c r="H37" s="6" t="str">
        <f>IFERROR("ren "&amp;MigrationRenamer[Filename]&amp;" "&amp;MigrationRenamer[New Name],"del "&amp;MigrationRenamer[Filename])</f>
        <v>ren 2019_01_24_000037_create___resource_action_data_table.php 2019_01_24_000037_create___resource_action_data_table.php</v>
      </c>
    </row>
    <row r="38" spans="1:8" x14ac:dyDescent="0.25">
      <c r="A38" s="3">
        <f t="shared" si="1"/>
        <v>37</v>
      </c>
      <c r="B38" s="1" t="s">
        <v>528</v>
      </c>
      <c r="C38" s="6" t="str">
        <f>MID(MigrationRenamer[Filename],26,LEN(MigrationRenamer[Filename])-35)</f>
        <v>__resource_defaults</v>
      </c>
      <c r="D38" s="6" t="str">
        <f t="shared" si="0"/>
        <v>2019_01_24_</v>
      </c>
      <c r="E38" s="6" t="str">
        <f>TEXT(MATCH(MigrationRenamer[[#This Row],[Table]],Tables[Table],0),"000000")</f>
        <v>000038</v>
      </c>
      <c r="F38" s="6" t="str">
        <f>RIGHT(MigrationRenamer[Filename],LEN(MigrationRenamer[Filename])-LEN(MigrationRenamer[Date Part])-LEN(MigrationRenamer[Sequence]))</f>
        <v>_create___resource_defaults_table.php</v>
      </c>
      <c r="G38" s="6" t="str">
        <f>MigrationRenamer[Date Part]&amp;MigrationRenamer[Sequence]&amp;MigrationRenamer[Name Part]</f>
        <v>2019_01_24_000038_create___resource_defaults_table.php</v>
      </c>
      <c r="H38" s="6" t="str">
        <f>IFERROR("ren "&amp;MigrationRenamer[Filename]&amp;" "&amp;MigrationRenamer[New Name],"del "&amp;MigrationRenamer[Filename])</f>
        <v>ren 2019_01_24_000038_create___resource_defaults_table.php 2019_01_24_000038_create___resource_defaults_table.php</v>
      </c>
    </row>
    <row r="39" spans="1:8" x14ac:dyDescent="0.25">
      <c r="A39" s="3">
        <f t="shared" si="1"/>
        <v>38</v>
      </c>
      <c r="B39" s="1" t="s">
        <v>529</v>
      </c>
      <c r="C39" s="6" t="str">
        <f>MID(MigrationRenamer[Filename],26,LEN(MigrationRenamer[Filename])-35)</f>
        <v>__resource_metrics</v>
      </c>
      <c r="D39" s="6" t="str">
        <f t="shared" si="0"/>
        <v>2019_01_24_</v>
      </c>
      <c r="E39" s="6" t="str">
        <f>TEXT(MATCH(MigrationRenamer[[#This Row],[Table]],Tables[Table],0),"000000")</f>
        <v>000039</v>
      </c>
      <c r="F39" s="6" t="str">
        <f>RIGHT(MigrationRenamer[Filename],LEN(MigrationRenamer[Filename])-LEN(MigrationRenamer[Date Part])-LEN(MigrationRenamer[Sequence]))</f>
        <v>_create___resource_metrics_table.php</v>
      </c>
      <c r="G39" s="6" t="str">
        <f>MigrationRenamer[Date Part]&amp;MigrationRenamer[Sequence]&amp;MigrationRenamer[Name Part]</f>
        <v>2019_01_24_000039_create___resource_metrics_table.php</v>
      </c>
      <c r="H39" s="6" t="str">
        <f>IFERROR("ren "&amp;MigrationRenamer[Filename]&amp;" "&amp;MigrationRenamer[New Name],"del "&amp;MigrationRenamer[Filename])</f>
        <v>ren 2019_01_24_000039_create___resource_metrics_table.php 2019_01_24_000039_create___resource_metrics_table.php</v>
      </c>
    </row>
    <row r="40" spans="1:8" x14ac:dyDescent="0.25">
      <c r="A40" s="3">
        <f t="shared" si="1"/>
        <v>39</v>
      </c>
      <c r="B40" s="1" t="s">
        <v>530</v>
      </c>
      <c r="C40" s="6" t="str">
        <f>MID(MigrationRenamer[Filename],26,LEN(MigrationRenamer[Filename])-35)</f>
        <v>__resource_dashboard</v>
      </c>
      <c r="D40" s="6" t="str">
        <f t="shared" si="0"/>
        <v>2019_01_24_</v>
      </c>
      <c r="E40" s="6" t="str">
        <f>TEXT(MATCH(MigrationRenamer[[#This Row],[Table]],Tables[Table],0),"000000")</f>
        <v>000040</v>
      </c>
      <c r="F40" s="6" t="str">
        <f>RIGHT(MigrationRenamer[Filename],LEN(MigrationRenamer[Filename])-LEN(MigrationRenamer[Date Part])-LEN(MigrationRenamer[Sequence]))</f>
        <v>_create___resource_dashboard_table.php</v>
      </c>
      <c r="G40" s="6" t="str">
        <f>MigrationRenamer[Date Part]&amp;MigrationRenamer[Sequence]&amp;MigrationRenamer[Name Part]</f>
        <v>2019_01_24_000040_create___resource_dashboard_table.php</v>
      </c>
      <c r="H40" s="6" t="str">
        <f>IFERROR("ren "&amp;MigrationRenamer[Filename]&amp;" "&amp;MigrationRenamer[New Name],"del "&amp;MigrationRenamer[Filename])</f>
        <v>ren 2019_01_24_000040_create___resource_dashboard_table.php 2019_01_24_000040_create___resource_dashboard_table.php</v>
      </c>
    </row>
    <row r="41" spans="1:8" x14ac:dyDescent="0.25">
      <c r="A41" s="3">
        <f t="shared" si="1"/>
        <v>40</v>
      </c>
      <c r="B41" s="1" t="s">
        <v>531</v>
      </c>
      <c r="C41" s="6" t="str">
        <f>MID(MigrationRenamer[Filename],26,LEN(MigrationRenamer[Filename])-35)</f>
        <v>__resource_dashboard_sections</v>
      </c>
      <c r="D41" s="6" t="str">
        <f t="shared" si="0"/>
        <v>2019_01_24_</v>
      </c>
      <c r="E41" s="6" t="str">
        <f>TEXT(MATCH(MigrationRenamer[[#This Row],[Table]],Tables[Table],0),"000000")</f>
        <v>000041</v>
      </c>
      <c r="F41" s="6" t="str">
        <f>RIGHT(MigrationRenamer[Filename],LEN(MigrationRenamer[Filename])-LEN(MigrationRenamer[Date Part])-LEN(MigrationRenamer[Sequence]))</f>
        <v>_create___resource_dashboard_sections_table.php</v>
      </c>
      <c r="G41" s="6" t="str">
        <f>MigrationRenamer[Date Part]&amp;MigrationRenamer[Sequence]&amp;MigrationRenamer[Name Part]</f>
        <v>2019_01_24_000041_create___resource_dashboard_sections_table.php</v>
      </c>
      <c r="H41" s="6" t="str">
        <f>IFERROR("ren "&amp;MigrationRenamer[Filename]&amp;" "&amp;MigrationRenamer[New Name],"del "&amp;MigrationRenamer[Filename])</f>
        <v>ren 2019_01_24_000041_create___resource_dashboard_sections_table.php 2019_01_24_000041_create___resource_dashboard_sections_table.php</v>
      </c>
    </row>
    <row r="42" spans="1:8" x14ac:dyDescent="0.25">
      <c r="A42" s="3">
        <f t="shared" si="1"/>
        <v>41</v>
      </c>
      <c r="B42" s="1" t="s">
        <v>532</v>
      </c>
      <c r="C42" s="6" t="str">
        <f>MID(MigrationRenamer[Filename],26,LEN(MigrationRenamer[Filename])-35)</f>
        <v>__resource_dashboard_section_items</v>
      </c>
      <c r="D42" s="6" t="str">
        <f t="shared" si="0"/>
        <v>2019_01_24_</v>
      </c>
      <c r="E42" s="6" t="str">
        <f>TEXT(MATCH(MigrationRenamer[[#This Row],[Table]],Tables[Table],0),"000000")</f>
        <v>000042</v>
      </c>
      <c r="F42" s="6" t="str">
        <f>RIGHT(MigrationRenamer[Filename],LEN(MigrationRenamer[Filename])-LEN(MigrationRenamer[Date Part])-LEN(MigrationRenamer[Sequence]))</f>
        <v>_create___resource_dashboard_section_items_table.php</v>
      </c>
      <c r="G42" s="6" t="str">
        <f>MigrationRenamer[Date Part]&amp;MigrationRenamer[Sequence]&amp;MigrationRenamer[Name Part]</f>
        <v>2019_01_24_000042_create___resource_dashboard_section_items_table.php</v>
      </c>
      <c r="H42" s="6" t="str">
        <f>IFERROR("ren "&amp;MigrationRenamer[Filename]&amp;" "&amp;MigrationRenamer[New Name],"del "&amp;MigrationRenamer[Filename])</f>
        <v>ren 2019_01_24_000042_create___resource_dashboard_section_items_table.php 2019_01_24_000042_create___resource_dashboard_section_items_table.php</v>
      </c>
    </row>
    <row r="43" spans="1:8" x14ac:dyDescent="0.25">
      <c r="A43" s="32">
        <f>IFERROR($A42+1,1)</f>
        <v>42</v>
      </c>
      <c r="B43" s="5" t="s">
        <v>533</v>
      </c>
      <c r="C43" s="8" t="str">
        <f>MID(MigrationRenamer[Filename],26,LEN(MigrationRenamer[Filename])-35)</f>
        <v>__organisation</v>
      </c>
      <c r="D43" s="8" t="str">
        <f t="shared" si="0"/>
        <v>2019_01_24_</v>
      </c>
      <c r="E43" s="8" t="str">
        <f>TEXT(MATCH(MigrationRenamer[[#This Row],[Table]],Tables[Table],0),"000000")</f>
        <v>000043</v>
      </c>
      <c r="F43" s="8" t="str">
        <f>RIGHT(MigrationRenamer[Filename],LEN(MigrationRenamer[Filename])-LEN(MigrationRenamer[Date Part])-LEN(MigrationRenamer[Sequence]))</f>
        <v>_create___organisation_table.php</v>
      </c>
      <c r="G43" s="8" t="str">
        <f>MigrationRenamer[Date Part]&amp;MigrationRenamer[Sequence]&amp;MigrationRenamer[Name Part]</f>
        <v>2019_01_24_000043_create___organisation_table.php</v>
      </c>
      <c r="H43" s="8" t="str">
        <f>IFERROR("ren "&amp;MigrationRenamer[Filename]&amp;" "&amp;MigrationRenamer[New Name],"del "&amp;MigrationRenamer[Filename])</f>
        <v>ren 2019_01_24_000043_create___organisation_table.php 2019_01_24_000043_create___organisation_table.php</v>
      </c>
    </row>
    <row r="44" spans="1:8" x14ac:dyDescent="0.25">
      <c r="A44" s="32">
        <f>IFERROR($A43+1,1)</f>
        <v>43</v>
      </c>
      <c r="B44" s="5" t="s">
        <v>534</v>
      </c>
      <c r="C44" s="8" t="str">
        <f>MID(MigrationRenamer[Filename],26,LEN(MigrationRenamer[Filename])-35)</f>
        <v>__organisation_contacts</v>
      </c>
      <c r="D44" s="8" t="str">
        <f t="shared" si="0"/>
        <v>2019_01_24_</v>
      </c>
      <c r="E44" s="8" t="str">
        <f>TEXT(MATCH(MigrationRenamer[[#This Row],[Table]],Tables[Table],0),"000000")</f>
        <v>000044</v>
      </c>
      <c r="F44" s="8" t="str">
        <f>RIGHT(MigrationRenamer[Filename],LEN(MigrationRenamer[Filename])-LEN(MigrationRenamer[Date Part])-LEN(MigrationRenamer[Sequence]))</f>
        <v>_create___organisation_contacts_table.php</v>
      </c>
      <c r="G44" s="8" t="str">
        <f>MigrationRenamer[Date Part]&amp;MigrationRenamer[Sequence]&amp;MigrationRenamer[Name Part]</f>
        <v>2019_01_24_000044_create___organisation_contacts_table.php</v>
      </c>
      <c r="H44" s="8" t="str">
        <f>IFERROR("ren "&amp;MigrationRenamer[Filename]&amp;" "&amp;MigrationRenamer[New Name],"del "&amp;MigrationRenamer[Filename])</f>
        <v>ren 2019_01_24_000044_create___organisation_contacts_table.php 2019_01_24_000044_create___organisation_contacts_table.php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0"/>
  <sheetViews>
    <sheetView tabSelected="1" topLeftCell="O19" workbookViewId="0">
      <selection activeCell="O35" sqref="O35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7.570312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hidden="1" customWidth="1"/>
    <col min="18" max="19" width="11" hidden="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9.140625" hidden="1" customWidth="1"/>
    <col min="30" max="30" width="11" hidden="1" customWidth="1"/>
    <col min="31" max="31" width="9.140625" customWidth="1"/>
    <col min="32" max="32" width="21.140625" hidden="1" customWidth="1"/>
    <col min="33" max="33" width="25.8554687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hidden="1" customWidth="1"/>
  </cols>
  <sheetData>
    <row r="1" spans="1:57" x14ac:dyDescent="0.25">
      <c r="A1" s="20" t="s">
        <v>344</v>
      </c>
      <c r="B1" s="20" t="s">
        <v>100</v>
      </c>
      <c r="C1" s="20" t="s">
        <v>405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536</v>
      </c>
      <c r="J1" s="20" t="s">
        <v>452</v>
      </c>
      <c r="K1" s="52" t="s">
        <v>307</v>
      </c>
      <c r="M1" s="1" t="s">
        <v>408</v>
      </c>
      <c r="N1" s="1" t="s">
        <v>414</v>
      </c>
      <c r="O1" s="1" t="s">
        <v>410</v>
      </c>
      <c r="P1" s="1" t="s">
        <v>409</v>
      </c>
      <c r="Q1" s="1" t="s">
        <v>411</v>
      </c>
      <c r="R1" s="1" t="s">
        <v>412</v>
      </c>
      <c r="S1" s="1" t="s">
        <v>413</v>
      </c>
      <c r="T1" s="1" t="s">
        <v>420</v>
      </c>
      <c r="U1" s="1" t="s">
        <v>415</v>
      </c>
      <c r="V1" s="1" t="s">
        <v>418</v>
      </c>
      <c r="W1" s="1" t="s">
        <v>416</v>
      </c>
      <c r="X1" s="1" t="s">
        <v>421</v>
      </c>
      <c r="Y1" s="1" t="s">
        <v>417</v>
      </c>
      <c r="Z1" s="1" t="s">
        <v>419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425</v>
      </c>
      <c r="AH1" s="1" t="s">
        <v>99</v>
      </c>
      <c r="AI1" s="1" t="s">
        <v>379</v>
      </c>
      <c r="AJ1" s="1" t="s">
        <v>13</v>
      </c>
      <c r="AK1" s="1" t="s">
        <v>426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427</v>
      </c>
      <c r="AQ1" s="1" t="s">
        <v>428</v>
      </c>
      <c r="AR1" s="1" t="s">
        <v>429</v>
      </c>
      <c r="AT1" s="1" t="s">
        <v>344</v>
      </c>
      <c r="AU1" s="1" t="s">
        <v>432</v>
      </c>
      <c r="AV1" s="1" t="s">
        <v>99</v>
      </c>
      <c r="AW1" s="1" t="s">
        <v>379</v>
      </c>
      <c r="AX1" s="1" t="s">
        <v>104</v>
      </c>
      <c r="AY1" s="1" t="s">
        <v>13</v>
      </c>
      <c r="AZ1" s="1" t="s">
        <v>426</v>
      </c>
      <c r="BA1" s="1" t="s">
        <v>300</v>
      </c>
      <c r="BB1" s="1" t="s">
        <v>301</v>
      </c>
      <c r="BC1" s="1" t="s">
        <v>105</v>
      </c>
      <c r="BD1" s="1" t="s">
        <v>427</v>
      </c>
      <c r="BE1" s="1" t="s">
        <v>428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535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62" t="str">
        <f>'Table Seed Map'!$A$24&amp;"-"&amp;COUNTA($B$1:ResourceList[[#This Row],[Resource Name]])-1</f>
        <v>Resource Lists-1</v>
      </c>
      <c r="B3" s="63" t="s">
        <v>96</v>
      </c>
      <c r="C3" s="62" t="str">
        <f>ResourceList[[#This Row],[Resource Name]]&amp;"/"&amp;ResourceList[[#This Row],[Name]]</f>
        <v>Group/GroupList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802201</v>
      </c>
      <c r="E3" s="60">
        <f>IFERROR(VLOOKUP(ResourceList[[#This Row],[Resource Name]],ResourceTable[[RName]:[No]],3,0),"resource")</f>
        <v>800502</v>
      </c>
      <c r="F3" s="65" t="s">
        <v>910</v>
      </c>
      <c r="G3" s="65" t="s">
        <v>911</v>
      </c>
      <c r="H3" s="65" t="s">
        <v>76</v>
      </c>
      <c r="I3" s="65" t="s">
        <v>23</v>
      </c>
      <c r="J3" s="65">
        <v>30</v>
      </c>
      <c r="K3" s="64">
        <f>ResourceList[No]</f>
        <v>802201</v>
      </c>
      <c r="M3" s="2" t="s">
        <v>983</v>
      </c>
      <c r="N3" s="6">
        <f>VLOOKUP(ListExtras[[#This Row],[List Name]],ResourceList[[ListDisplayName]:[No]],2,0)</f>
        <v>802205</v>
      </c>
      <c r="O3" s="1" t="s">
        <v>984</v>
      </c>
      <c r="P3" s="1" t="s">
        <v>987</v>
      </c>
      <c r="Q3" s="1"/>
      <c r="R3" s="1"/>
      <c r="S3" s="1"/>
      <c r="T3" s="6" t="str">
        <f>'Table Seed Map'!$A$25&amp;"-"&amp;COUNT($W$1:ListExtras[[#This Row],[Scope ID]])</f>
        <v>List Scopes-1</v>
      </c>
      <c r="U3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802301</v>
      </c>
      <c r="V3" s="15">
        <f>IF(ListExtras[[#This Row],[LID]]=0,"resource_list",ListExtras[[#This Row],[LID]])</f>
        <v>802205</v>
      </c>
      <c r="W3" s="15">
        <f>IFERROR(VLOOKUP(ListExtras[[#This Row],[Scope Name]],ResourceScopes[[ScopesDisplayNames]:[No]],2,0),IF(ListExtras[[#This Row],[LID]]=0,"scope",""))</f>
        <v>800701</v>
      </c>
      <c r="X3" s="6" t="str">
        <f>'Table Seed Map'!$A$26&amp;"-"&amp;COUNT($AA$1:ListExtras[[#This Row],[Relation]])</f>
        <v>List Relation-1</v>
      </c>
      <c r="Y3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802401</v>
      </c>
      <c r="Z3" s="15">
        <f>IF(ListExtras[[#This Row],[LID]]=0,"resource_list",ListExtras[[#This Row],[LID]])</f>
        <v>802205</v>
      </c>
      <c r="AA3" s="15">
        <f>IFERROR(VLOOKUP(ListExtras[[#This Row],[Relation Name]],RelationTable[[Display]:[RELID]],2,0),IF(ListExtras[[#This Row],[LID]]=0,"relation",""))</f>
        <v>800809</v>
      </c>
      <c r="AB3" s="15" t="str">
        <f>IFERROR(VLOOKUP(ListExtras[[#This Row],[R1 Name]],RelationTable[[Display]:[RELID]],2,0),IF(ListExtras[[#This Row],[LID]]=0,"nest_relation1",""))</f>
        <v/>
      </c>
      <c r="AC3" s="15" t="str">
        <f>IFERROR(VLOOKUP(ListExtras[[#This Row],[R2 Name]],RelationTable[[Display]:[RELID]],2,0),IF(ListExtras[[#This Row],[LID]]=0,"nest_relation2",""))</f>
        <v/>
      </c>
      <c r="AD3" s="15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61" t="s">
        <v>912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802601</v>
      </c>
      <c r="AI3" s="60">
        <f>IFERROR(VLOOKUP(ListSearch[[#This Row],[List Name for Search]],ResourceList[[ListDisplayName]:[No]],2,0),"resource_list")</f>
        <v>802201</v>
      </c>
      <c r="AJ3" s="65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5"/>
      <c r="AP3" s="65"/>
      <c r="AQ3" s="65"/>
      <c r="AR3" s="65"/>
      <c r="AT3" s="60" t="str">
        <f>'Table Seed Map'!$A$27&amp;"-"&amp;COUNTA($AV$1:ListLayout[[#This Row],[No]])-2</f>
        <v>List Layout-1</v>
      </c>
      <c r="AU3" s="61" t="s">
        <v>912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802501</v>
      </c>
      <c r="AW3" s="60">
        <f>IFERROR(VLOOKUP(ListLayout[[#This Row],[List Name for Layout]],ResourceList[[ListDisplayName]:[No]],2,0),"resource_list")</f>
        <v>802201</v>
      </c>
      <c r="AX3" s="60" t="s">
        <v>1</v>
      </c>
      <c r="AY3" s="65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5"/>
      <c r="BD3" s="65"/>
      <c r="BE3" s="65"/>
    </row>
    <row r="4" spans="1:57" x14ac:dyDescent="0.25">
      <c r="A4" s="62" t="str">
        <f>'Table Seed Map'!$A$24&amp;"-"&amp;COUNTA($B$1:ResourceList[[#This Row],[Resource Name]])-1</f>
        <v>Resource Lists-2</v>
      </c>
      <c r="B4" s="63" t="s">
        <v>843</v>
      </c>
      <c r="C4" s="62" t="str">
        <f>ResourceList[[#This Row],[Resource Name]]&amp;"/"&amp;ResourceList[[#This Row],[Name]]</f>
        <v>Partner/PartnerList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802202</v>
      </c>
      <c r="E4" s="60">
        <f>IFERROR(VLOOKUP(ResourceList[[#This Row],[Resource Name]],ResourceTable[[RName]:[No]],3,0),"resource")</f>
        <v>800501</v>
      </c>
      <c r="F4" s="65" t="s">
        <v>931</v>
      </c>
      <c r="G4" s="65" t="s">
        <v>932</v>
      </c>
      <c r="H4" s="65" t="s">
        <v>852</v>
      </c>
      <c r="I4" s="65" t="s">
        <v>23</v>
      </c>
      <c r="J4" s="65">
        <v>30</v>
      </c>
      <c r="K4" s="64">
        <f>ResourceList[No]</f>
        <v>802202</v>
      </c>
      <c r="M4" s="2" t="s">
        <v>994</v>
      </c>
      <c r="N4" s="6">
        <f>VLOOKUP(ListExtras[[#This Row],[List Name]],ResourceList[[ListDisplayName]:[No]],2,0)</f>
        <v>802206</v>
      </c>
      <c r="O4" s="1" t="s">
        <v>994</v>
      </c>
      <c r="P4" s="1" t="s">
        <v>987</v>
      </c>
      <c r="Q4" s="1"/>
      <c r="R4" s="1"/>
      <c r="S4" s="1"/>
      <c r="T4" s="6" t="str">
        <f>'Table Seed Map'!$A$25&amp;"-"&amp;COUNT($W$1:ListExtras[[#This Row],[Scope ID]])</f>
        <v>List Scopes-2</v>
      </c>
      <c r="U4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802302</v>
      </c>
      <c r="V4" s="15">
        <f>IF(ListExtras[[#This Row],[LID]]=0,"resource_list",ListExtras[[#This Row],[LID]])</f>
        <v>802206</v>
      </c>
      <c r="W4" s="15">
        <f>IFERROR(VLOOKUP(ListExtras[[#This Row],[Scope Name]],ResourceScopes[[ScopesDisplayNames]:[No]],2,0),IF(ListExtras[[#This Row],[LID]]=0,"scope",""))</f>
        <v>800703</v>
      </c>
      <c r="X4" s="6" t="str">
        <f>'Table Seed Map'!$A$26&amp;"-"&amp;COUNT($AA$1:ListExtras[[#This Row],[Relation]])</f>
        <v>List Relation-2</v>
      </c>
      <c r="Y4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802402</v>
      </c>
      <c r="Z4" s="15">
        <f>IF(ListExtras[[#This Row],[LID]]=0,"resource_list",ListExtras[[#This Row],[LID]])</f>
        <v>802206</v>
      </c>
      <c r="AA4" s="15">
        <f>IFERROR(VLOOKUP(ListExtras[[#This Row],[Relation Name]],RelationTable[[Display]:[RELID]],2,0),IF(ListExtras[[#This Row],[LID]]=0,"relation",""))</f>
        <v>800809</v>
      </c>
      <c r="AB4" s="15" t="str">
        <f>IFERROR(VLOOKUP(ListExtras[[#This Row],[R1 Name]],RelationTable[[Display]:[RELID]],2,0),IF(ListExtras[[#This Row],[LID]]=0,"nest_relation1",""))</f>
        <v/>
      </c>
      <c r="AC4" s="15" t="str">
        <f>IFERROR(VLOOKUP(ListExtras[[#This Row],[R2 Name]],RelationTable[[Display]:[RELID]],2,0),IF(ListExtras[[#This Row],[LID]]=0,"nest_relation2",""))</f>
        <v/>
      </c>
      <c r="AD4" s="15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61" t="s">
        <v>912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802602</v>
      </c>
      <c r="AI4" s="60">
        <f>IFERROR(VLOOKUP(ListSearch[[#This Row],[List Name for Search]],ResourceList[[ListDisplayName]:[No]],2,0),"resource_list")</f>
        <v>802201</v>
      </c>
      <c r="AJ4" s="65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5"/>
      <c r="AP4" s="65"/>
      <c r="AQ4" s="65"/>
      <c r="AR4" s="65"/>
      <c r="AT4" s="60" t="str">
        <f>'Table Seed Map'!$A$27&amp;"-"&amp;COUNTA($AV$1:ListLayout[[#This Row],[No]])-2</f>
        <v>List Layout-2</v>
      </c>
      <c r="AU4" s="61" t="s">
        <v>912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802502</v>
      </c>
      <c r="AW4" s="60">
        <f>IFERROR(VLOOKUP(ListLayout[[#This Row],[List Name for Layout]],ResourceList[[ListDisplayName]:[No]],2,0),"resource_list")</f>
        <v>802201</v>
      </c>
      <c r="AX4" s="60" t="s">
        <v>901</v>
      </c>
      <c r="AY4" s="65" t="s">
        <v>809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5"/>
      <c r="BD4" s="65"/>
      <c r="BE4" s="65"/>
    </row>
    <row r="5" spans="1:57" x14ac:dyDescent="0.25">
      <c r="A5" s="62" t="str">
        <f>'Table Seed Map'!$A$24&amp;"-"&amp;COUNTA($B$1:ResourceList[[#This Row],[Resource Name]])-1</f>
        <v>Resource Lists-3</v>
      </c>
      <c r="B5" s="63" t="s">
        <v>845</v>
      </c>
      <c r="C5" s="62" t="str">
        <f>ResourceList[[#This Row],[Resource Name]]&amp;"/"&amp;ResourceList[[#This Row],[Name]]</f>
        <v>Task/Task List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802203</v>
      </c>
      <c r="E5" s="60">
        <f>IFERROR(VLOOKUP(ResourceList[[#This Row],[Resource Name]],ResourceTable[[RName]:[No]],3,0),"resource")</f>
        <v>800506</v>
      </c>
      <c r="F5" s="65" t="s">
        <v>959</v>
      </c>
      <c r="G5" s="65" t="s">
        <v>960</v>
      </c>
      <c r="H5" s="65" t="s">
        <v>850</v>
      </c>
      <c r="I5" s="65" t="s">
        <v>21</v>
      </c>
      <c r="J5" s="65">
        <v>30</v>
      </c>
      <c r="K5" s="64">
        <f>ResourceList[No]</f>
        <v>802203</v>
      </c>
      <c r="M5" s="2" t="s">
        <v>995</v>
      </c>
      <c r="N5" s="6">
        <f>VLOOKUP(ListExtras[[#This Row],[List Name]],ResourceList[[ListDisplayName]:[No]],2,0)</f>
        <v>802207</v>
      </c>
      <c r="O5" s="1" t="s">
        <v>995</v>
      </c>
      <c r="P5" s="1" t="s">
        <v>987</v>
      </c>
      <c r="Q5" s="1"/>
      <c r="R5" s="1"/>
      <c r="S5" s="1"/>
      <c r="T5" s="6" t="str">
        <f>'Table Seed Map'!$A$25&amp;"-"&amp;COUNT($W$1:ListExtras[[#This Row],[Scope ID]])</f>
        <v>List Scopes-3</v>
      </c>
      <c r="U5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802303</v>
      </c>
      <c r="V5" s="15">
        <f>IF(ListExtras[[#This Row],[LID]]=0,"resource_list",ListExtras[[#This Row],[LID]])</f>
        <v>802207</v>
      </c>
      <c r="W5" s="15">
        <f>IFERROR(VLOOKUP(ListExtras[[#This Row],[Scope Name]],ResourceScopes[[ScopesDisplayNames]:[No]],2,0),IF(ListExtras[[#This Row],[LID]]=0,"scope",""))</f>
        <v>800704</v>
      </c>
      <c r="X5" s="6" t="str">
        <f>'Table Seed Map'!$A$26&amp;"-"&amp;COUNT($AA$1:ListExtras[[#This Row],[Relation]])</f>
        <v>List Relation-3</v>
      </c>
      <c r="Y5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802403</v>
      </c>
      <c r="Z5" s="15">
        <f>IF(ListExtras[[#This Row],[LID]]=0,"resource_list",ListExtras[[#This Row],[LID]])</f>
        <v>802207</v>
      </c>
      <c r="AA5" s="15">
        <f>IFERROR(VLOOKUP(ListExtras[[#This Row],[Relation Name]],RelationTable[[Display]:[RELID]],2,0),IF(ListExtras[[#This Row],[LID]]=0,"relation",""))</f>
        <v>800809</v>
      </c>
      <c r="AB5" s="15" t="str">
        <f>IFERROR(VLOOKUP(ListExtras[[#This Row],[R1 Name]],RelationTable[[Display]:[RELID]],2,0),IF(ListExtras[[#This Row],[LID]]=0,"nest_relation1",""))</f>
        <v/>
      </c>
      <c r="AC5" s="15" t="str">
        <f>IFERROR(VLOOKUP(ListExtras[[#This Row],[R2 Name]],RelationTable[[Display]:[RELID]],2,0),IF(ListExtras[[#This Row],[LID]]=0,"nest_relation2",""))</f>
        <v/>
      </c>
      <c r="AD5" s="15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61" t="s">
        <v>933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802603</v>
      </c>
      <c r="AI5" s="60">
        <f>IFERROR(VLOOKUP(ListSearch[[#This Row],[List Name for Search]],ResourceList[[ListDisplayName]:[No]],2,0),"resource_list")</f>
        <v>802202</v>
      </c>
      <c r="AJ5" s="65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5"/>
      <c r="AP5" s="65"/>
      <c r="AQ5" s="65"/>
      <c r="AR5" s="65"/>
      <c r="AT5" s="60" t="str">
        <f>'Table Seed Map'!$A$27&amp;"-"&amp;COUNTA($AV$1:ListLayout[[#This Row],[No]])-2</f>
        <v>List Layout-3</v>
      </c>
      <c r="AU5" s="61" t="s">
        <v>933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802503</v>
      </c>
      <c r="AW5" s="60">
        <f>IFERROR(VLOOKUP(ListLayout[[#This Row],[List Name for Layout]],ResourceList[[ListDisplayName]:[No]],2,0),"resource_list")</f>
        <v>802202</v>
      </c>
      <c r="AX5" s="60" t="s">
        <v>1</v>
      </c>
      <c r="AY5" s="65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5"/>
      <c r="BD5" s="65"/>
      <c r="BE5" s="65"/>
    </row>
    <row r="6" spans="1:57" x14ac:dyDescent="0.25">
      <c r="A6" s="62" t="str">
        <f>'Table Seed Map'!$A$24&amp;"-"&amp;COUNTA($B$1:ResourceList[[#This Row],[Resource Name]])-1</f>
        <v>Resource Lists-4</v>
      </c>
      <c r="B6" s="63" t="s">
        <v>846</v>
      </c>
      <c r="C6" s="62" t="str">
        <f>ResourceList[[#This Row],[Resource Name]]&amp;"/"&amp;ResourceList[[#This Row],[Name]]</f>
        <v>PartnerTask/NewCategoryList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802204</v>
      </c>
      <c r="E6" s="60">
        <f>IFERROR(VLOOKUP(ResourceList[[#This Row],[Resource Name]],ResourceTable[[RName]:[No]],3,0),"resource")</f>
        <v>800507</v>
      </c>
      <c r="F6" s="65" t="s">
        <v>1153</v>
      </c>
      <c r="G6" s="65" t="s">
        <v>1154</v>
      </c>
      <c r="H6" s="65" t="s">
        <v>1155</v>
      </c>
      <c r="I6" s="65" t="s">
        <v>21</v>
      </c>
      <c r="J6" s="65">
        <v>30</v>
      </c>
      <c r="K6" s="64">
        <f>ResourceList[No]</f>
        <v>802204</v>
      </c>
      <c r="M6" s="2" t="s">
        <v>996</v>
      </c>
      <c r="N6" s="6">
        <f>VLOOKUP(ListExtras[[#This Row],[List Name]],ResourceList[[ListDisplayName]:[No]],2,0)</f>
        <v>802208</v>
      </c>
      <c r="O6" s="1" t="s">
        <v>996</v>
      </c>
      <c r="P6" s="1" t="s">
        <v>987</v>
      </c>
      <c r="Q6" s="1"/>
      <c r="R6" s="1"/>
      <c r="S6" s="1"/>
      <c r="T6" s="6" t="str">
        <f>'Table Seed Map'!$A$25&amp;"-"&amp;COUNT($W$1:ListExtras[[#This Row],[Scope ID]])</f>
        <v>List Scopes-4</v>
      </c>
      <c r="U6" s="15">
        <f>IF(ListExtras[[#This Row],[LID]]=0,"id",IF(ListExtras[[#This Row],[Scope ID]]="","",COUNT($W$2:ListExtras[[#This Row],[Scope ID]])+IF(ISNUMBER(VLOOKUP('Table Seed Map'!$A$25,SeedMap[],9,0)),VLOOKUP('Table Seed Map'!$A$25,SeedMap[],9,0),0)))</f>
        <v>802304</v>
      </c>
      <c r="V6" s="15">
        <f>IF(ListExtras[[#This Row],[LID]]=0,"resource_list",ListExtras[[#This Row],[LID]])</f>
        <v>802208</v>
      </c>
      <c r="W6" s="15">
        <f>IFERROR(VLOOKUP(ListExtras[[#This Row],[Scope Name]],ResourceScopes[[ScopesDisplayNames]:[No]],2,0),IF(ListExtras[[#This Row],[LID]]=0,"scope",""))</f>
        <v>800702</v>
      </c>
      <c r="X6" s="6" t="str">
        <f>'Table Seed Map'!$A$26&amp;"-"&amp;COUNT($AA$1:ListExtras[[#This Row],[Relation]])</f>
        <v>List Relation-4</v>
      </c>
      <c r="Y6" s="15">
        <f>IF(ListExtras[[#This Row],[LID]]=0,"id",IF(ListExtras[[#This Row],[Relation]]="","",COUNT($AA$2:ListExtras[[#This Row],[Relation]])+IF(ISNUMBER(VLOOKUP('Table Seed Map'!$A$26,SeedMap[],9,0)),VLOOKUP('Table Seed Map'!$A$26,SeedMap[],9,0),0)))</f>
        <v>802404</v>
      </c>
      <c r="Z6" s="15">
        <f>IF(ListExtras[[#This Row],[LID]]=0,"resource_list",ListExtras[[#This Row],[LID]])</f>
        <v>802208</v>
      </c>
      <c r="AA6" s="15">
        <f>IFERROR(VLOOKUP(ListExtras[[#This Row],[Relation Name]],RelationTable[[Display]:[RELID]],2,0),IF(ListExtras[[#This Row],[LID]]=0,"relation",""))</f>
        <v>800809</v>
      </c>
      <c r="AB6" s="15" t="str">
        <f>IFERROR(VLOOKUP(ListExtras[[#This Row],[R1 Name]],RelationTable[[Display]:[RELID]],2,0),IF(ListExtras[[#This Row],[LID]]=0,"nest_relation1",""))</f>
        <v/>
      </c>
      <c r="AC6" s="15" t="str">
        <f>IFERROR(VLOOKUP(ListExtras[[#This Row],[R2 Name]],RelationTable[[Display]:[RELID]],2,0),IF(ListExtras[[#This Row],[LID]]=0,"nest_relation2",""))</f>
        <v/>
      </c>
      <c r="AD6" s="15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61" t="s">
        <v>933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802604</v>
      </c>
      <c r="AI6" s="60">
        <f>IFERROR(VLOOKUP(ListSearch[[#This Row],[List Name for Search]],ResourceList[[ListDisplayName]:[No]],2,0),"resource_list")</f>
        <v>802202</v>
      </c>
      <c r="AJ6" s="65" t="s">
        <v>854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5"/>
      <c r="AP6" s="65"/>
      <c r="AQ6" s="65"/>
      <c r="AR6" s="65"/>
      <c r="AT6" s="60" t="str">
        <f>'Table Seed Map'!$A$27&amp;"-"&amp;COUNTA($AV$1:ListLayout[[#This Row],[No]])-2</f>
        <v>List Layout-4</v>
      </c>
      <c r="AU6" s="61" t="s">
        <v>933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802504</v>
      </c>
      <c r="AW6" s="60">
        <f>IFERROR(VLOOKUP(ListLayout[[#This Row],[List Name for Layout]],ResourceList[[ListDisplayName]:[No]],2,0),"resource_list")</f>
        <v>802202</v>
      </c>
      <c r="AX6" s="60" t="s">
        <v>919</v>
      </c>
      <c r="AY6" s="65" t="s">
        <v>854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5"/>
      <c r="BD6" s="65"/>
      <c r="BE6" s="65"/>
    </row>
    <row r="7" spans="1:57" x14ac:dyDescent="0.25">
      <c r="A7" s="62" t="str">
        <f>'Table Seed Map'!$A$24&amp;"-"&amp;COUNTA($B$1:ResourceList[[#This Row],[Resource Name]])-1</f>
        <v>Resource Lists-5</v>
      </c>
      <c r="B7" s="63" t="s">
        <v>846</v>
      </c>
      <c r="C7" s="62" t="str">
        <f>ResourceList[[#This Row],[Resource Name]]&amp;"/"&amp;ResourceList[[#This Row],[Name]]</f>
        <v>PartnerTask/NewTaskList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802205</v>
      </c>
      <c r="E7" s="60">
        <f>IFERROR(VLOOKUP(ResourceList[[#This Row],[Resource Name]],ResourceTable[[RName]:[No]],3,0),"resource")</f>
        <v>800507</v>
      </c>
      <c r="F7" s="65" t="s">
        <v>980</v>
      </c>
      <c r="G7" s="65" t="s">
        <v>981</v>
      </c>
      <c r="H7" s="65" t="s">
        <v>982</v>
      </c>
      <c r="I7" s="65" t="s">
        <v>21</v>
      </c>
      <c r="J7" s="65">
        <v>30</v>
      </c>
      <c r="K7" s="64">
        <f>ResourceList[No]</f>
        <v>802205</v>
      </c>
      <c r="M7" s="61" t="s">
        <v>1066</v>
      </c>
      <c r="N7" s="62">
        <f>VLOOKUP(ListExtras[[#This Row],[List Name]],ResourceList[[ListDisplayName]:[No]],2,0)</f>
        <v>802209</v>
      </c>
      <c r="O7" s="1" t="s">
        <v>996</v>
      </c>
      <c r="P7" s="1" t="s">
        <v>1061</v>
      </c>
      <c r="Q7" s="63"/>
      <c r="R7" s="63"/>
      <c r="S7" s="63"/>
      <c r="T7" s="62" t="str">
        <f>'Table Seed Map'!$A$25&amp;"-"&amp;COUNT($W$1:ListExtras[[#This Row],[Scope ID]])</f>
        <v>List Scopes-5</v>
      </c>
      <c r="U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802305</v>
      </c>
      <c r="V7" s="60">
        <f>IF(ListExtras[[#This Row],[LID]]=0,"resource_list",ListExtras[[#This Row],[LID]])</f>
        <v>802209</v>
      </c>
      <c r="W7" s="60">
        <f>IFERROR(VLOOKUP(ListExtras[[#This Row],[Scope Name]],ResourceScopes[[ScopesDisplayNames]:[No]],2,0),IF(ListExtras[[#This Row],[LID]]=0,"scope",""))</f>
        <v>800702</v>
      </c>
      <c r="X7" s="62" t="str">
        <f>'Table Seed Map'!$A$26&amp;"-"&amp;COUNT($AA$1:ListExtras[[#This Row],[Relation]])</f>
        <v>List Relation-5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802405</v>
      </c>
      <c r="Z7" s="60">
        <f>IF(ListExtras[[#This Row],[LID]]=0,"resource_list",ListExtras[[#This Row],[LID]])</f>
        <v>802209</v>
      </c>
      <c r="AA7" s="60">
        <f>IFERROR(VLOOKUP(ListExtras[[#This Row],[Relation Name]],RelationTable[[Display]:[RELID]],2,0),IF(ListExtras[[#This Row],[LID]]=0,"relation",""))</f>
        <v>800810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61" t="s">
        <v>961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802605</v>
      </c>
      <c r="AI7" s="60">
        <f>IFERROR(VLOOKUP(ListSearch[[#This Row],[List Name for Search]],ResourceList[[ListDisplayName]:[No]],2,0),"resource_list")</f>
        <v>802203</v>
      </c>
      <c r="AJ7" s="65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5"/>
      <c r="AP7" s="65"/>
      <c r="AQ7" s="65"/>
      <c r="AR7" s="65"/>
      <c r="AT7" s="60" t="str">
        <f>'Table Seed Map'!$A$27&amp;"-"&amp;COUNTA($AV$1:ListLayout[[#This Row],[No]])-2</f>
        <v>List Layout-5</v>
      </c>
      <c r="AU7" s="61" t="s">
        <v>961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802505</v>
      </c>
      <c r="AW7" s="60">
        <f>IFERROR(VLOOKUP(ListLayout[[#This Row],[List Name for Layout]],ResourceList[[ListDisplayName]:[No]],2,0),"resource_list")</f>
        <v>802203</v>
      </c>
      <c r="AX7" s="60" t="s">
        <v>1126</v>
      </c>
      <c r="AY7" s="65" t="s">
        <v>23</v>
      </c>
      <c r="AZ7" s="60">
        <f>IF(ListLayout[[#This Row],[List Name for Layout]]="","relation",IFERROR(VLOOKUP(ListLayout[[#This Row],[Relation]],RelationTable[[Display]:[RELID]],2,0),""))</f>
        <v>800813</v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5" t="s">
        <v>1196</v>
      </c>
      <c r="BD7" s="65"/>
      <c r="BE7" s="65"/>
    </row>
    <row r="8" spans="1:57" x14ac:dyDescent="0.25">
      <c r="A8" s="6" t="str">
        <f>'Table Seed Map'!$A$24&amp;"-"&amp;COUNTA($B$1:ResourceList[[#This Row],[Resource Name]])-1</f>
        <v>Resource Lists-6</v>
      </c>
      <c r="B8" s="1" t="s">
        <v>846</v>
      </c>
      <c r="C8" s="6" t="str">
        <f>ResourceList[[#This Row],[Resource Name]]&amp;"/"&amp;ResourceList[[#This Row],[Name]]</f>
        <v>PartnerTask/DismissedTasks</v>
      </c>
      <c r="D8" s="15">
        <f>IF(ResourceList[[#This Row],[Resource Name]]="","id",COUNTA($B$2:ResourceList[[#This Row],[Resource Name]])+IF(ISNUMBER(VLOOKUP('Table Seed Map'!$A$24,SeedMap[],9,0)),VLOOKUP('Table Seed Map'!$A$24,SeedMap[],9,0),0))</f>
        <v>802206</v>
      </c>
      <c r="E8" s="15">
        <f>IFERROR(VLOOKUP(ResourceList[[#This Row],[Resource Name]],ResourceTable[[RName]:[No]],3,0),"resource")</f>
        <v>800507</v>
      </c>
      <c r="F8" s="13" t="s">
        <v>890</v>
      </c>
      <c r="G8" s="13" t="s">
        <v>988</v>
      </c>
      <c r="H8" s="13" t="s">
        <v>989</v>
      </c>
      <c r="I8" s="65" t="s">
        <v>21</v>
      </c>
      <c r="J8" s="65">
        <v>30</v>
      </c>
      <c r="K8" s="3">
        <f>ResourceList[No]</f>
        <v>802206</v>
      </c>
      <c r="M8" s="61" t="s">
        <v>1066</v>
      </c>
      <c r="N8" s="62">
        <f>VLOOKUP(ListExtras[[#This Row],[List Name]],ResourceList[[ListDisplayName]:[No]],2,0)</f>
        <v>802209</v>
      </c>
      <c r="O8" s="63" t="s">
        <v>1055</v>
      </c>
      <c r="P8" s="63"/>
      <c r="Q8" s="63"/>
      <c r="R8" s="63"/>
      <c r="S8" s="63"/>
      <c r="T8" s="62" t="str">
        <f>'Table Seed Map'!$A$25&amp;"-"&amp;COUNT($W$1:ListExtras[[#This Row],[Scope ID]])</f>
        <v>List Scopes-6</v>
      </c>
      <c r="U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802306</v>
      </c>
      <c r="V8" s="60">
        <f>IF(ListExtras[[#This Row],[LID]]=0,"resource_list",ListExtras[[#This Row],[LID]])</f>
        <v>802209</v>
      </c>
      <c r="W8" s="60">
        <f>IFERROR(VLOOKUP(ListExtras[[#This Row],[Scope Name]],ResourceScopes[[ScopesDisplayNames]:[No]],2,0),IF(ListExtras[[#This Row],[LID]]=0,"scope",""))</f>
        <v>800705</v>
      </c>
      <c r="X8" s="62" t="str">
        <f>'Table Seed Map'!$A$26&amp;"-"&amp;COUNT($AA$1:ListExtras[[#This Row],[Relation]])</f>
        <v>List Relation-5</v>
      </c>
      <c r="Y8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8" s="60">
        <f>IF(ListExtras[[#This Row],[LID]]=0,"resource_list",ListExtras[[#This Row],[LID]])</f>
        <v>802209</v>
      </c>
      <c r="AA8" s="60" t="str">
        <f>IFERROR(VLOOKUP(ListExtras[[#This Row],[Relation Name]],RelationTable[[Display]:[RELID]],2,0),IF(ListExtras[[#This Row],[LID]]=0,"relation",""))</f>
        <v/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61" t="s">
        <v>961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802606</v>
      </c>
      <c r="AI8" s="60">
        <f>IFERROR(VLOOKUP(ListSearch[[#This Row],[List Name for Search]],ResourceList[[ListDisplayName]:[No]],2,0),"resource_list")</f>
        <v>802203</v>
      </c>
      <c r="AJ8" s="65" t="s">
        <v>24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5"/>
      <c r="AP8" s="65"/>
      <c r="AQ8" s="65"/>
      <c r="AR8" s="65"/>
      <c r="AT8" s="60" t="str">
        <f>'Table Seed Map'!$A$27&amp;"-"&amp;COUNTA($AV$1:ListLayout[[#This Row],[No]])-2</f>
        <v>List Layout-6</v>
      </c>
      <c r="AU8" s="61" t="s">
        <v>961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802506</v>
      </c>
      <c r="AW8" s="60">
        <f>IFERROR(VLOOKUP(ListLayout[[#This Row],[List Name for Layout]],ResourceList[[ListDisplayName]:[No]],2,0),"resource_list")</f>
        <v>802203</v>
      </c>
      <c r="AX8" s="60" t="s">
        <v>1</v>
      </c>
      <c r="AY8" s="65" t="s">
        <v>23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5"/>
      <c r="BD8" s="65"/>
      <c r="BE8" s="65"/>
    </row>
    <row r="9" spans="1:57" x14ac:dyDescent="0.25">
      <c r="A9" s="6" t="str">
        <f>'Table Seed Map'!$A$24&amp;"-"&amp;COUNTA($B$1:ResourceList[[#This Row],[Resource Name]])-1</f>
        <v>Resource Lists-7</v>
      </c>
      <c r="B9" s="1" t="s">
        <v>846</v>
      </c>
      <c r="C9" s="6" t="str">
        <f>ResourceList[[#This Row],[Resource Name]]&amp;"/"&amp;ResourceList[[#This Row],[Name]]</f>
        <v>PartnerTask/ReturnedTasks</v>
      </c>
      <c r="D9" s="15">
        <f>IF(ResourceList[[#This Row],[Resource Name]]="","id",COUNTA($B$2:ResourceList[[#This Row],[Resource Name]])+IF(ISNUMBER(VLOOKUP('Table Seed Map'!$A$24,SeedMap[],9,0)),VLOOKUP('Table Seed Map'!$A$24,SeedMap[],9,0),0))</f>
        <v>802207</v>
      </c>
      <c r="E9" s="15">
        <f>IFERROR(VLOOKUP(ResourceList[[#This Row],[Resource Name]],ResourceTable[[RName]:[No]],3,0),"resource")</f>
        <v>800507</v>
      </c>
      <c r="F9" s="13" t="s">
        <v>891</v>
      </c>
      <c r="G9" s="13" t="s">
        <v>990</v>
      </c>
      <c r="H9" s="13" t="s">
        <v>991</v>
      </c>
      <c r="I9" s="65" t="s">
        <v>21</v>
      </c>
      <c r="J9" s="65">
        <v>30</v>
      </c>
      <c r="K9" s="3">
        <f>ResourceList[No]</f>
        <v>802207</v>
      </c>
      <c r="M9" s="61" t="s">
        <v>1093</v>
      </c>
      <c r="N9" s="62">
        <f>VLOOKUP(ListExtras[[#This Row],[List Name]],ResourceList[[ListDisplayName]:[No]],2,0)</f>
        <v>802210</v>
      </c>
      <c r="O9" s="63"/>
      <c r="P9" s="63" t="s">
        <v>1061</v>
      </c>
      <c r="Q9" s="63"/>
      <c r="R9" s="63"/>
      <c r="S9" s="63"/>
      <c r="T9" s="62" t="str">
        <f>'Table Seed Map'!$A$25&amp;"-"&amp;COUNT($W$1:ListExtras[[#This Row],[Scope ID]])</f>
        <v>List Scopes-6</v>
      </c>
      <c r="U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60">
        <f>IF(ListExtras[[#This Row],[LID]]=0,"resource_list",ListExtras[[#This Row],[LID]])</f>
        <v>802210</v>
      </c>
      <c r="W9" s="60" t="str">
        <f>IFERROR(VLOOKUP(ListExtras[[#This Row],[Scope Name]],ResourceScopes[[ScopesDisplayNames]:[No]],2,0),IF(ListExtras[[#This Row],[LID]]=0,"scope",""))</f>
        <v/>
      </c>
      <c r="X9" s="62" t="str">
        <f>'Table Seed Map'!$A$26&amp;"-"&amp;COUNT($AA$1:ListExtras[[#This Row],[Relation]])</f>
        <v>List Relation-6</v>
      </c>
      <c r="Y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802406</v>
      </c>
      <c r="Z9" s="60">
        <f>IF(ListExtras[[#This Row],[LID]]=0,"resource_list",ListExtras[[#This Row],[LID]])</f>
        <v>802210</v>
      </c>
      <c r="AA9" s="60">
        <f>IFERROR(VLOOKUP(ListExtras[[#This Row],[Relation Name]],RelationTable[[Display]:[RELID]],2,0),IF(ListExtras[[#This Row],[LID]]=0,"relation",""))</f>
        <v>800810</v>
      </c>
      <c r="AB9" s="60" t="str">
        <f>IFERROR(VLOOKUP(ListExtras[[#This Row],[R1 Name]],RelationTable[[Display]:[RELID]],2,0),IF(ListExtras[[#This Row],[LID]]=0,"nest_relation1",""))</f>
        <v/>
      </c>
      <c r="AC9" s="60" t="str">
        <f>IFERROR(VLOOKUP(ListExtras[[#This Row],[R2 Name]],RelationTable[[Display]:[RELID]],2,0),IF(ListExtras[[#This Row],[LID]]=0,"nest_relation2",""))</f>
        <v/>
      </c>
      <c r="AD9" s="6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61" t="s">
        <v>1156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802607</v>
      </c>
      <c r="AI9" s="60">
        <f>IFERROR(VLOOKUP(ListSearch[[#This Row],[List Name for Search]],ResourceList[[ListDisplayName]:[No]],2,0),"resource_list")</f>
        <v>802204</v>
      </c>
      <c r="AJ9" s="65" t="s">
        <v>23</v>
      </c>
      <c r="AK9" s="60">
        <f>IF(ListSearch[[#This Row],[List Name for Search]]="","relation",IFERROR(VLOOKUP(ListSearch[[#This Row],[Relation]],RelationTable[[Display]:[RELID]],2,0),""))</f>
        <v>800814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5" t="s">
        <v>1148</v>
      </c>
      <c r="AP9" s="65"/>
      <c r="AQ9" s="65"/>
      <c r="AR9" s="65"/>
      <c r="AT9" s="60" t="str">
        <f>'Table Seed Map'!$A$27&amp;"-"&amp;COUNTA($AV$1:ListLayout[[#This Row],[No]])-2</f>
        <v>List Layout-7</v>
      </c>
      <c r="AU9" s="61" t="s">
        <v>961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802507</v>
      </c>
      <c r="AW9" s="60">
        <f>IFERROR(VLOOKUP(ListLayout[[#This Row],[List Name for Layout]],ResourceList[[ListDisplayName]:[No]],2,0),"resource_list")</f>
        <v>802203</v>
      </c>
      <c r="AX9" s="60" t="s">
        <v>901</v>
      </c>
      <c r="AY9" s="65" t="s">
        <v>809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5"/>
      <c r="BD9" s="65"/>
      <c r="BE9" s="65"/>
    </row>
    <row r="10" spans="1:57" x14ac:dyDescent="0.25">
      <c r="A10" s="6" t="str">
        <f>'Table Seed Map'!$A$24&amp;"-"&amp;COUNTA($B$1:ResourceList[[#This Row],[Resource Name]])-1</f>
        <v>Resource Lists-8</v>
      </c>
      <c r="B10" s="1" t="s">
        <v>846</v>
      </c>
      <c r="C10" s="6" t="str">
        <f>ResourceList[[#This Row],[Resource Name]]&amp;"/"&amp;ResourceList[[#This Row],[Name]]</f>
        <v>PartnerTask/CompletedTasks</v>
      </c>
      <c r="D10" s="15">
        <f>IF(ResourceList[[#This Row],[Resource Name]]="","id",COUNTA($B$2:ResourceList[[#This Row],[Resource Name]])+IF(ISNUMBER(VLOOKUP('Table Seed Map'!$A$24,SeedMap[],9,0)),VLOOKUP('Table Seed Map'!$A$24,SeedMap[],9,0),0))</f>
        <v>802208</v>
      </c>
      <c r="E10" s="15">
        <f>IFERROR(VLOOKUP(ResourceList[[#This Row],[Resource Name]],ResourceTable[[RName]:[No]],3,0),"resource")</f>
        <v>800507</v>
      </c>
      <c r="F10" s="13" t="s">
        <v>889</v>
      </c>
      <c r="G10" s="13" t="s">
        <v>992</v>
      </c>
      <c r="H10" s="13" t="s">
        <v>993</v>
      </c>
      <c r="I10" s="65" t="s">
        <v>21</v>
      </c>
      <c r="J10" s="65">
        <v>30</v>
      </c>
      <c r="K10" s="3">
        <f>ResourceList[No]</f>
        <v>802208</v>
      </c>
      <c r="M10" s="61" t="s">
        <v>1100</v>
      </c>
      <c r="N10" s="62">
        <f>VLOOKUP(ListExtras[[#This Row],[List Name]],ResourceList[[ListDisplayName]:[No]],2,0)</f>
        <v>802211</v>
      </c>
      <c r="O10" s="63"/>
      <c r="P10" s="63" t="s">
        <v>987</v>
      </c>
      <c r="Q10" s="63"/>
      <c r="R10" s="63"/>
      <c r="S10" s="63"/>
      <c r="T10" s="62" t="str">
        <f>'Table Seed Map'!$A$25&amp;"-"&amp;COUNT($W$1:ListExtras[[#This Row],[Scope ID]])</f>
        <v>List Scopes-6</v>
      </c>
      <c r="U10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60">
        <f>IF(ListExtras[[#This Row],[LID]]=0,"resource_list",ListExtras[[#This Row],[LID]])</f>
        <v>802211</v>
      </c>
      <c r="W10" s="60" t="str">
        <f>IFERROR(VLOOKUP(ListExtras[[#This Row],[Scope Name]],ResourceScopes[[ScopesDisplayNames]:[No]],2,0),IF(ListExtras[[#This Row],[LID]]=0,"scope",""))</f>
        <v/>
      </c>
      <c r="X10" s="62" t="str">
        <f>'Table Seed Map'!$A$26&amp;"-"&amp;COUNT($AA$1:ListExtras[[#This Row],[Relation]])</f>
        <v>List Relation-7</v>
      </c>
      <c r="Y1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802407</v>
      </c>
      <c r="Z10" s="60">
        <f>IF(ListExtras[[#This Row],[LID]]=0,"resource_list",ListExtras[[#This Row],[LID]])</f>
        <v>802211</v>
      </c>
      <c r="AA10" s="60">
        <f>IFERROR(VLOOKUP(ListExtras[[#This Row],[Relation Name]],RelationTable[[Display]:[RELID]],2,0),IF(ListExtras[[#This Row],[LID]]=0,"relation",""))</f>
        <v>800809</v>
      </c>
      <c r="AB10" s="60" t="str">
        <f>IFERROR(VLOOKUP(ListExtras[[#This Row],[R1 Name]],RelationTable[[Display]:[RELID]],2,0),IF(ListExtras[[#This Row],[LID]]=0,"nest_relation1",""))</f>
        <v/>
      </c>
      <c r="AC10" s="60" t="str">
        <f>IFERROR(VLOOKUP(ListExtras[[#This Row],[R2 Name]],RelationTable[[Display]:[RELID]],2,0),IF(ListExtras[[#This Row],[LID]]=0,"nest_relation2",""))</f>
        <v/>
      </c>
      <c r="AD10" s="6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61" t="s">
        <v>1156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802608</v>
      </c>
      <c r="AI10" s="60">
        <f>IFERROR(VLOOKUP(ListSearch[[#This Row],[List Name for Search]],ResourceList[[ListDisplayName]:[No]],2,0),"resource_list")</f>
        <v>802204</v>
      </c>
      <c r="AJ10" s="65" t="s">
        <v>809</v>
      </c>
      <c r="AK10" s="60">
        <f>IF(ListSearch[[#This Row],[List Name for Search]]="","relation",IFERROR(VLOOKUP(ListSearch[[#This Row],[Relation]],RelationTable[[Display]:[RELID]],2,0),""))</f>
        <v>800814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5" t="s">
        <v>1148</v>
      </c>
      <c r="AP10" s="65"/>
      <c r="AQ10" s="65"/>
      <c r="AR10" s="65"/>
      <c r="AT10" s="60" t="str">
        <f>'Table Seed Map'!$A$27&amp;"-"&amp;COUNTA($AV$1:ListLayout[[#This Row],[No]])-2</f>
        <v>List Layout-8</v>
      </c>
      <c r="AU10" s="61" t="s">
        <v>1156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802508</v>
      </c>
      <c r="AW10" s="60">
        <f>IFERROR(VLOOKUP(ListLayout[[#This Row],[List Name for Layout]],ResourceList[[ListDisplayName]:[No]],2,0),"resource_list")</f>
        <v>802204</v>
      </c>
      <c r="AX10" s="60" t="s">
        <v>1</v>
      </c>
      <c r="AY10" s="65" t="s">
        <v>23</v>
      </c>
      <c r="AZ10" s="60">
        <f>IF(ListLayout[[#This Row],[List Name for Layout]]="","relation",IFERROR(VLOOKUP(ListLayout[[#This Row],[Relation]],RelationTable[[Display]:[RELID]],2,0),""))</f>
        <v>800814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5" t="s">
        <v>1148</v>
      </c>
      <c r="BD10" s="65"/>
      <c r="BE10" s="65"/>
    </row>
    <row r="11" spans="1:57" x14ac:dyDescent="0.25">
      <c r="A11" s="62" t="str">
        <f>'Table Seed Map'!$A$24&amp;"-"&amp;COUNTA($B$1:ResourceList[[#This Row],[Resource Name]])-1</f>
        <v>Resource Lists-9</v>
      </c>
      <c r="B11" s="1" t="s">
        <v>846</v>
      </c>
      <c r="C11" s="62" t="str">
        <f>ResourceList[[#This Row],[Resource Name]]&amp;"/"&amp;ResourceList[[#This Row],[Name]]</f>
        <v>PartnerTask/RecentlyCompletedTasks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802209</v>
      </c>
      <c r="E11" s="60">
        <f>IFERROR(VLOOKUP(ResourceList[[#This Row],[Resource Name]],ResourceTable[[RName]:[No]],3,0),"resource")</f>
        <v>800507</v>
      </c>
      <c r="F11" s="65" t="s">
        <v>1062</v>
      </c>
      <c r="G11" s="65" t="s">
        <v>1063</v>
      </c>
      <c r="H11" s="65" t="s">
        <v>1069</v>
      </c>
      <c r="I11" s="65" t="s">
        <v>1018</v>
      </c>
      <c r="J11" s="65">
        <v>15</v>
      </c>
      <c r="K11" s="64">
        <f>ResourceList[No]</f>
        <v>802209</v>
      </c>
      <c r="M11" s="61" t="s">
        <v>983</v>
      </c>
      <c r="N11" s="62">
        <f>VLOOKUP(ListExtras[[#This Row],[List Name]],ResourceList[[ListDisplayName]:[No]],2,0)</f>
        <v>802205</v>
      </c>
      <c r="O11" s="63"/>
      <c r="P11" s="1" t="s">
        <v>1148</v>
      </c>
      <c r="Q11" s="63"/>
      <c r="R11" s="63"/>
      <c r="S11" s="63"/>
      <c r="T11" s="62" t="str">
        <f>'Table Seed Map'!$A$25&amp;"-"&amp;COUNT($W$1:ListExtras[[#This Row],[Scope ID]])</f>
        <v>List Scopes-6</v>
      </c>
      <c r="U11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60">
        <f>IF(ListExtras[[#This Row],[LID]]=0,"resource_list",ListExtras[[#This Row],[LID]])</f>
        <v>802205</v>
      </c>
      <c r="W11" s="60" t="str">
        <f>IFERROR(VLOOKUP(ListExtras[[#This Row],[Scope Name]],ResourceScopes[[ScopesDisplayNames]:[No]],2,0),IF(ListExtras[[#This Row],[LID]]=0,"scope",""))</f>
        <v/>
      </c>
      <c r="X11" s="62" t="str">
        <f>'Table Seed Map'!$A$26&amp;"-"&amp;COUNT($AA$1:ListExtras[[#This Row],[Relation]])</f>
        <v>List Relation-8</v>
      </c>
      <c r="Y1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802408</v>
      </c>
      <c r="Z11" s="60">
        <f>IF(ListExtras[[#This Row],[LID]]=0,"resource_list",ListExtras[[#This Row],[LID]])</f>
        <v>802205</v>
      </c>
      <c r="AA11" s="60">
        <f>IFERROR(VLOOKUP(ListExtras[[#This Row],[Relation Name]],RelationTable[[Display]:[RELID]],2,0),IF(ListExtras[[#This Row],[LID]]=0,"relation",""))</f>
        <v>800814</v>
      </c>
      <c r="AB11" s="60" t="str">
        <f>IFERROR(VLOOKUP(ListExtras[[#This Row],[R1 Name]],RelationTable[[Display]:[RELID]],2,0),IF(ListExtras[[#This Row],[LID]]=0,"nest_relation1",""))</f>
        <v/>
      </c>
      <c r="AC11" s="60" t="str">
        <f>IFERROR(VLOOKUP(ListExtras[[#This Row],[R2 Name]],RelationTable[[Display]:[RELID]],2,0),IF(ListExtras[[#This Row],[LID]]=0,"nest_relation2",""))</f>
        <v/>
      </c>
      <c r="AD11" s="60" t="str">
        <f>IFERROR(VLOOKUP(ListExtras[[#This Row],[R3 Name]],RelationTable[[Display]:[RELID]],2,0),IF(ListExtras[[#This Row],[LID]]=0,"nest_relation3",""))</f>
        <v/>
      </c>
      <c r="AF11" s="15" t="str">
        <f>'Table Seed Map'!$A$28&amp;"-"&amp;COUNTA($AH$1:ListSearch[[#This Row],[No]])-2</f>
        <v>List Search-9</v>
      </c>
      <c r="AG11" s="2" t="s">
        <v>983</v>
      </c>
      <c r="AH11" s="15">
        <f>IF(ListSearch[[#This Row],[List Name for Search]]="","id",-1+COUNTA($AG$1:ListSearch[[#This Row],[List Name for Search]])+IF(ISNUMBER(VLOOKUP('Table Seed Map'!$A$28,SeedMap[],9,0)),VLOOKUP('Table Seed Map'!$A$28,SeedMap[],9,0),0))</f>
        <v>802609</v>
      </c>
      <c r="AI11" s="15">
        <f>IFERROR(VLOOKUP(ListSearch[[#This Row],[List Name for Search]],ResourceList[[ListDisplayName]:[No]],2,0),"resource_list")</f>
        <v>802205</v>
      </c>
      <c r="AJ11" s="13" t="s">
        <v>23</v>
      </c>
      <c r="AK11" s="15">
        <f>IF(ListSearch[[#This Row],[List Name for Search]]="","relation",IFERROR(VLOOKUP(ListSearch[[#This Row],[Relation]],RelationTable[[Display]:[RELID]],2,0),""))</f>
        <v>800809</v>
      </c>
      <c r="AL11" s="15" t="str">
        <f>IF(ListSearch[[#This Row],[List Name for Search]]="","nest_relation1",IFERROR(VLOOKUP(ListSearch[[#This Row],[Relation 1]],RelationTable[[Display]:[RELID]],2,0),""))</f>
        <v/>
      </c>
      <c r="AM11" s="15" t="str">
        <f>IF(ListSearch[[#This Row],[List Name for Search]]="","nest_relation2",IFERROR(VLOOKUP(ListSearch[[#This Row],[Relation 2]],RelationTable[[Display]:[RELID]],2,0),""))</f>
        <v/>
      </c>
      <c r="AN11" s="15" t="str">
        <f>IF(ListSearch[[#This Row],[List Name for Search]]="","nest_relation3",IFERROR(VLOOKUP(ListSearch[[#This Row],[Relation 3]],RelationTable[[Display]:[RELID]],2,0),""))</f>
        <v/>
      </c>
      <c r="AO11" s="13" t="s">
        <v>987</v>
      </c>
      <c r="AP11" s="13"/>
      <c r="AQ11" s="13"/>
      <c r="AR11" s="13"/>
      <c r="AT11" s="60" t="str">
        <f>'Table Seed Map'!$A$27&amp;"-"&amp;COUNTA($AV$1:ListLayout[[#This Row],[No]])-2</f>
        <v>List Layout-9</v>
      </c>
      <c r="AU11" s="2" t="s">
        <v>983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802509</v>
      </c>
      <c r="AW11" s="60">
        <f>IFERROR(VLOOKUP(ListLayout[[#This Row],[List Name for Layout]],ResourceList[[ListDisplayName]:[No]],2,0),"resource_list")</f>
        <v>802205</v>
      </c>
      <c r="AX11" s="60" t="s">
        <v>1126</v>
      </c>
      <c r="AY11" s="65" t="s">
        <v>23</v>
      </c>
      <c r="AZ11" s="60">
        <f>IF(ListLayout[[#This Row],[List Name for Layout]]="","relation",IFERROR(VLOOKUP(ListLayout[[#This Row],[Relation]],RelationTable[[Display]:[RELID]],2,0),""))</f>
        <v>800814</v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13" t="s">
        <v>1148</v>
      </c>
      <c r="BD11" s="65"/>
      <c r="BE11" s="65"/>
    </row>
    <row r="12" spans="1:57" x14ac:dyDescent="0.25">
      <c r="A12" s="62" t="str">
        <f>'Table Seed Map'!$A$24&amp;"-"&amp;COUNTA($B$1:ResourceList[[#This Row],[Resource Name]])-1</f>
        <v>Resource Lists-10</v>
      </c>
      <c r="B12" s="63" t="s">
        <v>846</v>
      </c>
      <c r="C12" s="62" t="str">
        <f>ResourceList[[#This Row],[Resource Name]]&amp;"/"&amp;ResourceList[[#This Row],[Name]]</f>
        <v>PartnerTask/TaskPartnerProgress</v>
      </c>
      <c r="D12" s="60">
        <f>IF(ResourceList[[#This Row],[Resource Name]]="","id",COUNTA($B$2:ResourceList[[#This Row],[Resource Name]])+IF(ISNUMBER(VLOOKUP('Table Seed Map'!$A$24,SeedMap[],9,0)),VLOOKUP('Table Seed Map'!$A$24,SeedMap[],9,0),0))</f>
        <v>802210</v>
      </c>
      <c r="E12" s="60">
        <f>IFERROR(VLOOKUP(ResourceList[[#This Row],[Resource Name]],ResourceTable[[RName]:[No]],3,0),"resource")</f>
        <v>800507</v>
      </c>
      <c r="F12" s="65" t="s">
        <v>1088</v>
      </c>
      <c r="G12" s="65" t="s">
        <v>1091</v>
      </c>
      <c r="H12" s="65" t="s">
        <v>1092</v>
      </c>
      <c r="I12" s="65" t="s">
        <v>1077</v>
      </c>
      <c r="J12" s="65">
        <v>30</v>
      </c>
      <c r="K12" s="64">
        <f>ResourceList[No]</f>
        <v>802210</v>
      </c>
      <c r="M12" s="61" t="s">
        <v>996</v>
      </c>
      <c r="N12" s="62">
        <f>VLOOKUP(ListExtras[[#This Row],[List Name]],ResourceList[[ListDisplayName]:[No]],2,0)</f>
        <v>802208</v>
      </c>
      <c r="O12" s="63"/>
      <c r="P12" s="1" t="s">
        <v>1148</v>
      </c>
      <c r="Q12" s="63"/>
      <c r="R12" s="63"/>
      <c r="S12" s="63"/>
      <c r="T12" s="62" t="str">
        <f>'Table Seed Map'!$A$25&amp;"-"&amp;COUNT($W$1:ListExtras[[#This Row],[Scope ID]])</f>
        <v>List Scopes-6</v>
      </c>
      <c r="U1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2" s="60">
        <f>IF(ListExtras[[#This Row],[LID]]=0,"resource_list",ListExtras[[#This Row],[LID]])</f>
        <v>802208</v>
      </c>
      <c r="W12" s="60" t="str">
        <f>IFERROR(VLOOKUP(ListExtras[[#This Row],[Scope Name]],ResourceScopes[[ScopesDisplayNames]:[No]],2,0),IF(ListExtras[[#This Row],[LID]]=0,"scope",""))</f>
        <v/>
      </c>
      <c r="X12" s="62" t="str">
        <f>'Table Seed Map'!$A$26&amp;"-"&amp;COUNT($AA$1:ListExtras[[#This Row],[Relation]])</f>
        <v>List Relation-9</v>
      </c>
      <c r="Y1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802409</v>
      </c>
      <c r="Z12" s="60">
        <f>IF(ListExtras[[#This Row],[LID]]=0,"resource_list",ListExtras[[#This Row],[LID]])</f>
        <v>802208</v>
      </c>
      <c r="AA12" s="60">
        <f>IFERROR(VLOOKUP(ListExtras[[#This Row],[Relation Name]],RelationTable[[Display]:[RELID]],2,0),IF(ListExtras[[#This Row],[LID]]=0,"relation",""))</f>
        <v>800814</v>
      </c>
      <c r="AB12" s="60" t="str">
        <f>IFERROR(VLOOKUP(ListExtras[[#This Row],[R1 Name]],RelationTable[[Display]:[RELID]],2,0),IF(ListExtras[[#This Row],[LID]]=0,"nest_relation1",""))</f>
        <v/>
      </c>
      <c r="AC12" s="60" t="str">
        <f>IFERROR(VLOOKUP(ListExtras[[#This Row],[R2 Name]],RelationTable[[Display]:[RELID]],2,0),IF(ListExtras[[#This Row],[LID]]=0,"nest_relation2",""))</f>
        <v/>
      </c>
      <c r="AD12" s="60" t="str">
        <f>IFERROR(VLOOKUP(ListExtras[[#This Row],[R3 Name]],RelationTable[[Display]:[RELID]],2,0),IF(ListExtras[[#This Row],[LID]]=0,"nest_relation3",""))</f>
        <v/>
      </c>
      <c r="AF12" s="15" t="str">
        <f>'Table Seed Map'!$A$28&amp;"-"&amp;COUNTA($AH$1:ListSearch[[#This Row],[No]])-2</f>
        <v>List Search-10</v>
      </c>
      <c r="AG12" s="2" t="s">
        <v>983</v>
      </c>
      <c r="AH12" s="15">
        <f>IF(ListSearch[[#This Row],[List Name for Search]]="","id",-1+COUNTA($AG$1:ListSearch[[#This Row],[List Name for Search]])+IF(ISNUMBER(VLOOKUP('Table Seed Map'!$A$28,SeedMap[],9,0)),VLOOKUP('Table Seed Map'!$A$28,SeedMap[],9,0),0))</f>
        <v>802610</v>
      </c>
      <c r="AI12" s="15">
        <f>IFERROR(VLOOKUP(ListSearch[[#This Row],[List Name for Search]],ResourceList[[ListDisplayName]:[No]],2,0),"resource_list")</f>
        <v>802205</v>
      </c>
      <c r="AJ12" s="13" t="s">
        <v>24</v>
      </c>
      <c r="AK12" s="15">
        <f>IF(ListSearch[[#This Row],[List Name for Search]]="","relation",IFERROR(VLOOKUP(ListSearch[[#This Row],[Relation]],RelationTable[[Display]:[RELID]],2,0),""))</f>
        <v>800809</v>
      </c>
      <c r="AL12" s="15" t="str">
        <f>IF(ListSearch[[#This Row],[List Name for Search]]="","nest_relation1",IFERROR(VLOOKUP(ListSearch[[#This Row],[Relation 1]],RelationTable[[Display]:[RELID]],2,0),""))</f>
        <v/>
      </c>
      <c r="AM12" s="15" t="str">
        <f>IF(ListSearch[[#This Row],[List Name for Search]]="","nest_relation2",IFERROR(VLOOKUP(ListSearch[[#This Row],[Relation 2]],RelationTable[[Display]:[RELID]],2,0),""))</f>
        <v/>
      </c>
      <c r="AN12" s="15" t="str">
        <f>IF(ListSearch[[#This Row],[List Name for Search]]="","nest_relation3",IFERROR(VLOOKUP(ListSearch[[#This Row],[Relation 3]],RelationTable[[Display]:[RELID]],2,0),""))</f>
        <v/>
      </c>
      <c r="AO12" s="13" t="s">
        <v>987</v>
      </c>
      <c r="AP12" s="13"/>
      <c r="AQ12" s="13"/>
      <c r="AR12" s="13"/>
      <c r="AT12" s="15" t="str">
        <f>'Table Seed Map'!$A$27&amp;"-"&amp;COUNTA($AV$1:ListLayout[[#This Row],[No]])-2</f>
        <v>List Layout-10</v>
      </c>
      <c r="AU12" s="2" t="s">
        <v>983</v>
      </c>
      <c r="AV12" s="15">
        <f>IF(ListLayout[[#This Row],[List Name for Layout]]="","id",COUNTA($AU$2:ListLayout[[#This Row],[List Name for Layout]])+IF(ISNUMBER(VLOOKUP('Table Seed Map'!$A$27,SeedMap[],9,0)),VLOOKUP('Table Seed Map'!$A$27,SeedMap[],9,0),0))</f>
        <v>802510</v>
      </c>
      <c r="AW12" s="15">
        <f>IFERROR(VLOOKUP(ListLayout[[#This Row],[List Name for Layout]],ResourceList[[ListDisplayName]:[No]],2,0),"resource_list")</f>
        <v>802205</v>
      </c>
      <c r="AX12" s="15" t="s">
        <v>1</v>
      </c>
      <c r="AY12" s="13" t="s">
        <v>23</v>
      </c>
      <c r="AZ12" s="15">
        <f>IF(ListLayout[[#This Row],[List Name for Layout]]="","relation",IFERROR(VLOOKUP(ListLayout[[#This Row],[Relation]],RelationTable[[Display]:[RELID]],2,0),""))</f>
        <v>800809</v>
      </c>
      <c r="BA12" s="15" t="str">
        <f>IF(ListLayout[[#This Row],[List Name for Layout]]="","nest_relation1",IFERROR(VLOOKUP(ListLayout[[#This Row],[Relation 1]],RelationTable[[Display]:[RELID]],2,0),""))</f>
        <v/>
      </c>
      <c r="BB12" s="15" t="str">
        <f>IF(ListLayout[[#This Row],[List Name for Layout]]="","nest_relation2",IFERROR(VLOOKUP(ListLayout[[#This Row],[Relation 2]],RelationTable[[Display]:[RELID]],2,0),""))</f>
        <v/>
      </c>
      <c r="BC12" s="13" t="s">
        <v>987</v>
      </c>
      <c r="BD12" s="13"/>
      <c r="BE12" s="13"/>
    </row>
    <row r="13" spans="1:57" x14ac:dyDescent="0.25">
      <c r="A13" s="62" t="str">
        <f>'Table Seed Map'!$A$24&amp;"-"&amp;COUNTA($B$1:ResourceList[[#This Row],[Resource Name]])-1</f>
        <v>Resource Lists-11</v>
      </c>
      <c r="B13" s="63" t="s">
        <v>846</v>
      </c>
      <c r="C13" s="62" t="str">
        <f>ResourceList[[#This Row],[Resource Name]]&amp;"/"&amp;ResourceList[[#This Row],[Name]]</f>
        <v>PartnerTask/PartnerTaskProgress</v>
      </c>
      <c r="D13" s="60">
        <f>IF(ResourceList[[#This Row],[Resource Name]]="","id",COUNTA($B$2:ResourceList[[#This Row],[Resource Name]])+IF(ISNUMBER(VLOOKUP('Table Seed Map'!$A$24,SeedMap[],9,0)),VLOOKUP('Table Seed Map'!$A$24,SeedMap[],9,0),0))</f>
        <v>802211</v>
      </c>
      <c r="E13" s="60">
        <f>IFERROR(VLOOKUP(ResourceList[[#This Row],[Resource Name]],ResourceTable[[RName]:[No]],3,0),"resource")</f>
        <v>800507</v>
      </c>
      <c r="F13" s="65" t="s">
        <v>1097</v>
      </c>
      <c r="G13" s="65" t="s">
        <v>1098</v>
      </c>
      <c r="H13" s="65" t="s">
        <v>1099</v>
      </c>
      <c r="I13" s="65" t="s">
        <v>1018</v>
      </c>
      <c r="J13" s="65">
        <v>30</v>
      </c>
      <c r="K13" s="64">
        <f>ResourceList[No]</f>
        <v>802211</v>
      </c>
      <c r="M13" s="61" t="s">
        <v>1100</v>
      </c>
      <c r="N13" s="62">
        <f>VLOOKUP(ListExtras[[#This Row],[List Name]],ResourceList[[ListDisplayName]:[No]],2,0)</f>
        <v>802211</v>
      </c>
      <c r="O13" s="63"/>
      <c r="P13" s="1" t="s">
        <v>1148</v>
      </c>
      <c r="Q13" s="63"/>
      <c r="R13" s="63"/>
      <c r="S13" s="63"/>
      <c r="T13" s="62" t="str">
        <f>'Table Seed Map'!$A$25&amp;"-"&amp;COUNT($W$1:ListExtras[[#This Row],[Scope ID]])</f>
        <v>List Scopes-6</v>
      </c>
      <c r="U1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60">
        <f>IF(ListExtras[[#This Row],[LID]]=0,"resource_list",ListExtras[[#This Row],[LID]])</f>
        <v>802211</v>
      </c>
      <c r="W13" s="60" t="str">
        <f>IFERROR(VLOOKUP(ListExtras[[#This Row],[Scope Name]],ResourceScopes[[ScopesDisplayNames]:[No]],2,0),IF(ListExtras[[#This Row],[LID]]=0,"scope",""))</f>
        <v/>
      </c>
      <c r="X13" s="62" t="str">
        <f>'Table Seed Map'!$A$26&amp;"-"&amp;COUNT($AA$1:ListExtras[[#This Row],[Relation]])</f>
        <v>List Relation-10</v>
      </c>
      <c r="Y13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802410</v>
      </c>
      <c r="Z13" s="60">
        <f>IF(ListExtras[[#This Row],[LID]]=0,"resource_list",ListExtras[[#This Row],[LID]])</f>
        <v>802211</v>
      </c>
      <c r="AA13" s="60">
        <f>IFERROR(VLOOKUP(ListExtras[[#This Row],[Relation Name]],RelationTable[[Display]:[RELID]],2,0),IF(ListExtras[[#This Row],[LID]]=0,"relation",""))</f>
        <v>800814</v>
      </c>
      <c r="AB13" s="60" t="str">
        <f>IFERROR(VLOOKUP(ListExtras[[#This Row],[R1 Name]],RelationTable[[Display]:[RELID]],2,0),IF(ListExtras[[#This Row],[LID]]=0,"nest_relation1",""))</f>
        <v/>
      </c>
      <c r="AC13" s="60" t="str">
        <f>IFERROR(VLOOKUP(ListExtras[[#This Row],[R2 Name]],RelationTable[[Display]:[RELID]],2,0),IF(ListExtras[[#This Row],[LID]]=0,"nest_relation2",""))</f>
        <v/>
      </c>
      <c r="AD13" s="6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2" t="s">
        <v>983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802611</v>
      </c>
      <c r="AI13" s="60">
        <f>IFERROR(VLOOKUP(ListSearch[[#This Row],[List Name for Search]],ResourceList[[ListDisplayName]:[No]],2,0),"resource_list")</f>
        <v>802205</v>
      </c>
      <c r="AJ13" s="13" t="s">
        <v>1111</v>
      </c>
      <c r="AK13" s="60" t="str">
        <f>IF(ListSearch[[#This Row],[List Name for Search]]="","relation",IFERROR(VLOOKUP(ListSearch[[#This Row],[Relation]],RelationTable[[Display]:[RELID]],2,0),""))</f>
        <v/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5"/>
      <c r="AP13" s="65"/>
      <c r="AQ13" s="65"/>
      <c r="AR13" s="65"/>
      <c r="AT13" s="15" t="str">
        <f>'Table Seed Map'!$A$27&amp;"-"&amp;COUNTA($AV$1:ListLayout[[#This Row],[No]])-2</f>
        <v>List Layout-11</v>
      </c>
      <c r="AU13" s="2" t="s">
        <v>994</v>
      </c>
      <c r="AV13" s="15">
        <f>IF(ListLayout[[#This Row],[List Name for Layout]]="","id",COUNTA($AU$2:ListLayout[[#This Row],[List Name for Layout]])+IF(ISNUMBER(VLOOKUP('Table Seed Map'!$A$27,SeedMap[],9,0)),VLOOKUP('Table Seed Map'!$A$27,SeedMap[],9,0),0))</f>
        <v>802511</v>
      </c>
      <c r="AW13" s="15">
        <f>IFERROR(VLOOKUP(ListLayout[[#This Row],[List Name for Layout]],ResourceList[[ListDisplayName]:[No]],2,0),"resource_list")</f>
        <v>802206</v>
      </c>
      <c r="AX13" s="15" t="s">
        <v>1</v>
      </c>
      <c r="AY13" s="13" t="s">
        <v>23</v>
      </c>
      <c r="AZ13" s="15">
        <f>IF(ListLayout[[#This Row],[List Name for Layout]]="","relation",IFERROR(VLOOKUP(ListLayout[[#This Row],[Relation]],RelationTable[[Display]:[RELID]],2,0),""))</f>
        <v>800809</v>
      </c>
      <c r="BA13" s="15" t="str">
        <f>IF(ListLayout[[#This Row],[List Name for Layout]]="","nest_relation1",IFERROR(VLOOKUP(ListLayout[[#This Row],[Relation 1]],RelationTable[[Display]:[RELID]],2,0),""))</f>
        <v/>
      </c>
      <c r="BB13" s="15" t="str">
        <f>IF(ListLayout[[#This Row],[List Name for Layout]]="","nest_relation2",IFERROR(VLOOKUP(ListLayout[[#This Row],[Relation 2]],RelationTable[[Display]:[RELID]],2,0),""))</f>
        <v/>
      </c>
      <c r="BC13" s="13" t="s">
        <v>987</v>
      </c>
      <c r="BD13" s="13"/>
      <c r="BE13" s="13"/>
    </row>
    <row r="14" spans="1:57" x14ac:dyDescent="0.25">
      <c r="A14" s="62" t="str">
        <f>'Table Seed Map'!$A$24&amp;"-"&amp;COUNTA($B$1:ResourceList[[#This Row],[Resource Name]])-1</f>
        <v>Resource Lists-12</v>
      </c>
      <c r="B14" s="63" t="s">
        <v>1126</v>
      </c>
      <c r="C14" s="62" t="str">
        <f>ResourceList[[#This Row],[Resource Name]]&amp;"/"&amp;ResourceList[[#This Row],[Name]]</f>
        <v>Category/CategoryList</v>
      </c>
      <c r="D14" s="60">
        <f>IF(ResourceList[[#This Row],[Resource Name]]="","id",COUNTA($B$2:ResourceList[[#This Row],[Resource Name]])+IF(ISNUMBER(VLOOKUP('Table Seed Map'!$A$24,SeedMap[],9,0)),VLOOKUP('Table Seed Map'!$A$24,SeedMap[],9,0),0))</f>
        <v>802212</v>
      </c>
      <c r="E14" s="60">
        <f>IFERROR(VLOOKUP(ResourceList[[#This Row],[Resource Name]],ResourceTable[[RName]:[No]],3,0),"resource")</f>
        <v>800503</v>
      </c>
      <c r="F14" s="65" t="s">
        <v>1145</v>
      </c>
      <c r="G14" s="65" t="s">
        <v>1146</v>
      </c>
      <c r="H14" s="65" t="s">
        <v>1128</v>
      </c>
      <c r="I14" s="65" t="s">
        <v>23</v>
      </c>
      <c r="J14" s="65">
        <v>30</v>
      </c>
      <c r="K14" s="64">
        <f>ResourceList[No]</f>
        <v>802212</v>
      </c>
      <c r="M14" s="61" t="s">
        <v>1162</v>
      </c>
      <c r="N14" s="62">
        <f>VLOOKUP(ListExtras[[#This Row],[List Name]],ResourceList[[ListDisplayName]:[No]],2,0)</f>
        <v>802213</v>
      </c>
      <c r="O14" s="63" t="s">
        <v>1185</v>
      </c>
      <c r="P14" s="63"/>
      <c r="Q14" s="63"/>
      <c r="R14" s="63"/>
      <c r="S14" s="63"/>
      <c r="T14" s="62" t="str">
        <f>'Table Seed Map'!$A$25&amp;"-"&amp;COUNT($W$1:ListExtras[[#This Row],[Scope ID]])</f>
        <v>List Scopes-7</v>
      </c>
      <c r="U14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802307</v>
      </c>
      <c r="V14" s="60">
        <f>IF(ListExtras[[#This Row],[LID]]=0,"resource_list",ListExtras[[#This Row],[LID]])</f>
        <v>802213</v>
      </c>
      <c r="W14" s="60">
        <f>IFERROR(VLOOKUP(ListExtras[[#This Row],[Scope Name]],ResourceScopes[[ScopesDisplayNames]:[No]],2,0),IF(ListExtras[[#This Row],[LID]]=0,"scope",""))</f>
        <v>800707</v>
      </c>
      <c r="X14" s="62" t="str">
        <f>'Table Seed Map'!$A$26&amp;"-"&amp;COUNT($AA$1:ListExtras[[#This Row],[Relation]])</f>
        <v>List Relation-10</v>
      </c>
      <c r="Y14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60">
        <f>IF(ListExtras[[#This Row],[LID]]=0,"resource_list",ListExtras[[#This Row],[LID]])</f>
        <v>802213</v>
      </c>
      <c r="AA14" s="60" t="str">
        <f>IFERROR(VLOOKUP(ListExtras[[#This Row],[Relation Name]],RelationTable[[Display]:[RELID]],2,0),IF(ListExtras[[#This Row],[LID]]=0,"relation",""))</f>
        <v/>
      </c>
      <c r="AB14" s="60" t="str">
        <f>IFERROR(VLOOKUP(ListExtras[[#This Row],[R1 Name]],RelationTable[[Display]:[RELID]],2,0),IF(ListExtras[[#This Row],[LID]]=0,"nest_relation1",""))</f>
        <v/>
      </c>
      <c r="AC14" s="60" t="str">
        <f>IFERROR(VLOOKUP(ListExtras[[#This Row],[R2 Name]],RelationTable[[Display]:[RELID]],2,0),IF(ListExtras[[#This Row],[LID]]=0,"nest_relation2",""))</f>
        <v/>
      </c>
      <c r="AD14" s="60" t="str">
        <f>IFERROR(VLOOKUP(ListExtras[[#This Row],[R3 Name]],RelationTable[[Display]:[RELID]],2,0),IF(ListExtras[[#This Row],[LID]]=0,"nest_relation3",""))</f>
        <v/>
      </c>
      <c r="AF14" s="15" t="str">
        <f>'Table Seed Map'!$A$28&amp;"-"&amp;COUNTA($AH$1:ListSearch[[#This Row],[No]])-2</f>
        <v>List Search-12</v>
      </c>
      <c r="AG14" s="2" t="s">
        <v>994</v>
      </c>
      <c r="AH14" s="15">
        <f>IF(ListSearch[[#This Row],[List Name for Search]]="","id",-1+COUNTA($AG$1:ListSearch[[#This Row],[List Name for Search]])+IF(ISNUMBER(VLOOKUP('Table Seed Map'!$A$28,SeedMap[],9,0)),VLOOKUP('Table Seed Map'!$A$28,SeedMap[],9,0),0))</f>
        <v>802612</v>
      </c>
      <c r="AI14" s="15">
        <f>IFERROR(VLOOKUP(ListSearch[[#This Row],[List Name for Search]],ResourceList[[ListDisplayName]:[No]],2,0),"resource_list")</f>
        <v>802206</v>
      </c>
      <c r="AJ14" s="13" t="s">
        <v>23</v>
      </c>
      <c r="AK14" s="15">
        <f>IF(ListSearch[[#This Row],[List Name for Search]]="","relation",IFERROR(VLOOKUP(ListSearch[[#This Row],[Relation]],RelationTable[[Display]:[RELID]],2,0),""))</f>
        <v>800809</v>
      </c>
      <c r="AL14" s="15" t="str">
        <f>IF(ListSearch[[#This Row],[List Name for Search]]="","nest_relation1",IFERROR(VLOOKUP(ListSearch[[#This Row],[Relation 1]],RelationTable[[Display]:[RELID]],2,0),""))</f>
        <v/>
      </c>
      <c r="AM14" s="15" t="str">
        <f>IF(ListSearch[[#This Row],[List Name for Search]]="","nest_relation2",IFERROR(VLOOKUP(ListSearch[[#This Row],[Relation 2]],RelationTable[[Display]:[RELID]],2,0),""))</f>
        <v/>
      </c>
      <c r="AN14" s="15" t="str">
        <f>IF(ListSearch[[#This Row],[List Name for Search]]="","nest_relation3",IFERROR(VLOOKUP(ListSearch[[#This Row],[Relation 3]],RelationTable[[Display]:[RELID]],2,0),""))</f>
        <v/>
      </c>
      <c r="AO14" s="13" t="s">
        <v>987</v>
      </c>
      <c r="AP14" s="13"/>
      <c r="AQ14" s="13"/>
      <c r="AR14" s="13"/>
      <c r="AT14" s="15" t="str">
        <f>'Table Seed Map'!$A$27&amp;"-"&amp;COUNTA($AV$1:ListLayout[[#This Row],[No]])-2</f>
        <v>List Layout-12</v>
      </c>
      <c r="AU14" s="2" t="s">
        <v>994</v>
      </c>
      <c r="AV14" s="15">
        <f>IF(ListLayout[[#This Row],[List Name for Layout]]="","id",COUNTA($AU$2:ListLayout[[#This Row],[List Name for Layout]])+IF(ISNUMBER(VLOOKUP('Table Seed Map'!$A$27,SeedMap[],9,0)),VLOOKUP('Table Seed Map'!$A$27,SeedMap[],9,0),0))</f>
        <v>802512</v>
      </c>
      <c r="AW14" s="15">
        <f>IFERROR(VLOOKUP(ListLayout[[#This Row],[List Name for Layout]],ResourceList[[ListDisplayName]:[No]],2,0),"resource_list")</f>
        <v>802206</v>
      </c>
      <c r="AX14" s="15" t="s">
        <v>1112</v>
      </c>
      <c r="AY14" s="13" t="s">
        <v>1111</v>
      </c>
      <c r="AZ14" s="15" t="str">
        <f>IF(ListLayout[[#This Row],[List Name for Layout]]="","relation",IFERROR(VLOOKUP(ListLayout[[#This Row],[Relation]],RelationTable[[Display]:[RELID]],2,0),""))</f>
        <v/>
      </c>
      <c r="BA14" s="15" t="str">
        <f>IF(ListLayout[[#This Row],[List Name for Layout]]="","nest_relation1",IFERROR(VLOOKUP(ListLayout[[#This Row],[Relation 1]],RelationTable[[Display]:[RELID]],2,0),""))</f>
        <v/>
      </c>
      <c r="BB14" s="15" t="str">
        <f>IF(ListLayout[[#This Row],[List Name for Layout]]="","nest_relation2",IFERROR(VLOOKUP(ListLayout[[#This Row],[Relation 2]],RelationTable[[Display]:[RELID]],2,0),""))</f>
        <v/>
      </c>
      <c r="BC14" s="13"/>
      <c r="BD14" s="13"/>
      <c r="BE14" s="13"/>
    </row>
    <row r="15" spans="1:57" x14ac:dyDescent="0.25">
      <c r="A15" s="62" t="str">
        <f>'Table Seed Map'!$A$24&amp;"-"&amp;COUNTA($B$1:ResourceList[[#This Row],[Resource Name]])-1</f>
        <v>Resource Lists-13</v>
      </c>
      <c r="B15" s="63" t="s">
        <v>1137</v>
      </c>
      <c r="C15" s="62" t="str">
        <f>ResourceList[[#This Row],[Resource Name]]&amp;"/"&amp;ResourceList[[#This Row],[Name]]</f>
        <v>CategoryTask/CategoryTaskList</v>
      </c>
      <c r="D15" s="60">
        <f>IF(ResourceList[[#This Row],[Resource Name]]="","id",COUNTA($B$2:ResourceList[[#This Row],[Resource Name]])+IF(ISNUMBER(VLOOKUP('Table Seed Map'!$A$24,SeedMap[],9,0)),VLOOKUP('Table Seed Map'!$A$24,SeedMap[],9,0),0))</f>
        <v>802213</v>
      </c>
      <c r="E15" s="60">
        <f>IFERROR(VLOOKUP(ResourceList[[#This Row],[Resource Name]],ResourceTable[[RName]:[No]],3,0),"resource")</f>
        <v>800504</v>
      </c>
      <c r="F15" s="65" t="s">
        <v>1161</v>
      </c>
      <c r="G15" s="65" t="s">
        <v>1146</v>
      </c>
      <c r="H15" s="65" t="s">
        <v>1128</v>
      </c>
      <c r="I15" s="65" t="s">
        <v>23</v>
      </c>
      <c r="J15" s="65">
        <v>20</v>
      </c>
      <c r="K15" s="64">
        <f>ResourceList[No]</f>
        <v>802213</v>
      </c>
      <c r="M15" s="61" t="s">
        <v>1093</v>
      </c>
      <c r="N15" s="62">
        <f>VLOOKUP(ListExtras[[#This Row],[List Name]],ResourceList[[ListDisplayName]:[No]],2,0)</f>
        <v>802210</v>
      </c>
      <c r="O15" s="63"/>
      <c r="P15" s="63" t="s">
        <v>1148</v>
      </c>
      <c r="Q15" s="63"/>
      <c r="R15" s="63"/>
      <c r="S15" s="63"/>
      <c r="T15" s="62" t="str">
        <f>'Table Seed Map'!$A$25&amp;"-"&amp;COUNT($W$1:ListExtras[[#This Row],[Scope ID]])</f>
        <v>List Scopes-7</v>
      </c>
      <c r="U15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5" s="60">
        <f>IF(ListExtras[[#This Row],[LID]]=0,"resource_list",ListExtras[[#This Row],[LID]])</f>
        <v>802210</v>
      </c>
      <c r="W15" s="60" t="str">
        <f>IFERROR(VLOOKUP(ListExtras[[#This Row],[Scope Name]],ResourceScopes[[ScopesDisplayNames]:[No]],2,0),IF(ListExtras[[#This Row],[LID]]=0,"scope",""))</f>
        <v/>
      </c>
      <c r="X15" s="62" t="str">
        <f>'Table Seed Map'!$A$26&amp;"-"&amp;COUNT($AA$1:ListExtras[[#This Row],[Relation]])</f>
        <v>List Relation-11</v>
      </c>
      <c r="Y15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802411</v>
      </c>
      <c r="Z15" s="60">
        <f>IF(ListExtras[[#This Row],[LID]]=0,"resource_list",ListExtras[[#This Row],[LID]])</f>
        <v>802210</v>
      </c>
      <c r="AA15" s="60">
        <f>IFERROR(VLOOKUP(ListExtras[[#This Row],[Relation Name]],RelationTable[[Display]:[RELID]],2,0),IF(ListExtras[[#This Row],[LID]]=0,"relation",""))</f>
        <v>800814</v>
      </c>
      <c r="AB15" s="60" t="str">
        <f>IFERROR(VLOOKUP(ListExtras[[#This Row],[R1 Name]],RelationTable[[Display]:[RELID]],2,0),IF(ListExtras[[#This Row],[LID]]=0,"nest_relation1",""))</f>
        <v/>
      </c>
      <c r="AC15" s="60" t="str">
        <f>IFERROR(VLOOKUP(ListExtras[[#This Row],[R2 Name]],RelationTable[[Display]:[RELID]],2,0),IF(ListExtras[[#This Row],[LID]]=0,"nest_relation2",""))</f>
        <v/>
      </c>
      <c r="AD15" s="60" t="str">
        <f>IFERROR(VLOOKUP(ListExtras[[#This Row],[R3 Name]],RelationTable[[Display]:[RELID]],2,0),IF(ListExtras[[#This Row],[LID]]=0,"nest_relation3",""))</f>
        <v/>
      </c>
      <c r="AF15" s="15" t="str">
        <f>'Table Seed Map'!$A$28&amp;"-"&amp;COUNTA($AH$1:ListSearch[[#This Row],[No]])-2</f>
        <v>List Search-13</v>
      </c>
      <c r="AG15" s="2" t="s">
        <v>994</v>
      </c>
      <c r="AH15" s="15">
        <f>IF(ListSearch[[#This Row],[List Name for Search]]="","id",-1+COUNTA($AG$1:ListSearch[[#This Row],[List Name for Search]])+IF(ISNUMBER(VLOOKUP('Table Seed Map'!$A$28,SeedMap[],9,0)),VLOOKUP('Table Seed Map'!$A$28,SeedMap[],9,0),0))</f>
        <v>802613</v>
      </c>
      <c r="AI15" s="15">
        <f>IFERROR(VLOOKUP(ListSearch[[#This Row],[List Name for Search]],ResourceList[[ListDisplayName]:[No]],2,0),"resource_list")</f>
        <v>802206</v>
      </c>
      <c r="AJ15" s="13" t="s">
        <v>24</v>
      </c>
      <c r="AK15" s="15">
        <f>IF(ListSearch[[#This Row],[List Name for Search]]="","relation",IFERROR(VLOOKUP(ListSearch[[#This Row],[Relation]],RelationTable[[Display]:[RELID]],2,0),""))</f>
        <v>800809</v>
      </c>
      <c r="AL15" s="15" t="str">
        <f>IF(ListSearch[[#This Row],[List Name for Search]]="","nest_relation1",IFERROR(VLOOKUP(ListSearch[[#This Row],[Relation 1]],RelationTable[[Display]:[RELID]],2,0),""))</f>
        <v/>
      </c>
      <c r="AM15" s="15" t="str">
        <f>IF(ListSearch[[#This Row],[List Name for Search]]="","nest_relation2",IFERROR(VLOOKUP(ListSearch[[#This Row],[Relation 2]],RelationTable[[Display]:[RELID]],2,0),""))</f>
        <v/>
      </c>
      <c r="AN15" s="15" t="str">
        <f>IF(ListSearch[[#This Row],[List Name for Search]]="","nest_relation3",IFERROR(VLOOKUP(ListSearch[[#This Row],[Relation 3]],RelationTable[[Display]:[RELID]],2,0),""))</f>
        <v/>
      </c>
      <c r="AO15" s="13" t="s">
        <v>987</v>
      </c>
      <c r="AP15" s="13"/>
      <c r="AQ15" s="13"/>
      <c r="AR15" s="13"/>
      <c r="AT15" s="15" t="str">
        <f>'Table Seed Map'!$A$27&amp;"-"&amp;COUNTA($AV$1:ListLayout[[#This Row],[No]])-2</f>
        <v>List Layout-13</v>
      </c>
      <c r="AU15" s="2" t="s">
        <v>995</v>
      </c>
      <c r="AV15" s="15">
        <f>IF(ListLayout[[#This Row],[List Name for Layout]]="","id",COUNTA($AU$2:ListLayout[[#This Row],[List Name for Layout]])+IF(ISNUMBER(VLOOKUP('Table Seed Map'!$A$27,SeedMap[],9,0)),VLOOKUP('Table Seed Map'!$A$27,SeedMap[],9,0),0))</f>
        <v>802513</v>
      </c>
      <c r="AW15" s="15">
        <f>IFERROR(VLOOKUP(ListLayout[[#This Row],[List Name for Layout]],ResourceList[[ListDisplayName]:[No]],2,0),"resource_list")</f>
        <v>802207</v>
      </c>
      <c r="AX15" s="15" t="s">
        <v>1</v>
      </c>
      <c r="AY15" s="13" t="s">
        <v>23</v>
      </c>
      <c r="AZ15" s="15">
        <f>IF(ListLayout[[#This Row],[List Name for Layout]]="","relation",IFERROR(VLOOKUP(ListLayout[[#This Row],[Relation]],RelationTable[[Display]:[RELID]],2,0),""))</f>
        <v>800809</v>
      </c>
      <c r="BA15" s="15" t="str">
        <f>IF(ListLayout[[#This Row],[List Name for Layout]]="","nest_relation1",IFERROR(VLOOKUP(ListLayout[[#This Row],[Relation 1]],RelationTable[[Display]:[RELID]],2,0),""))</f>
        <v/>
      </c>
      <c r="BB15" s="15" t="str">
        <f>IF(ListLayout[[#This Row],[List Name for Layout]]="","nest_relation2",IFERROR(VLOOKUP(ListLayout[[#This Row],[Relation 2]],RelationTable[[Display]:[RELID]],2,0),""))</f>
        <v/>
      </c>
      <c r="BC15" s="13" t="s">
        <v>987</v>
      </c>
      <c r="BD15" s="13"/>
      <c r="BE15" s="13"/>
    </row>
    <row r="16" spans="1:57" x14ac:dyDescent="0.25">
      <c r="A16" s="6" t="str">
        <f>'Table Seed Map'!$A$24&amp;"-"&amp;COUNTA($B$1:ResourceList[[#This Row],[Resource Name]])-1</f>
        <v>Resource Lists-14</v>
      </c>
      <c r="B16" s="1" t="s">
        <v>1226</v>
      </c>
      <c r="C16" s="6" t="str">
        <f>ResourceList[[#This Row],[Resource Name]]&amp;"/"&amp;ResourceList[[#This Row],[Name]]</f>
        <v>Profile/ProfileList</v>
      </c>
      <c r="D16" s="15">
        <f>IF(ResourceList[[#This Row],[Resource Name]]="","id",COUNTA($B$2:ResourceList[[#This Row],[Resource Name]])+IF(ISNUMBER(VLOOKUP('Table Seed Map'!$A$24,SeedMap[],9,0)),VLOOKUP('Table Seed Map'!$A$24,SeedMap[],9,0),0))</f>
        <v>802214</v>
      </c>
      <c r="E16" s="15">
        <f>IFERROR(VLOOKUP(ResourceList[[#This Row],[Resource Name]],ResourceTable[[RName]:[No]],3,0),"resource")</f>
        <v>800508</v>
      </c>
      <c r="F16" s="13" t="s">
        <v>1228</v>
      </c>
      <c r="G16" s="13" t="s">
        <v>1229</v>
      </c>
      <c r="H16" s="13" t="s">
        <v>1226</v>
      </c>
      <c r="I16" s="13" t="s">
        <v>23</v>
      </c>
      <c r="J16" s="13">
        <v>10</v>
      </c>
      <c r="K16" s="3">
        <f>ResourceList[No]</f>
        <v>802214</v>
      </c>
      <c r="M16" s="61" t="s">
        <v>961</v>
      </c>
      <c r="N16" s="62">
        <f>VLOOKUP(ListExtras[[#This Row],[List Name]],ResourceList[[ListDisplayName]:[No]],2,0)</f>
        <v>802203</v>
      </c>
      <c r="O16" s="63"/>
      <c r="P16" s="63" t="s">
        <v>1196</v>
      </c>
      <c r="Q16" s="63"/>
      <c r="R16" s="63"/>
      <c r="S16" s="63"/>
      <c r="T16" s="62" t="str">
        <f>'Table Seed Map'!$A$25&amp;"-"&amp;COUNT($W$1:ListExtras[[#This Row],[Scope ID]])</f>
        <v>List Scopes-7</v>
      </c>
      <c r="U1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60">
        <f>IF(ListExtras[[#This Row],[LID]]=0,"resource_list",ListExtras[[#This Row],[LID]])</f>
        <v>802203</v>
      </c>
      <c r="W16" s="60" t="str">
        <f>IFERROR(VLOOKUP(ListExtras[[#This Row],[Scope Name]],ResourceScopes[[ScopesDisplayNames]:[No]],2,0),IF(ListExtras[[#This Row],[LID]]=0,"scope",""))</f>
        <v/>
      </c>
      <c r="X16" s="62" t="str">
        <f>'Table Seed Map'!$A$26&amp;"-"&amp;COUNT($AA$1:ListExtras[[#This Row],[Relation]])</f>
        <v>List Relation-12</v>
      </c>
      <c r="Y16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802412</v>
      </c>
      <c r="Z16" s="60">
        <f>IF(ListExtras[[#This Row],[LID]]=0,"resource_list",ListExtras[[#This Row],[LID]])</f>
        <v>802203</v>
      </c>
      <c r="AA16" s="60">
        <f>IFERROR(VLOOKUP(ListExtras[[#This Row],[Relation Name]],RelationTable[[Display]:[RELID]],2,0),IF(ListExtras[[#This Row],[LID]]=0,"relation",""))</f>
        <v>800813</v>
      </c>
      <c r="AB16" s="60" t="str">
        <f>IFERROR(VLOOKUP(ListExtras[[#This Row],[R1 Name]],RelationTable[[Display]:[RELID]],2,0),IF(ListExtras[[#This Row],[LID]]=0,"nest_relation1",""))</f>
        <v/>
      </c>
      <c r="AC16" s="60" t="str">
        <f>IFERROR(VLOOKUP(ListExtras[[#This Row],[R2 Name]],RelationTable[[Display]:[RELID]],2,0),IF(ListExtras[[#This Row],[LID]]=0,"nest_relation2",""))</f>
        <v/>
      </c>
      <c r="AD16" s="60" t="str">
        <f>IFERROR(VLOOKUP(ListExtras[[#This Row],[R3 Name]],RelationTable[[Display]:[RELID]],2,0),IF(ListExtras[[#This Row],[LID]]=0,"nest_relation3",""))</f>
        <v/>
      </c>
      <c r="AF16" s="60" t="str">
        <f>'Table Seed Map'!$A$28&amp;"-"&amp;COUNTA($AH$1:ListSearch[[#This Row],[No]])-2</f>
        <v>List Search-14</v>
      </c>
      <c r="AG16" s="2" t="s">
        <v>994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802614</v>
      </c>
      <c r="AI16" s="60">
        <f>IFERROR(VLOOKUP(ListSearch[[#This Row],[List Name for Search]],ResourceList[[ListDisplayName]:[No]],2,0),"resource_list")</f>
        <v>802206</v>
      </c>
      <c r="AJ16" s="13" t="s">
        <v>1111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5"/>
      <c r="AP16" s="65"/>
      <c r="AQ16" s="65"/>
      <c r="AR16" s="65"/>
      <c r="AT16" s="15" t="str">
        <f>'Table Seed Map'!$A$27&amp;"-"&amp;COUNTA($AV$1:ListLayout[[#This Row],[No]])-2</f>
        <v>List Layout-14</v>
      </c>
      <c r="AU16" s="2" t="s">
        <v>995</v>
      </c>
      <c r="AV16" s="15">
        <f>IF(ListLayout[[#This Row],[List Name for Layout]]="","id",COUNTA($AU$2:ListLayout[[#This Row],[List Name for Layout]])+IF(ISNUMBER(VLOOKUP('Table Seed Map'!$A$27,SeedMap[],9,0)),VLOOKUP('Table Seed Map'!$A$27,SeedMap[],9,0),0))</f>
        <v>802514</v>
      </c>
      <c r="AW16" s="15">
        <f>IFERROR(VLOOKUP(ListLayout[[#This Row],[List Name for Layout]],ResourceList[[ListDisplayName]:[No]],2,0),"resource_list")</f>
        <v>802207</v>
      </c>
      <c r="AX16" s="15" t="s">
        <v>1112</v>
      </c>
      <c r="AY16" s="13" t="s">
        <v>1111</v>
      </c>
      <c r="AZ16" s="15" t="str">
        <f>IF(ListLayout[[#This Row],[List Name for Layout]]="","relation",IFERROR(VLOOKUP(ListLayout[[#This Row],[Relation]],RelationTable[[Display]:[RELID]],2,0),""))</f>
        <v/>
      </c>
      <c r="BA16" s="15" t="str">
        <f>IF(ListLayout[[#This Row],[List Name for Layout]]="","nest_relation1",IFERROR(VLOOKUP(ListLayout[[#This Row],[Relation 1]],RelationTable[[Display]:[RELID]],2,0),""))</f>
        <v/>
      </c>
      <c r="BB16" s="15" t="str">
        <f>IF(ListLayout[[#This Row],[List Name for Layout]]="","nest_relation2",IFERROR(VLOOKUP(ListLayout[[#This Row],[Relation 2]],RelationTable[[Display]:[RELID]],2,0),""))</f>
        <v/>
      </c>
      <c r="BC16" s="13"/>
      <c r="BD16" s="13"/>
      <c r="BE16" s="13"/>
    </row>
    <row r="17" spans="1:57" x14ac:dyDescent="0.25">
      <c r="A17" s="62" t="str">
        <f>'Table Seed Map'!$A$24&amp;"-"&amp;COUNTA($B$1:ResourceList[[#This Row],[Resource Name]])-1</f>
        <v>Resource Lists-15</v>
      </c>
      <c r="B17" s="63" t="s">
        <v>846</v>
      </c>
      <c r="C17" s="62" t="str">
        <f>ResourceList[[#This Row],[Resource Name]]&amp;"/"&amp;ResourceList[[#This Row],[Name]]</f>
        <v>PartnerTask/RecentlyUpdatedTasks24</v>
      </c>
      <c r="D17" s="60">
        <f>IF(ResourceList[[#This Row],[Resource Name]]="","id",COUNTA($B$2:ResourceList[[#This Row],[Resource Name]])+IF(ISNUMBER(VLOOKUP('Table Seed Map'!$A$24,SeedMap[],9,0)),VLOOKUP('Table Seed Map'!$A$24,SeedMap[],9,0),0))</f>
        <v>802215</v>
      </c>
      <c r="E17" s="60">
        <f>IFERROR(VLOOKUP(ResourceList[[#This Row],[Resource Name]],ResourceTable[[RName]:[No]],3,0),"resource")</f>
        <v>800507</v>
      </c>
      <c r="F17" s="65" t="s">
        <v>1268</v>
      </c>
      <c r="G17" s="65" t="s">
        <v>1266</v>
      </c>
      <c r="H17" s="65" t="s">
        <v>850</v>
      </c>
      <c r="I17" s="65" t="s">
        <v>21</v>
      </c>
      <c r="J17" s="65">
        <v>30</v>
      </c>
      <c r="K17" s="64">
        <f>ResourceList[No]</f>
        <v>802215</v>
      </c>
      <c r="M17" s="61" t="s">
        <v>1271</v>
      </c>
      <c r="N17" s="62">
        <f>VLOOKUP(ListExtras[[#This Row],[List Name]],ResourceList[[ListDisplayName]:[No]],2,0)</f>
        <v>802215</v>
      </c>
      <c r="O17" s="63" t="s">
        <v>1055</v>
      </c>
      <c r="P17" s="63" t="s">
        <v>1061</v>
      </c>
      <c r="Q17" s="63"/>
      <c r="R17" s="63"/>
      <c r="S17" s="63"/>
      <c r="T17" s="62" t="str">
        <f>'Table Seed Map'!$A$25&amp;"-"&amp;COUNT($W$1:ListExtras[[#This Row],[Scope ID]])</f>
        <v>List Scopes-8</v>
      </c>
      <c r="U17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802308</v>
      </c>
      <c r="V17" s="60">
        <f>IF(ListExtras[[#This Row],[LID]]=0,"resource_list",ListExtras[[#This Row],[LID]])</f>
        <v>802215</v>
      </c>
      <c r="W17" s="60">
        <f>IFERROR(VLOOKUP(ListExtras[[#This Row],[Scope Name]],ResourceScopes[[ScopesDisplayNames]:[No]],2,0),IF(ListExtras[[#This Row],[LID]]=0,"scope",""))</f>
        <v>800705</v>
      </c>
      <c r="X17" s="62" t="str">
        <f>'Table Seed Map'!$A$26&amp;"-"&amp;COUNT($AA$1:ListExtras[[#This Row],[Relation]])</f>
        <v>List Relation-13</v>
      </c>
      <c r="Y17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802413</v>
      </c>
      <c r="Z17" s="60">
        <f>IF(ListExtras[[#This Row],[LID]]=0,"resource_list",ListExtras[[#This Row],[LID]])</f>
        <v>802215</v>
      </c>
      <c r="AA17" s="60">
        <f>IFERROR(VLOOKUP(ListExtras[[#This Row],[Relation Name]],RelationTable[[Display]:[RELID]],2,0),IF(ListExtras[[#This Row],[LID]]=0,"relation",""))</f>
        <v>800810</v>
      </c>
      <c r="AB17" s="60" t="str">
        <f>IFERROR(VLOOKUP(ListExtras[[#This Row],[R1 Name]],RelationTable[[Display]:[RELID]],2,0),IF(ListExtras[[#This Row],[LID]]=0,"nest_relation1",""))</f>
        <v/>
      </c>
      <c r="AC17" s="60" t="str">
        <f>IFERROR(VLOOKUP(ListExtras[[#This Row],[R2 Name]],RelationTable[[Display]:[RELID]],2,0),IF(ListExtras[[#This Row],[LID]]=0,"nest_relation2",""))</f>
        <v/>
      </c>
      <c r="AD17" s="60" t="str">
        <f>IFERROR(VLOOKUP(ListExtras[[#This Row],[R3 Name]],RelationTable[[Display]:[RELID]],2,0),IF(ListExtras[[#This Row],[LID]]=0,"nest_relation3",""))</f>
        <v/>
      </c>
      <c r="AF17" s="15" t="str">
        <f>'Table Seed Map'!$A$28&amp;"-"&amp;COUNTA($AH$1:ListSearch[[#This Row],[No]])-2</f>
        <v>List Search-15</v>
      </c>
      <c r="AG17" s="2" t="s">
        <v>995</v>
      </c>
      <c r="AH17" s="15">
        <f>IF(ListSearch[[#This Row],[List Name for Search]]="","id",-1+COUNTA($AG$1:ListSearch[[#This Row],[List Name for Search]])+IF(ISNUMBER(VLOOKUP('Table Seed Map'!$A$28,SeedMap[],9,0)),VLOOKUP('Table Seed Map'!$A$28,SeedMap[],9,0),0))</f>
        <v>802615</v>
      </c>
      <c r="AI17" s="15">
        <f>IFERROR(VLOOKUP(ListSearch[[#This Row],[List Name for Search]],ResourceList[[ListDisplayName]:[No]],2,0),"resource_list")</f>
        <v>802207</v>
      </c>
      <c r="AJ17" s="13" t="s">
        <v>23</v>
      </c>
      <c r="AK17" s="15">
        <f>IF(ListSearch[[#This Row],[List Name for Search]]="","relation",IFERROR(VLOOKUP(ListSearch[[#This Row],[Relation]],RelationTable[[Display]:[RELID]],2,0),""))</f>
        <v>800809</v>
      </c>
      <c r="AL17" s="15" t="str">
        <f>IF(ListSearch[[#This Row],[List Name for Search]]="","nest_relation1",IFERROR(VLOOKUP(ListSearch[[#This Row],[Relation 1]],RelationTable[[Display]:[RELID]],2,0),""))</f>
        <v/>
      </c>
      <c r="AM17" s="15" t="str">
        <f>IF(ListSearch[[#This Row],[List Name for Search]]="","nest_relation2",IFERROR(VLOOKUP(ListSearch[[#This Row],[Relation 2]],RelationTable[[Display]:[RELID]],2,0),""))</f>
        <v/>
      </c>
      <c r="AN17" s="15" t="str">
        <f>IF(ListSearch[[#This Row],[List Name for Search]]="","nest_relation3",IFERROR(VLOOKUP(ListSearch[[#This Row],[Relation 3]],RelationTable[[Display]:[RELID]],2,0),""))</f>
        <v/>
      </c>
      <c r="AO17" s="13" t="s">
        <v>987</v>
      </c>
      <c r="AP17" s="13"/>
      <c r="AQ17" s="13"/>
      <c r="AR17" s="13"/>
      <c r="AT17" s="60" t="str">
        <f>'Table Seed Map'!$A$27&amp;"-"&amp;COUNTA($AV$1:ListLayout[[#This Row],[No]])-2</f>
        <v>List Layout-15</v>
      </c>
      <c r="AU17" s="2" t="s">
        <v>996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802515</v>
      </c>
      <c r="AW17" s="60">
        <f>IFERROR(VLOOKUP(ListLayout[[#This Row],[List Name for Layout]],ResourceList[[ListDisplayName]:[No]],2,0),"resource_list")</f>
        <v>802208</v>
      </c>
      <c r="AX17" s="60" t="s">
        <v>1126</v>
      </c>
      <c r="AY17" s="65" t="s">
        <v>23</v>
      </c>
      <c r="AZ17" s="60">
        <f>IF(ListLayout[[#This Row],[List Name for Layout]]="","relation",IFERROR(VLOOKUP(ListLayout[[#This Row],[Relation]],RelationTable[[Display]:[RELID]],2,0),""))</f>
        <v>800814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13" t="s">
        <v>1148</v>
      </c>
      <c r="BD17" s="65"/>
      <c r="BE17" s="65"/>
    </row>
    <row r="18" spans="1:57" x14ac:dyDescent="0.25">
      <c r="A18" s="62" t="str">
        <f>'Table Seed Map'!$A$24&amp;"-"&amp;COUNTA($B$1:ResourceList[[#This Row],[Resource Name]])-1</f>
        <v>Resource Lists-16</v>
      </c>
      <c r="B18" s="63" t="s">
        <v>846</v>
      </c>
      <c r="C18" s="62" t="str">
        <f>ResourceList[[#This Row],[Resource Name]]&amp;"/"&amp;ResourceList[[#This Row],[Name]]</f>
        <v>PartnerTask/RecentlyUpdatedTasks48</v>
      </c>
      <c r="D18" s="60">
        <f>IF(ResourceList[[#This Row],[Resource Name]]="","id",COUNTA($B$2:ResourceList[[#This Row],[Resource Name]])+IF(ISNUMBER(VLOOKUP('Table Seed Map'!$A$24,SeedMap[],9,0)),VLOOKUP('Table Seed Map'!$A$24,SeedMap[],9,0),0))</f>
        <v>802216</v>
      </c>
      <c r="E18" s="60">
        <f>IFERROR(VLOOKUP(ResourceList[[#This Row],[Resource Name]],ResourceTable[[RName]:[No]],3,0),"resource")</f>
        <v>800507</v>
      </c>
      <c r="F18" s="65" t="s">
        <v>1267</v>
      </c>
      <c r="G18" s="65" t="s">
        <v>1269</v>
      </c>
      <c r="H18" s="65" t="s">
        <v>850</v>
      </c>
      <c r="I18" s="65" t="s">
        <v>21</v>
      </c>
      <c r="J18" s="65">
        <v>30</v>
      </c>
      <c r="K18" s="64">
        <f>ResourceList[No]</f>
        <v>802216</v>
      </c>
      <c r="M18" s="61" t="s">
        <v>1271</v>
      </c>
      <c r="N18" s="62">
        <f>VLOOKUP(ListExtras[[#This Row],[List Name]],ResourceList[[ListDisplayName]:[No]],2,0)</f>
        <v>802215</v>
      </c>
      <c r="O18" s="63" t="s">
        <v>1265</v>
      </c>
      <c r="P18" s="63" t="s">
        <v>987</v>
      </c>
      <c r="Q18" s="63"/>
      <c r="R18" s="63"/>
      <c r="S18" s="63"/>
      <c r="T18" s="62" t="str">
        <f>'Table Seed Map'!$A$25&amp;"-"&amp;COUNT($W$1:ListExtras[[#This Row],[Scope ID]])</f>
        <v>List Scopes-9</v>
      </c>
      <c r="U18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802309</v>
      </c>
      <c r="V18" s="60">
        <f>IF(ListExtras[[#This Row],[LID]]=0,"resource_list",ListExtras[[#This Row],[LID]])</f>
        <v>802215</v>
      </c>
      <c r="W18" s="60">
        <f>IFERROR(VLOOKUP(ListExtras[[#This Row],[Scope Name]],ResourceScopes[[ScopesDisplayNames]:[No]],2,0),IF(ListExtras[[#This Row],[LID]]=0,"scope",""))</f>
        <v>800708</v>
      </c>
      <c r="X18" s="62" t="str">
        <f>'Table Seed Map'!$A$26&amp;"-"&amp;COUNT($AA$1:ListExtras[[#This Row],[Relation]])</f>
        <v>List Relation-14</v>
      </c>
      <c r="Y18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802414</v>
      </c>
      <c r="Z18" s="60">
        <f>IF(ListExtras[[#This Row],[LID]]=0,"resource_list",ListExtras[[#This Row],[LID]])</f>
        <v>802215</v>
      </c>
      <c r="AA18" s="60">
        <f>IFERROR(VLOOKUP(ListExtras[[#This Row],[Relation Name]],RelationTable[[Display]:[RELID]],2,0),IF(ListExtras[[#This Row],[LID]]=0,"relation",""))</f>
        <v>800809</v>
      </c>
      <c r="AB18" s="60" t="str">
        <f>IFERROR(VLOOKUP(ListExtras[[#This Row],[R1 Name]],RelationTable[[Display]:[RELID]],2,0),IF(ListExtras[[#This Row],[LID]]=0,"nest_relation1",""))</f>
        <v/>
      </c>
      <c r="AC18" s="60" t="str">
        <f>IFERROR(VLOOKUP(ListExtras[[#This Row],[R2 Name]],RelationTable[[Display]:[RELID]],2,0),IF(ListExtras[[#This Row],[LID]]=0,"nest_relation2",""))</f>
        <v/>
      </c>
      <c r="AD18" s="60" t="str">
        <f>IFERROR(VLOOKUP(ListExtras[[#This Row],[R3 Name]],RelationTable[[Display]:[RELID]],2,0),IF(ListExtras[[#This Row],[LID]]=0,"nest_relation3",""))</f>
        <v/>
      </c>
      <c r="AF18" s="15" t="str">
        <f>'Table Seed Map'!$A$28&amp;"-"&amp;COUNTA($AH$1:ListSearch[[#This Row],[No]])-2</f>
        <v>List Search-16</v>
      </c>
      <c r="AG18" s="2" t="s">
        <v>995</v>
      </c>
      <c r="AH18" s="15">
        <f>IF(ListSearch[[#This Row],[List Name for Search]]="","id",-1+COUNTA($AG$1:ListSearch[[#This Row],[List Name for Search]])+IF(ISNUMBER(VLOOKUP('Table Seed Map'!$A$28,SeedMap[],9,0)),VLOOKUP('Table Seed Map'!$A$28,SeedMap[],9,0),0))</f>
        <v>802616</v>
      </c>
      <c r="AI18" s="15">
        <f>IFERROR(VLOOKUP(ListSearch[[#This Row],[List Name for Search]],ResourceList[[ListDisplayName]:[No]],2,0),"resource_list")</f>
        <v>802207</v>
      </c>
      <c r="AJ18" s="13" t="s">
        <v>24</v>
      </c>
      <c r="AK18" s="15">
        <f>IF(ListSearch[[#This Row],[List Name for Search]]="","relation",IFERROR(VLOOKUP(ListSearch[[#This Row],[Relation]],RelationTable[[Display]:[RELID]],2,0),""))</f>
        <v>800809</v>
      </c>
      <c r="AL18" s="15" t="str">
        <f>IF(ListSearch[[#This Row],[List Name for Search]]="","nest_relation1",IFERROR(VLOOKUP(ListSearch[[#This Row],[Relation 1]],RelationTable[[Display]:[RELID]],2,0),""))</f>
        <v/>
      </c>
      <c r="AM18" s="15" t="str">
        <f>IF(ListSearch[[#This Row],[List Name for Search]]="","nest_relation2",IFERROR(VLOOKUP(ListSearch[[#This Row],[Relation 2]],RelationTable[[Display]:[RELID]],2,0),""))</f>
        <v/>
      </c>
      <c r="AN18" s="15" t="str">
        <f>IF(ListSearch[[#This Row],[List Name for Search]]="","nest_relation3",IFERROR(VLOOKUP(ListSearch[[#This Row],[Relation 3]],RelationTable[[Display]:[RELID]],2,0),""))</f>
        <v/>
      </c>
      <c r="AO18" s="13" t="s">
        <v>987</v>
      </c>
      <c r="AP18" s="13"/>
      <c r="AQ18" s="13"/>
      <c r="AR18" s="13"/>
      <c r="AT18" s="15" t="str">
        <f>'Table Seed Map'!$A$27&amp;"-"&amp;COUNTA($AV$1:ListLayout[[#This Row],[No]])-2</f>
        <v>List Layout-16</v>
      </c>
      <c r="AU18" s="2" t="s">
        <v>996</v>
      </c>
      <c r="AV18" s="15">
        <f>IF(ListLayout[[#This Row],[List Name for Layout]]="","id",COUNTA($AU$2:ListLayout[[#This Row],[List Name for Layout]])+IF(ISNUMBER(VLOOKUP('Table Seed Map'!$A$27,SeedMap[],9,0)),VLOOKUP('Table Seed Map'!$A$27,SeedMap[],9,0),0))</f>
        <v>802516</v>
      </c>
      <c r="AW18" s="15">
        <f>IFERROR(VLOOKUP(ListLayout[[#This Row],[List Name for Layout]],ResourceList[[ListDisplayName]:[No]],2,0),"resource_list")</f>
        <v>802208</v>
      </c>
      <c r="AX18" s="15" t="s">
        <v>1</v>
      </c>
      <c r="AY18" s="13" t="s">
        <v>23</v>
      </c>
      <c r="AZ18" s="15">
        <f>IF(ListLayout[[#This Row],[List Name for Layout]]="","relation",IFERROR(VLOOKUP(ListLayout[[#This Row],[Relation]],RelationTable[[Display]:[RELID]],2,0),""))</f>
        <v>800809</v>
      </c>
      <c r="BA18" s="15" t="str">
        <f>IF(ListLayout[[#This Row],[List Name for Layout]]="","nest_relation1",IFERROR(VLOOKUP(ListLayout[[#This Row],[Relation 1]],RelationTable[[Display]:[RELID]],2,0),""))</f>
        <v/>
      </c>
      <c r="BB18" s="15" t="str">
        <f>IF(ListLayout[[#This Row],[List Name for Layout]]="","nest_relation2",IFERROR(VLOOKUP(ListLayout[[#This Row],[Relation 2]],RelationTable[[Display]:[RELID]],2,0),""))</f>
        <v/>
      </c>
      <c r="BC18" s="13" t="s">
        <v>987</v>
      </c>
      <c r="BD18" s="13"/>
      <c r="BE18" s="13"/>
    </row>
    <row r="19" spans="1:57" x14ac:dyDescent="0.25">
      <c r="M19" s="61" t="s">
        <v>1271</v>
      </c>
      <c r="N19" s="62">
        <f>VLOOKUP(ListExtras[[#This Row],[List Name]],ResourceList[[ListDisplayName]:[No]],2,0)</f>
        <v>802215</v>
      </c>
      <c r="O19" s="63"/>
      <c r="P19" s="63" t="s">
        <v>1148</v>
      </c>
      <c r="Q19" s="63"/>
      <c r="R19" s="63"/>
      <c r="S19" s="63"/>
      <c r="T19" s="62" t="str">
        <f>'Table Seed Map'!$A$25&amp;"-"&amp;COUNT($W$1:ListExtras[[#This Row],[Scope ID]])</f>
        <v>List Scopes-9</v>
      </c>
      <c r="U19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9" s="60">
        <f>IF(ListExtras[[#This Row],[LID]]=0,"resource_list",ListExtras[[#This Row],[LID]])</f>
        <v>802215</v>
      </c>
      <c r="W19" s="60" t="str">
        <f>IFERROR(VLOOKUP(ListExtras[[#This Row],[Scope Name]],ResourceScopes[[ScopesDisplayNames]:[No]],2,0),IF(ListExtras[[#This Row],[LID]]=0,"scope",""))</f>
        <v/>
      </c>
      <c r="X19" s="62" t="str">
        <f>'Table Seed Map'!$A$26&amp;"-"&amp;COUNT($AA$1:ListExtras[[#This Row],[Relation]])</f>
        <v>List Relation-15</v>
      </c>
      <c r="Y19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802415</v>
      </c>
      <c r="Z19" s="60">
        <f>IF(ListExtras[[#This Row],[LID]]=0,"resource_list",ListExtras[[#This Row],[LID]])</f>
        <v>802215</v>
      </c>
      <c r="AA19" s="60">
        <f>IFERROR(VLOOKUP(ListExtras[[#This Row],[Relation Name]],RelationTable[[Display]:[RELID]],2,0),IF(ListExtras[[#This Row],[LID]]=0,"relation",""))</f>
        <v>800814</v>
      </c>
      <c r="AB19" s="60" t="str">
        <f>IFERROR(VLOOKUP(ListExtras[[#This Row],[R1 Name]],RelationTable[[Display]:[RELID]],2,0),IF(ListExtras[[#This Row],[LID]]=0,"nest_relation1",""))</f>
        <v/>
      </c>
      <c r="AC19" s="60" t="str">
        <f>IFERROR(VLOOKUP(ListExtras[[#This Row],[R2 Name]],RelationTable[[Display]:[RELID]],2,0),IF(ListExtras[[#This Row],[LID]]=0,"nest_relation2",""))</f>
        <v/>
      </c>
      <c r="AD19" s="60" t="str">
        <f>IFERROR(VLOOKUP(ListExtras[[#This Row],[R3 Name]],RelationTable[[Display]:[RELID]],2,0),IF(ListExtras[[#This Row],[LID]]=0,"nest_relation3",""))</f>
        <v/>
      </c>
      <c r="AF19" s="60" t="str">
        <f>'Table Seed Map'!$A$28&amp;"-"&amp;COUNTA($AH$1:ListSearch[[#This Row],[No]])-2</f>
        <v>List Search-17</v>
      </c>
      <c r="AG19" s="2" t="s">
        <v>995</v>
      </c>
      <c r="AH19" s="60">
        <f>IF(ListSearch[[#This Row],[List Name for Search]]="","id",-1+COUNTA($AG$1:ListSearch[[#This Row],[List Name for Search]])+IF(ISNUMBER(VLOOKUP('Table Seed Map'!$A$28,SeedMap[],9,0)),VLOOKUP('Table Seed Map'!$A$28,SeedMap[],9,0),0))</f>
        <v>802617</v>
      </c>
      <c r="AI19" s="60">
        <f>IFERROR(VLOOKUP(ListSearch[[#This Row],[List Name for Search]],ResourceList[[ListDisplayName]:[No]],2,0),"resource_list")</f>
        <v>802207</v>
      </c>
      <c r="AJ19" s="65" t="s">
        <v>1111</v>
      </c>
      <c r="AK19" s="60" t="str">
        <f>IF(ListSearch[[#This Row],[List Name for Search]]="","relation",IFERROR(VLOOKUP(ListSearch[[#This Row],[Relation]],RelationTable[[Display]:[RELID]],2,0),""))</f>
        <v/>
      </c>
      <c r="AL19" s="60" t="str">
        <f>IF(ListSearch[[#This Row],[List Name for Search]]="","nest_relation1",IFERROR(VLOOKUP(ListSearch[[#This Row],[Relation 1]],RelationTable[[Display]:[RELID]],2,0),""))</f>
        <v/>
      </c>
      <c r="AM19" s="60" t="str">
        <f>IF(ListSearch[[#This Row],[List Name for Search]]="","nest_relation2",IFERROR(VLOOKUP(ListSearch[[#This Row],[Relation 2]],RelationTable[[Display]:[RELID]],2,0),""))</f>
        <v/>
      </c>
      <c r="AN19" s="60" t="str">
        <f>IF(ListSearch[[#This Row],[List Name for Search]]="","nest_relation3",IFERROR(VLOOKUP(ListSearch[[#This Row],[Relation 3]],RelationTable[[Display]:[RELID]],2,0),""))</f>
        <v/>
      </c>
      <c r="AO19" s="65"/>
      <c r="AP19" s="65"/>
      <c r="AQ19" s="65"/>
      <c r="AR19" s="65"/>
      <c r="AT19" s="15" t="str">
        <f>'Table Seed Map'!$A$27&amp;"-"&amp;COUNTA($AV$1:ListLayout[[#This Row],[No]])-2</f>
        <v>List Layout-17</v>
      </c>
      <c r="AU19" s="2" t="s">
        <v>996</v>
      </c>
      <c r="AV19" s="15">
        <f>IF(ListLayout[[#This Row],[List Name for Layout]]="","id",COUNTA($AU$2:ListLayout[[#This Row],[List Name for Layout]])+IF(ISNUMBER(VLOOKUP('Table Seed Map'!$A$27,SeedMap[],9,0)),VLOOKUP('Table Seed Map'!$A$27,SeedMap[],9,0),0))</f>
        <v>802517</v>
      </c>
      <c r="AW19" s="15">
        <f>IFERROR(VLOOKUP(ListLayout[[#This Row],[List Name for Layout]],ResourceList[[ListDisplayName]:[No]],2,0),"resource_list")</f>
        <v>802208</v>
      </c>
      <c r="AX19" s="15" t="s">
        <v>1112</v>
      </c>
      <c r="AY19" s="13" t="s">
        <v>1111</v>
      </c>
      <c r="AZ19" s="15" t="str">
        <f>IF(ListLayout[[#This Row],[List Name for Layout]]="","relation",IFERROR(VLOOKUP(ListLayout[[#This Row],[Relation]],RelationTable[[Display]:[RELID]],2,0),""))</f>
        <v/>
      </c>
      <c r="BA19" s="15" t="str">
        <f>IF(ListLayout[[#This Row],[List Name for Layout]]="","nest_relation1",IFERROR(VLOOKUP(ListLayout[[#This Row],[Relation 1]],RelationTable[[Display]:[RELID]],2,0),""))</f>
        <v/>
      </c>
      <c r="BB19" s="15" t="str">
        <f>IF(ListLayout[[#This Row],[List Name for Layout]]="","nest_relation2",IFERROR(VLOOKUP(ListLayout[[#This Row],[Relation 2]],RelationTable[[Display]:[RELID]],2,0),""))</f>
        <v/>
      </c>
      <c r="BC19" s="13"/>
      <c r="BD19" s="13"/>
      <c r="BE19" s="13"/>
    </row>
    <row r="20" spans="1:57" x14ac:dyDescent="0.25">
      <c r="M20" s="61" t="s">
        <v>1270</v>
      </c>
      <c r="N20" s="62">
        <f>VLOOKUP(ListExtras[[#This Row],[List Name]],ResourceList[[ListDisplayName]:[No]],2,0)</f>
        <v>802216</v>
      </c>
      <c r="O20" s="63" t="s">
        <v>1055</v>
      </c>
      <c r="P20" s="63" t="s">
        <v>1061</v>
      </c>
      <c r="Q20" s="63"/>
      <c r="R20" s="63"/>
      <c r="S20" s="63"/>
      <c r="T20" s="62" t="str">
        <f>'Table Seed Map'!$A$25&amp;"-"&amp;COUNT($W$1:ListExtras[[#This Row],[Scope ID]])</f>
        <v>List Scopes-10</v>
      </c>
      <c r="U20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802310</v>
      </c>
      <c r="V20" s="60">
        <f>IF(ListExtras[[#This Row],[LID]]=0,"resource_list",ListExtras[[#This Row],[LID]])</f>
        <v>802216</v>
      </c>
      <c r="W20" s="60">
        <f>IFERROR(VLOOKUP(ListExtras[[#This Row],[Scope Name]],ResourceScopes[[ScopesDisplayNames]:[No]],2,0),IF(ListExtras[[#This Row],[LID]]=0,"scope",""))</f>
        <v>800705</v>
      </c>
      <c r="X20" s="62" t="str">
        <f>'Table Seed Map'!$A$26&amp;"-"&amp;COUNT($AA$1:ListExtras[[#This Row],[Relation]])</f>
        <v>List Relation-16</v>
      </c>
      <c r="Y20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802416</v>
      </c>
      <c r="Z20" s="60">
        <f>IF(ListExtras[[#This Row],[LID]]=0,"resource_list",ListExtras[[#This Row],[LID]])</f>
        <v>802216</v>
      </c>
      <c r="AA20" s="60">
        <f>IFERROR(VLOOKUP(ListExtras[[#This Row],[Relation Name]],RelationTable[[Display]:[RELID]],2,0),IF(ListExtras[[#This Row],[LID]]=0,"relation",""))</f>
        <v>800810</v>
      </c>
      <c r="AB20" s="60" t="str">
        <f>IFERROR(VLOOKUP(ListExtras[[#This Row],[R1 Name]],RelationTable[[Display]:[RELID]],2,0),IF(ListExtras[[#This Row],[LID]]=0,"nest_relation1",""))</f>
        <v/>
      </c>
      <c r="AC20" s="60" t="str">
        <f>IFERROR(VLOOKUP(ListExtras[[#This Row],[R2 Name]],RelationTable[[Display]:[RELID]],2,0),IF(ListExtras[[#This Row],[LID]]=0,"nest_relation2",""))</f>
        <v/>
      </c>
      <c r="AD20" s="60" t="str">
        <f>IFERROR(VLOOKUP(ListExtras[[#This Row],[R3 Name]],RelationTable[[Display]:[RELID]],2,0),IF(ListExtras[[#This Row],[LID]]=0,"nest_relation3",""))</f>
        <v/>
      </c>
      <c r="AF20" s="15" t="str">
        <f>'Table Seed Map'!$A$28&amp;"-"&amp;COUNTA($AH$1:ListSearch[[#This Row],[No]])-2</f>
        <v>List Search-18</v>
      </c>
      <c r="AG20" s="2" t="s">
        <v>996</v>
      </c>
      <c r="AH20" s="15">
        <f>IF(ListSearch[[#This Row],[List Name for Search]]="","id",-1+COUNTA($AG$1:ListSearch[[#This Row],[List Name for Search]])+IF(ISNUMBER(VLOOKUP('Table Seed Map'!$A$28,SeedMap[],9,0)),VLOOKUP('Table Seed Map'!$A$28,SeedMap[],9,0),0))</f>
        <v>802618</v>
      </c>
      <c r="AI20" s="15">
        <f>IFERROR(VLOOKUP(ListSearch[[#This Row],[List Name for Search]],ResourceList[[ListDisplayName]:[No]],2,0),"resource_list")</f>
        <v>802208</v>
      </c>
      <c r="AJ20" s="13" t="s">
        <v>23</v>
      </c>
      <c r="AK20" s="15">
        <f>IF(ListSearch[[#This Row],[List Name for Search]]="","relation",IFERROR(VLOOKUP(ListSearch[[#This Row],[Relation]],RelationTable[[Display]:[RELID]],2,0),""))</f>
        <v>800809</v>
      </c>
      <c r="AL20" s="15" t="str">
        <f>IF(ListSearch[[#This Row],[List Name for Search]]="","nest_relation1",IFERROR(VLOOKUP(ListSearch[[#This Row],[Relation 1]],RelationTable[[Display]:[RELID]],2,0),""))</f>
        <v/>
      </c>
      <c r="AM20" s="15" t="str">
        <f>IF(ListSearch[[#This Row],[List Name for Search]]="","nest_relation2",IFERROR(VLOOKUP(ListSearch[[#This Row],[Relation 2]],RelationTable[[Display]:[RELID]],2,0),""))</f>
        <v/>
      </c>
      <c r="AN20" s="15" t="str">
        <f>IF(ListSearch[[#This Row],[List Name for Search]]="","nest_relation3",IFERROR(VLOOKUP(ListSearch[[#This Row],[Relation 3]],RelationTable[[Display]:[RELID]],2,0),""))</f>
        <v/>
      </c>
      <c r="AO20" s="13" t="s">
        <v>987</v>
      </c>
      <c r="AP20" s="13"/>
      <c r="AQ20" s="13"/>
      <c r="AR20" s="13"/>
      <c r="AT20" s="60" t="str">
        <f>'Table Seed Map'!$A$27&amp;"-"&amp;COUNTA($AV$1:ListLayout[[#This Row],[No]])-2</f>
        <v>List Layout-18</v>
      </c>
      <c r="AU20" s="2" t="s">
        <v>1066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802518</v>
      </c>
      <c r="AW20" s="60">
        <f>IFERROR(VLOOKUP(ListLayout[[#This Row],[List Name for Layout]],ResourceList[[ListDisplayName]:[No]],2,0),"resource_list")</f>
        <v>802209</v>
      </c>
      <c r="AX20" s="60" t="s">
        <v>843</v>
      </c>
      <c r="AY20" s="65" t="s">
        <v>23</v>
      </c>
      <c r="AZ20" s="60">
        <f>IF(ListLayout[[#This Row],[List Name for Layout]]="","relation",IFERROR(VLOOKUP(ListLayout[[#This Row],[Relation]],RelationTable[[Display]:[RELID]],2,0),""))</f>
        <v>800810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5" t="s">
        <v>1061</v>
      </c>
      <c r="BD20" s="65"/>
      <c r="BE20" s="65"/>
    </row>
    <row r="21" spans="1:57" x14ac:dyDescent="0.25">
      <c r="M21" s="61" t="s">
        <v>1270</v>
      </c>
      <c r="N21" s="62">
        <f>VLOOKUP(ListExtras[[#This Row],[List Name]],ResourceList[[ListDisplayName]:[No]],2,0)</f>
        <v>802216</v>
      </c>
      <c r="O21" s="63" t="s">
        <v>1272</v>
      </c>
      <c r="P21" s="63" t="s">
        <v>987</v>
      </c>
      <c r="Q21" s="63"/>
      <c r="R21" s="63"/>
      <c r="S21" s="63"/>
      <c r="T21" s="62" t="str">
        <f>'Table Seed Map'!$A$25&amp;"-"&amp;COUNT($W$1:ListExtras[[#This Row],[Scope ID]])</f>
        <v>List Scopes-11</v>
      </c>
      <c r="U21" s="60">
        <f>IF(ListExtras[[#This Row],[LID]]=0,"id",IF(ListExtras[[#This Row],[Scope ID]]="","",COUNT($W$2:ListExtras[[#This Row],[Scope ID]])+IF(ISNUMBER(VLOOKUP('Table Seed Map'!$A$25,SeedMap[],9,0)),VLOOKUP('Table Seed Map'!$A$25,SeedMap[],9,0),0)))</f>
        <v>802311</v>
      </c>
      <c r="V21" s="60">
        <f>IF(ListExtras[[#This Row],[LID]]=0,"resource_list",ListExtras[[#This Row],[LID]])</f>
        <v>802216</v>
      </c>
      <c r="W21" s="60">
        <f>IFERROR(VLOOKUP(ListExtras[[#This Row],[Scope Name]],ResourceScopes[[ScopesDisplayNames]:[No]],2,0),IF(ListExtras[[#This Row],[LID]]=0,"scope",""))</f>
        <v>800709</v>
      </c>
      <c r="X21" s="62" t="str">
        <f>'Table Seed Map'!$A$26&amp;"-"&amp;COUNT($AA$1:ListExtras[[#This Row],[Relation]])</f>
        <v>List Relation-17</v>
      </c>
      <c r="Y21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802417</v>
      </c>
      <c r="Z21" s="60">
        <f>IF(ListExtras[[#This Row],[LID]]=0,"resource_list",ListExtras[[#This Row],[LID]])</f>
        <v>802216</v>
      </c>
      <c r="AA21" s="60">
        <f>IFERROR(VLOOKUP(ListExtras[[#This Row],[Relation Name]],RelationTable[[Display]:[RELID]],2,0),IF(ListExtras[[#This Row],[LID]]=0,"relation",""))</f>
        <v>800809</v>
      </c>
      <c r="AB21" s="60" t="str">
        <f>IFERROR(VLOOKUP(ListExtras[[#This Row],[R1 Name]],RelationTable[[Display]:[RELID]],2,0),IF(ListExtras[[#This Row],[LID]]=0,"nest_relation1",""))</f>
        <v/>
      </c>
      <c r="AC21" s="60" t="str">
        <f>IFERROR(VLOOKUP(ListExtras[[#This Row],[R2 Name]],RelationTable[[Display]:[RELID]],2,0),IF(ListExtras[[#This Row],[LID]]=0,"nest_relation2",""))</f>
        <v/>
      </c>
      <c r="AD21" s="60" t="str">
        <f>IFERROR(VLOOKUP(ListExtras[[#This Row],[R3 Name]],RelationTable[[Display]:[RELID]],2,0),IF(ListExtras[[#This Row],[LID]]=0,"nest_relation3",""))</f>
        <v/>
      </c>
      <c r="AF21" s="15" t="str">
        <f>'Table Seed Map'!$A$28&amp;"-"&amp;COUNTA($AH$1:ListSearch[[#This Row],[No]])-2</f>
        <v>List Search-19</v>
      </c>
      <c r="AG21" s="2" t="s">
        <v>996</v>
      </c>
      <c r="AH21" s="15">
        <f>IF(ListSearch[[#This Row],[List Name for Search]]="","id",-1+COUNTA($AG$1:ListSearch[[#This Row],[List Name for Search]])+IF(ISNUMBER(VLOOKUP('Table Seed Map'!$A$28,SeedMap[],9,0)),VLOOKUP('Table Seed Map'!$A$28,SeedMap[],9,0),0))</f>
        <v>802619</v>
      </c>
      <c r="AI21" s="15">
        <f>IFERROR(VLOOKUP(ListSearch[[#This Row],[List Name for Search]],ResourceList[[ListDisplayName]:[No]],2,0),"resource_list")</f>
        <v>802208</v>
      </c>
      <c r="AJ21" s="13" t="s">
        <v>24</v>
      </c>
      <c r="AK21" s="15">
        <f>IF(ListSearch[[#This Row],[List Name for Search]]="","relation",IFERROR(VLOOKUP(ListSearch[[#This Row],[Relation]],RelationTable[[Display]:[RELID]],2,0),""))</f>
        <v>800809</v>
      </c>
      <c r="AL21" s="15" t="str">
        <f>IF(ListSearch[[#This Row],[List Name for Search]]="","nest_relation1",IFERROR(VLOOKUP(ListSearch[[#This Row],[Relation 1]],RelationTable[[Display]:[RELID]],2,0),""))</f>
        <v/>
      </c>
      <c r="AM21" s="15" t="str">
        <f>IF(ListSearch[[#This Row],[List Name for Search]]="","nest_relation2",IFERROR(VLOOKUP(ListSearch[[#This Row],[Relation 2]],RelationTable[[Display]:[RELID]],2,0),""))</f>
        <v/>
      </c>
      <c r="AN21" s="15" t="str">
        <f>IF(ListSearch[[#This Row],[List Name for Search]]="","nest_relation3",IFERROR(VLOOKUP(ListSearch[[#This Row],[Relation 3]],RelationTable[[Display]:[RELID]],2,0),""))</f>
        <v/>
      </c>
      <c r="AO21" s="13" t="s">
        <v>987</v>
      </c>
      <c r="AP21" s="13"/>
      <c r="AQ21" s="13"/>
      <c r="AR21" s="13"/>
      <c r="AT21" s="60" t="str">
        <f>'Table Seed Map'!$A$27&amp;"-"&amp;COUNTA($AV$1:ListLayout[[#This Row],[No]])-2</f>
        <v>List Layout-19</v>
      </c>
      <c r="AU21" s="2" t="s">
        <v>1066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802519</v>
      </c>
      <c r="AW21" s="60">
        <f>IFERROR(VLOOKUP(ListLayout[[#This Row],[List Name for Layout]],ResourceList[[ListDisplayName]:[No]],2,0),"resource_list")</f>
        <v>802209</v>
      </c>
      <c r="AX21" s="60" t="s">
        <v>1064</v>
      </c>
      <c r="AY21" s="65" t="s">
        <v>1065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5"/>
      <c r="BD21" s="65"/>
      <c r="BE21" s="65"/>
    </row>
    <row r="22" spans="1:57" x14ac:dyDescent="0.25">
      <c r="M22" s="61" t="s">
        <v>1270</v>
      </c>
      <c r="N22" s="62">
        <f>VLOOKUP(ListExtras[[#This Row],[List Name]],ResourceList[[ListDisplayName]:[No]],2,0)</f>
        <v>802216</v>
      </c>
      <c r="O22" s="63"/>
      <c r="P22" s="63" t="s">
        <v>1148</v>
      </c>
      <c r="Q22" s="63"/>
      <c r="R22" s="63"/>
      <c r="S22" s="63"/>
      <c r="T22" s="62" t="str">
        <f>'Table Seed Map'!$A$25&amp;"-"&amp;COUNT($W$1:ListExtras[[#This Row],[Scope ID]])</f>
        <v>List Scopes-11</v>
      </c>
      <c r="U22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22" s="60">
        <f>IF(ListExtras[[#This Row],[LID]]=0,"resource_list",ListExtras[[#This Row],[LID]])</f>
        <v>802216</v>
      </c>
      <c r="W22" s="60" t="str">
        <f>IFERROR(VLOOKUP(ListExtras[[#This Row],[Scope Name]],ResourceScopes[[ScopesDisplayNames]:[No]],2,0),IF(ListExtras[[#This Row],[LID]]=0,"scope",""))</f>
        <v/>
      </c>
      <c r="X22" s="62" t="str">
        <f>'Table Seed Map'!$A$26&amp;"-"&amp;COUNT($AA$1:ListExtras[[#This Row],[Relation]])</f>
        <v>List Relation-18</v>
      </c>
      <c r="Y22" s="60">
        <f>IF(ListExtras[[#This Row],[LID]]=0,"id",IF(ListExtras[[#This Row],[Relation]]="","",COUNT($AA$2:ListExtras[[#This Row],[Relation]])+IF(ISNUMBER(VLOOKUP('Table Seed Map'!$A$26,SeedMap[],9,0)),VLOOKUP('Table Seed Map'!$A$26,SeedMap[],9,0),0)))</f>
        <v>802418</v>
      </c>
      <c r="Z22" s="60">
        <f>IF(ListExtras[[#This Row],[LID]]=0,"resource_list",ListExtras[[#This Row],[LID]])</f>
        <v>802216</v>
      </c>
      <c r="AA22" s="60">
        <f>IFERROR(VLOOKUP(ListExtras[[#This Row],[Relation Name]],RelationTable[[Display]:[RELID]],2,0),IF(ListExtras[[#This Row],[LID]]=0,"relation",""))</f>
        <v>800814</v>
      </c>
      <c r="AB22" s="60" t="str">
        <f>IFERROR(VLOOKUP(ListExtras[[#This Row],[R1 Name]],RelationTable[[Display]:[RELID]],2,0),IF(ListExtras[[#This Row],[LID]]=0,"nest_relation1",""))</f>
        <v/>
      </c>
      <c r="AC22" s="60" t="str">
        <f>IFERROR(VLOOKUP(ListExtras[[#This Row],[R2 Name]],RelationTable[[Display]:[RELID]],2,0),IF(ListExtras[[#This Row],[LID]]=0,"nest_relation2",""))</f>
        <v/>
      </c>
      <c r="AD22" s="60" t="str">
        <f>IFERROR(VLOOKUP(ListExtras[[#This Row],[R3 Name]],RelationTable[[Display]:[RELID]],2,0),IF(ListExtras[[#This Row],[LID]]=0,"nest_relation3",""))</f>
        <v/>
      </c>
      <c r="AF22" s="60" t="str">
        <f>'Table Seed Map'!$A$28&amp;"-"&amp;COUNTA($AH$1:ListSearch[[#This Row],[No]])-2</f>
        <v>List Search-20</v>
      </c>
      <c r="AG22" s="2" t="s">
        <v>996</v>
      </c>
      <c r="AH22" s="60">
        <f>IF(ListSearch[[#This Row],[List Name for Search]]="","id",-1+COUNTA($AG$1:ListSearch[[#This Row],[List Name for Search]])+IF(ISNUMBER(VLOOKUP('Table Seed Map'!$A$28,SeedMap[],9,0)),VLOOKUP('Table Seed Map'!$A$28,SeedMap[],9,0),0))</f>
        <v>802620</v>
      </c>
      <c r="AI22" s="60">
        <f>IFERROR(VLOOKUP(ListSearch[[#This Row],[List Name for Search]],ResourceList[[ListDisplayName]:[No]],2,0),"resource_list")</f>
        <v>802208</v>
      </c>
      <c r="AJ22" s="65" t="s">
        <v>1111</v>
      </c>
      <c r="AK22" s="60" t="str">
        <f>IF(ListSearch[[#This Row],[List Name for Search]]="","relation",IFERROR(VLOOKUP(ListSearch[[#This Row],[Relation]],RelationTable[[Display]:[RELID]],2,0),""))</f>
        <v/>
      </c>
      <c r="AL22" s="60" t="str">
        <f>IF(ListSearch[[#This Row],[List Name for Search]]="","nest_relation1",IFERROR(VLOOKUP(ListSearch[[#This Row],[Relation 1]],RelationTable[[Display]:[RELID]],2,0),""))</f>
        <v/>
      </c>
      <c r="AM22" s="60" t="str">
        <f>IF(ListSearch[[#This Row],[List Name for Search]]="","nest_relation2",IFERROR(VLOOKUP(ListSearch[[#This Row],[Relation 2]],RelationTable[[Display]:[RELID]],2,0),""))</f>
        <v/>
      </c>
      <c r="AN22" s="60" t="str">
        <f>IF(ListSearch[[#This Row],[List Name for Search]]="","nest_relation3",IFERROR(VLOOKUP(ListSearch[[#This Row],[Relation 3]],RelationTable[[Display]:[RELID]],2,0),""))</f>
        <v/>
      </c>
      <c r="AO22" s="65"/>
      <c r="AP22" s="65"/>
      <c r="AQ22" s="65"/>
      <c r="AR22" s="65"/>
      <c r="AT22" s="60" t="str">
        <f>'Table Seed Map'!$A$27&amp;"-"&amp;COUNTA($AV$1:ListLayout[[#This Row],[No]])-2</f>
        <v>List Layout-20</v>
      </c>
      <c r="AU22" s="61" t="s">
        <v>1093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802520</v>
      </c>
      <c r="AW22" s="60">
        <f>IFERROR(VLOOKUP(ListLayout[[#This Row],[List Name for Layout]],ResourceList[[ListDisplayName]:[No]],2,0),"resource_list")</f>
        <v>802210</v>
      </c>
      <c r="AX22" s="60" t="s">
        <v>1126</v>
      </c>
      <c r="AY22" s="65" t="s">
        <v>23</v>
      </c>
      <c r="AZ22" s="60">
        <f>IF(ListLayout[[#This Row],[List Name for Layout]]="","relation",IFERROR(VLOOKUP(ListLayout[[#This Row],[Relation]],RelationTable[[Display]:[RELID]],2,0),""))</f>
        <v>800814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3" t="s">
        <v>1148</v>
      </c>
      <c r="BD22" s="65"/>
      <c r="BE22" s="65"/>
    </row>
    <row r="23" spans="1:57" x14ac:dyDescent="0.25">
      <c r="AF23" s="60" t="str">
        <f>'Table Seed Map'!$A$28&amp;"-"&amp;COUNTA($AH$1:ListSearch[[#This Row],[No]])-2</f>
        <v>List Search-21</v>
      </c>
      <c r="AG23" s="61" t="s">
        <v>1066</v>
      </c>
      <c r="AH23" s="60">
        <f>IF(ListSearch[[#This Row],[List Name for Search]]="","id",-1+COUNTA($AG$1:ListSearch[[#This Row],[List Name for Search]])+IF(ISNUMBER(VLOOKUP('Table Seed Map'!$A$28,SeedMap[],9,0)),VLOOKUP('Table Seed Map'!$A$28,SeedMap[],9,0),0))</f>
        <v>802621</v>
      </c>
      <c r="AI23" s="60">
        <f>IFERROR(VLOOKUP(ListSearch[[#This Row],[List Name for Search]],ResourceList[[ListDisplayName]:[No]],2,0),"resource_list")</f>
        <v>802209</v>
      </c>
      <c r="AJ23" s="65" t="s">
        <v>23</v>
      </c>
      <c r="AK23" s="60">
        <f>IF(ListSearch[[#This Row],[List Name for Search]]="","relation",IFERROR(VLOOKUP(ListSearch[[#This Row],[Relation]],RelationTable[[Display]:[RELID]],2,0),""))</f>
        <v>800809</v>
      </c>
      <c r="AL23" s="60" t="str">
        <f>IF(ListSearch[[#This Row],[List Name for Search]]="","nest_relation1",IFERROR(VLOOKUP(ListSearch[[#This Row],[Relation 1]],RelationTable[[Display]:[RELID]],2,0),""))</f>
        <v/>
      </c>
      <c r="AM23" s="60" t="str">
        <f>IF(ListSearch[[#This Row],[List Name for Search]]="","nest_relation2",IFERROR(VLOOKUP(ListSearch[[#This Row],[Relation 2]],RelationTable[[Display]:[RELID]],2,0),""))</f>
        <v/>
      </c>
      <c r="AN23" s="60" t="str">
        <f>IF(ListSearch[[#This Row],[List Name for Search]]="","nest_relation3",IFERROR(VLOOKUP(ListSearch[[#This Row],[Relation 3]],RelationTable[[Display]:[RELID]],2,0),""))</f>
        <v/>
      </c>
      <c r="AO23" s="13" t="s">
        <v>987</v>
      </c>
      <c r="AP23" s="65"/>
      <c r="AQ23" s="65"/>
      <c r="AR23" s="65"/>
      <c r="AT23" s="60" t="str">
        <f>'Table Seed Map'!$A$27&amp;"-"&amp;COUNTA($AV$1:ListLayout[[#This Row],[No]])-2</f>
        <v>List Layout-21</v>
      </c>
      <c r="AU23" s="61" t="s">
        <v>1093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802521</v>
      </c>
      <c r="AW23" s="60">
        <f>IFERROR(VLOOKUP(ListLayout[[#This Row],[List Name for Layout]],ResourceList[[ListDisplayName]:[No]],2,0),"resource_list")</f>
        <v>802210</v>
      </c>
      <c r="AX23" s="60" t="s">
        <v>843</v>
      </c>
      <c r="AY23" s="65" t="s">
        <v>23</v>
      </c>
      <c r="AZ23" s="60">
        <f>IF(ListLayout[[#This Row],[List Name for Layout]]="","relation",IFERROR(VLOOKUP(ListLayout[[#This Row],[Relation]],RelationTable[[Display]:[RELID]],2,0),""))</f>
        <v>800810</v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5" t="s">
        <v>1061</v>
      </c>
      <c r="BD23" s="65"/>
      <c r="BE23" s="65"/>
    </row>
    <row r="24" spans="1:57" x14ac:dyDescent="0.25">
      <c r="AF24" s="60" t="str">
        <f>'Table Seed Map'!$A$28&amp;"-"&amp;COUNTA($AH$1:ListSearch[[#This Row],[No]])-2</f>
        <v>List Search-22</v>
      </c>
      <c r="AG24" s="61" t="s">
        <v>1066</v>
      </c>
      <c r="AH24" s="60">
        <f>IF(ListSearch[[#This Row],[List Name for Search]]="","id",-1+COUNTA($AG$1:ListSearch[[#This Row],[List Name for Search]])+IF(ISNUMBER(VLOOKUP('Table Seed Map'!$A$28,SeedMap[],9,0)),VLOOKUP('Table Seed Map'!$A$28,SeedMap[],9,0),0))</f>
        <v>802622</v>
      </c>
      <c r="AI24" s="60">
        <f>IFERROR(VLOOKUP(ListSearch[[#This Row],[List Name for Search]],ResourceList[[ListDisplayName]:[No]],2,0),"resource_list")</f>
        <v>802209</v>
      </c>
      <c r="AJ24" s="65" t="s">
        <v>24</v>
      </c>
      <c r="AK24" s="60">
        <f>IF(ListSearch[[#This Row],[List Name for Search]]="","relation",IFERROR(VLOOKUP(ListSearch[[#This Row],[Relation]],RelationTable[[Display]:[RELID]],2,0),""))</f>
        <v>800809</v>
      </c>
      <c r="AL24" s="60" t="str">
        <f>IF(ListSearch[[#This Row],[List Name for Search]]="","nest_relation1",IFERROR(VLOOKUP(ListSearch[[#This Row],[Relation 1]],RelationTable[[Display]:[RELID]],2,0),""))</f>
        <v/>
      </c>
      <c r="AM24" s="60" t="str">
        <f>IF(ListSearch[[#This Row],[List Name for Search]]="","nest_relation2",IFERROR(VLOOKUP(ListSearch[[#This Row],[Relation 2]],RelationTable[[Display]:[RELID]],2,0),""))</f>
        <v/>
      </c>
      <c r="AN24" s="60" t="str">
        <f>IF(ListSearch[[#This Row],[List Name for Search]]="","nest_relation3",IFERROR(VLOOKUP(ListSearch[[#This Row],[Relation 3]],RelationTable[[Display]:[RELID]],2,0),""))</f>
        <v/>
      </c>
      <c r="AO24" s="13" t="s">
        <v>987</v>
      </c>
      <c r="AP24" s="65"/>
      <c r="AQ24" s="65"/>
      <c r="AR24" s="65"/>
      <c r="AT24" s="60" t="str">
        <f>'Table Seed Map'!$A$27&amp;"-"&amp;COUNTA($AV$1:ListLayout[[#This Row],[No]])-2</f>
        <v>List Layout-22</v>
      </c>
      <c r="AU24" s="61" t="s">
        <v>1093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802522</v>
      </c>
      <c r="AW24" s="60">
        <f>IFERROR(VLOOKUP(ListLayout[[#This Row],[List Name for Layout]],ResourceList[[ListDisplayName]:[No]],2,0),"resource_list")</f>
        <v>802210</v>
      </c>
      <c r="AX24" s="60" t="s">
        <v>901</v>
      </c>
      <c r="AY24" s="65" t="s">
        <v>823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5"/>
      <c r="BD24" s="65"/>
      <c r="BE24" s="65"/>
    </row>
    <row r="25" spans="1:57" x14ac:dyDescent="0.25">
      <c r="AF25" s="60" t="str">
        <f>'Table Seed Map'!$A$28&amp;"-"&amp;COUNTA($AH$1:ListSearch[[#This Row],[No]])-2</f>
        <v>List Search-23</v>
      </c>
      <c r="AG25" s="61" t="s">
        <v>1066</v>
      </c>
      <c r="AH25" s="60">
        <f>IF(ListSearch[[#This Row],[List Name for Search]]="","id",-1+COUNTA($AG$1:ListSearch[[#This Row],[List Name for Search]])+IF(ISNUMBER(VLOOKUP('Table Seed Map'!$A$28,SeedMap[],9,0)),VLOOKUP('Table Seed Map'!$A$28,SeedMap[],9,0),0))</f>
        <v>802623</v>
      </c>
      <c r="AI25" s="60">
        <f>IFERROR(VLOOKUP(ListSearch[[#This Row],[List Name for Search]],ResourceList[[ListDisplayName]:[No]],2,0),"resource_list")</f>
        <v>802209</v>
      </c>
      <c r="AJ25" s="65" t="s">
        <v>23</v>
      </c>
      <c r="AK25" s="60">
        <f>IF(ListSearch[[#This Row],[List Name for Search]]="","relation",IFERROR(VLOOKUP(ListSearch[[#This Row],[Relation]],RelationTable[[Display]:[RELID]],2,0),""))</f>
        <v>800810</v>
      </c>
      <c r="AL25" s="60" t="str">
        <f>IF(ListSearch[[#This Row],[List Name for Search]]="","nest_relation1",IFERROR(VLOOKUP(ListSearch[[#This Row],[Relation 1]],RelationTable[[Display]:[RELID]],2,0),""))</f>
        <v/>
      </c>
      <c r="AM25" s="60" t="str">
        <f>IF(ListSearch[[#This Row],[List Name for Search]]="","nest_relation2",IFERROR(VLOOKUP(ListSearch[[#This Row],[Relation 2]],RelationTable[[Display]:[RELID]],2,0),""))</f>
        <v/>
      </c>
      <c r="AN25" s="60" t="str">
        <f>IF(ListSearch[[#This Row],[List Name for Search]]="","nest_relation3",IFERROR(VLOOKUP(ListSearch[[#This Row],[Relation 3]],RelationTable[[Display]:[RELID]],2,0),""))</f>
        <v/>
      </c>
      <c r="AO25" s="13" t="s">
        <v>1061</v>
      </c>
      <c r="AP25" s="65"/>
      <c r="AQ25" s="65"/>
      <c r="AR25" s="65"/>
      <c r="AT25" s="60" t="str">
        <f>'Table Seed Map'!$A$27&amp;"-"&amp;COUNTA($AV$1:ListLayout[[#This Row],[No]])-2</f>
        <v>List Layout-23</v>
      </c>
      <c r="AU25" s="61" t="s">
        <v>1093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802523</v>
      </c>
      <c r="AW25" s="60">
        <f>IFERROR(VLOOKUP(ListLayout[[#This Row],[List Name for Layout]],ResourceList[[ListDisplayName]:[No]],2,0),"resource_list")</f>
        <v>802210</v>
      </c>
      <c r="AX25" s="60" t="s">
        <v>1064</v>
      </c>
      <c r="AY25" s="65" t="s">
        <v>1065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5"/>
      <c r="BD25" s="65"/>
      <c r="BE25" s="65"/>
    </row>
    <row r="26" spans="1:57" x14ac:dyDescent="0.25">
      <c r="AF26" s="60" t="str">
        <f>'Table Seed Map'!$A$28&amp;"-"&amp;COUNTA($AH$1:ListSearch[[#This Row],[No]])-2</f>
        <v>List Search-24</v>
      </c>
      <c r="AG26" s="61" t="s">
        <v>1066</v>
      </c>
      <c r="AH26" s="60">
        <f>IF(ListSearch[[#This Row],[List Name for Search]]="","id",-1+COUNTA($AG$1:ListSearch[[#This Row],[List Name for Search]])+IF(ISNUMBER(VLOOKUP('Table Seed Map'!$A$28,SeedMap[],9,0)),VLOOKUP('Table Seed Map'!$A$28,SeedMap[],9,0),0))</f>
        <v>802624</v>
      </c>
      <c r="AI26" s="60">
        <f>IFERROR(VLOOKUP(ListSearch[[#This Row],[List Name for Search]],ResourceList[[ListDisplayName]:[No]],2,0),"resource_list")</f>
        <v>802209</v>
      </c>
      <c r="AJ26" s="65" t="s">
        <v>1111</v>
      </c>
      <c r="AK26" s="60" t="str">
        <f>IF(ListSearch[[#This Row],[List Name for Search]]="","relation",IFERROR(VLOOKUP(ListSearch[[#This Row],[Relation]],RelationTable[[Display]:[RELID]],2,0),""))</f>
        <v/>
      </c>
      <c r="AL26" s="60" t="str">
        <f>IF(ListSearch[[#This Row],[List Name for Search]]="","nest_relation1",IFERROR(VLOOKUP(ListSearch[[#This Row],[Relation 1]],RelationTable[[Display]:[RELID]],2,0),""))</f>
        <v/>
      </c>
      <c r="AM26" s="60" t="str">
        <f>IF(ListSearch[[#This Row],[List Name for Search]]="","nest_relation2",IFERROR(VLOOKUP(ListSearch[[#This Row],[Relation 2]],RelationTable[[Display]:[RELID]],2,0),""))</f>
        <v/>
      </c>
      <c r="AN26" s="60" t="str">
        <f>IF(ListSearch[[#This Row],[List Name for Search]]="","nest_relation3",IFERROR(VLOOKUP(ListSearch[[#This Row],[Relation 3]],RelationTable[[Display]:[RELID]],2,0),""))</f>
        <v/>
      </c>
      <c r="AO26" s="65"/>
      <c r="AP26" s="65"/>
      <c r="AQ26" s="65"/>
      <c r="AR26" s="65"/>
      <c r="AT26" s="60" t="str">
        <f>'Table Seed Map'!$A$27&amp;"-"&amp;COUNTA($AV$1:ListLayout[[#This Row],[No]])-2</f>
        <v>List Layout-24</v>
      </c>
      <c r="AU26" s="61" t="s">
        <v>1093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802524</v>
      </c>
      <c r="AW26" s="60">
        <f>IFERROR(VLOOKUP(ListLayout[[#This Row],[List Name for Layout]],ResourceList[[ListDisplayName]:[No]],2,0),"resource_list")</f>
        <v>802210</v>
      </c>
      <c r="AX26" s="60" t="s">
        <v>1112</v>
      </c>
      <c r="AY26" s="65" t="s">
        <v>1111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5"/>
      <c r="BD26" s="65"/>
      <c r="BE26" s="65"/>
    </row>
    <row r="27" spans="1:57" x14ac:dyDescent="0.25">
      <c r="AF27" s="60" t="str">
        <f>'Table Seed Map'!$A$28&amp;"-"&amp;COUNTA($AH$1:ListSearch[[#This Row],[No]])-2</f>
        <v>List Search-25</v>
      </c>
      <c r="AG27" s="61" t="s">
        <v>1093</v>
      </c>
      <c r="AH27" s="60">
        <f>IF(ListSearch[[#This Row],[List Name for Search]]="","id",-1+COUNTA($AG$1:ListSearch[[#This Row],[List Name for Search]])+IF(ISNUMBER(VLOOKUP('Table Seed Map'!$A$28,SeedMap[],9,0)),VLOOKUP('Table Seed Map'!$A$28,SeedMap[],9,0),0))</f>
        <v>802625</v>
      </c>
      <c r="AI27" s="60">
        <f>IFERROR(VLOOKUP(ListSearch[[#This Row],[List Name for Search]],ResourceList[[ListDisplayName]:[No]],2,0),"resource_list")</f>
        <v>802210</v>
      </c>
      <c r="AJ27" s="65" t="s">
        <v>23</v>
      </c>
      <c r="AK27" s="60">
        <f>IF(ListSearch[[#This Row],[List Name for Search]]="","relation",IFERROR(VLOOKUP(ListSearch[[#This Row],[Relation]],RelationTable[[Display]:[RELID]],2,0),""))</f>
        <v>800810</v>
      </c>
      <c r="AL27" s="60" t="str">
        <f>IF(ListSearch[[#This Row],[List Name for Search]]="","nest_relation1",IFERROR(VLOOKUP(ListSearch[[#This Row],[Relation 1]],RelationTable[[Display]:[RELID]],2,0),""))</f>
        <v/>
      </c>
      <c r="AM27" s="60" t="str">
        <f>IF(ListSearch[[#This Row],[List Name for Search]]="","nest_relation2",IFERROR(VLOOKUP(ListSearch[[#This Row],[Relation 2]],RelationTable[[Display]:[RELID]],2,0),""))</f>
        <v/>
      </c>
      <c r="AN27" s="60" t="str">
        <f>IF(ListSearch[[#This Row],[List Name for Search]]="","nest_relation3",IFERROR(VLOOKUP(ListSearch[[#This Row],[Relation 3]],RelationTable[[Display]:[RELID]],2,0),""))</f>
        <v/>
      </c>
      <c r="AO27" s="13" t="s">
        <v>1061</v>
      </c>
      <c r="AP27" s="65"/>
      <c r="AQ27" s="65"/>
      <c r="AR27" s="65"/>
      <c r="AT27" s="60" t="str">
        <f>'Table Seed Map'!$A$27&amp;"-"&amp;COUNTA($AV$1:ListLayout[[#This Row],[No]])-2</f>
        <v>List Layout-25</v>
      </c>
      <c r="AU27" s="61" t="s">
        <v>1100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802525</v>
      </c>
      <c r="AW27" s="60">
        <f>IFERROR(VLOOKUP(ListLayout[[#This Row],[List Name for Layout]],ResourceList[[ListDisplayName]:[No]],2,0),"resource_list")</f>
        <v>802211</v>
      </c>
      <c r="AX27" s="60" t="s">
        <v>1126</v>
      </c>
      <c r="AY27" s="65" t="s">
        <v>23</v>
      </c>
      <c r="AZ27" s="60">
        <f>IF(ListLayout[[#This Row],[List Name for Layout]]="","relation",IFERROR(VLOOKUP(ListLayout[[#This Row],[Relation]],RelationTable[[Display]:[RELID]],2,0),""))</f>
        <v>800814</v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5" t="s">
        <v>1148</v>
      </c>
      <c r="BD27" s="65"/>
      <c r="BE27" s="65"/>
    </row>
    <row r="28" spans="1:57" x14ac:dyDescent="0.25">
      <c r="AF28" s="60" t="str">
        <f>'Table Seed Map'!$A$28&amp;"-"&amp;COUNTA($AH$1:ListSearch[[#This Row],[No]])-2</f>
        <v>List Search-26</v>
      </c>
      <c r="AG28" s="61" t="s">
        <v>1093</v>
      </c>
      <c r="AH28" s="60">
        <f>IF(ListSearch[[#This Row],[List Name for Search]]="","id",-1+COUNTA($AG$1:ListSearch[[#This Row],[List Name for Search]])+IF(ISNUMBER(VLOOKUP('Table Seed Map'!$A$28,SeedMap[],9,0)),VLOOKUP('Table Seed Map'!$A$28,SeedMap[],9,0),0))</f>
        <v>802626</v>
      </c>
      <c r="AI28" s="60">
        <f>IFERROR(VLOOKUP(ListSearch[[#This Row],[List Name for Search]],ResourceList[[ListDisplayName]:[No]],2,0),"resource_list")</f>
        <v>802210</v>
      </c>
      <c r="AJ28" s="65" t="s">
        <v>23</v>
      </c>
      <c r="AK28" s="60">
        <f>IF(ListSearch[[#This Row],[List Name for Search]]="","relation",IFERROR(VLOOKUP(ListSearch[[#This Row],[Relation]],RelationTable[[Display]:[RELID]],2,0),""))</f>
        <v>800809</v>
      </c>
      <c r="AL28" s="60" t="str">
        <f>IF(ListSearch[[#This Row],[List Name for Search]]="","nest_relation1",IFERROR(VLOOKUP(ListSearch[[#This Row],[Relation 1]],RelationTable[[Display]:[RELID]],2,0),""))</f>
        <v/>
      </c>
      <c r="AM28" s="60" t="str">
        <f>IF(ListSearch[[#This Row],[List Name for Search]]="","nest_relation2",IFERROR(VLOOKUP(ListSearch[[#This Row],[Relation 2]],RelationTable[[Display]:[RELID]],2,0),""))</f>
        <v/>
      </c>
      <c r="AN28" s="60" t="str">
        <f>IF(ListSearch[[#This Row],[List Name for Search]]="","nest_relation3",IFERROR(VLOOKUP(ListSearch[[#This Row],[Relation 3]],RelationTable[[Display]:[RELID]],2,0),""))</f>
        <v/>
      </c>
      <c r="AO28" s="13" t="s">
        <v>987</v>
      </c>
      <c r="AP28" s="65"/>
      <c r="AQ28" s="65"/>
      <c r="AR28" s="65"/>
      <c r="AT28" s="60" t="str">
        <f>'Table Seed Map'!$A$27&amp;"-"&amp;COUNTA($AV$1:ListLayout[[#This Row],[No]])-2</f>
        <v>List Layout-26</v>
      </c>
      <c r="AU28" s="61" t="s">
        <v>1100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802526</v>
      </c>
      <c r="AW28" s="60">
        <f>IFERROR(VLOOKUP(ListLayout[[#This Row],[List Name for Layout]],ResourceList[[ListDisplayName]:[No]],2,0),"resource_list")</f>
        <v>802211</v>
      </c>
      <c r="AX28" s="60" t="s">
        <v>845</v>
      </c>
      <c r="AY28" s="65" t="s">
        <v>23</v>
      </c>
      <c r="AZ28" s="60">
        <f>IF(ListLayout[[#This Row],[List Name for Layout]]="","relation",IFERROR(VLOOKUP(ListLayout[[#This Row],[Relation]],RelationTable[[Display]:[RELID]],2,0),""))</f>
        <v>800809</v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5" t="s">
        <v>987</v>
      </c>
      <c r="BD28" s="65"/>
      <c r="BE28" s="65"/>
    </row>
    <row r="29" spans="1:57" x14ac:dyDescent="0.25">
      <c r="AF29" s="60" t="str">
        <f>'Table Seed Map'!$A$28&amp;"-"&amp;COUNTA($AH$1:ListSearch[[#This Row],[No]])-2</f>
        <v>List Search-27</v>
      </c>
      <c r="AG29" s="61" t="s">
        <v>1093</v>
      </c>
      <c r="AH29" s="60">
        <f>IF(ListSearch[[#This Row],[List Name for Search]]="","id",-1+COUNTA($AG$1:ListSearch[[#This Row],[List Name for Search]])+IF(ISNUMBER(VLOOKUP('Table Seed Map'!$A$28,SeedMap[],9,0)),VLOOKUP('Table Seed Map'!$A$28,SeedMap[],9,0),0))</f>
        <v>802627</v>
      </c>
      <c r="AI29" s="60">
        <f>IFERROR(VLOOKUP(ListSearch[[#This Row],[List Name for Search]],ResourceList[[ListDisplayName]:[No]],2,0),"resource_list")</f>
        <v>802210</v>
      </c>
      <c r="AJ29" s="65" t="s">
        <v>24</v>
      </c>
      <c r="AK29" s="60">
        <f>IF(ListSearch[[#This Row],[List Name for Search]]="","relation",IFERROR(VLOOKUP(ListSearch[[#This Row],[Relation]],RelationTable[[Display]:[RELID]],2,0),""))</f>
        <v>800809</v>
      </c>
      <c r="AL29" s="60" t="str">
        <f>IF(ListSearch[[#This Row],[List Name for Search]]="","nest_relation1",IFERROR(VLOOKUP(ListSearch[[#This Row],[Relation 1]],RelationTable[[Display]:[RELID]],2,0),""))</f>
        <v/>
      </c>
      <c r="AM29" s="60" t="str">
        <f>IF(ListSearch[[#This Row],[List Name for Search]]="","nest_relation2",IFERROR(VLOOKUP(ListSearch[[#This Row],[Relation 2]],RelationTable[[Display]:[RELID]],2,0),""))</f>
        <v/>
      </c>
      <c r="AN29" s="60" t="str">
        <f>IF(ListSearch[[#This Row],[List Name for Search]]="","nest_relation3",IFERROR(VLOOKUP(ListSearch[[#This Row],[Relation 3]],RelationTable[[Display]:[RELID]],2,0),""))</f>
        <v/>
      </c>
      <c r="AO29" s="13" t="s">
        <v>987</v>
      </c>
      <c r="AP29" s="65"/>
      <c r="AQ29" s="65"/>
      <c r="AR29" s="65"/>
      <c r="AT29" s="60" t="str">
        <f>'Table Seed Map'!$A$27&amp;"-"&amp;COUNTA($AV$1:ListLayout[[#This Row],[No]])-2</f>
        <v>List Layout-27</v>
      </c>
      <c r="AU29" s="61" t="s">
        <v>1100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802527</v>
      </c>
      <c r="AW29" s="60">
        <f>IFERROR(VLOOKUP(ListLayout[[#This Row],[List Name for Layout]],ResourceList[[ListDisplayName]:[No]],2,0),"resource_list")</f>
        <v>802211</v>
      </c>
      <c r="AX29" s="60" t="s">
        <v>901</v>
      </c>
      <c r="AY29" s="65" t="s">
        <v>823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5"/>
      <c r="BD29" s="65"/>
      <c r="BE29" s="65"/>
    </row>
    <row r="30" spans="1:57" x14ac:dyDescent="0.25">
      <c r="AF30" s="60" t="str">
        <f>'Table Seed Map'!$A$28&amp;"-"&amp;COUNTA($AH$1:ListSearch[[#This Row],[No]])-2</f>
        <v>List Search-28</v>
      </c>
      <c r="AG30" s="61" t="s">
        <v>1093</v>
      </c>
      <c r="AH30" s="60">
        <f>IF(ListSearch[[#This Row],[List Name for Search]]="","id",-1+COUNTA($AG$1:ListSearch[[#This Row],[List Name for Search]])+IF(ISNUMBER(VLOOKUP('Table Seed Map'!$A$28,SeedMap[],9,0)),VLOOKUP('Table Seed Map'!$A$28,SeedMap[],9,0),0))</f>
        <v>802628</v>
      </c>
      <c r="AI30" s="60">
        <f>IFERROR(VLOOKUP(ListSearch[[#This Row],[List Name for Search]],ResourceList[[ListDisplayName]:[No]],2,0),"resource_list")</f>
        <v>802210</v>
      </c>
      <c r="AJ30" s="65" t="s">
        <v>1111</v>
      </c>
      <c r="AK30" s="60" t="str">
        <f>IF(ListSearch[[#This Row],[List Name for Search]]="","relation",IFERROR(VLOOKUP(ListSearch[[#This Row],[Relation]],RelationTable[[Display]:[RELID]],2,0),""))</f>
        <v/>
      </c>
      <c r="AL30" s="60" t="str">
        <f>IF(ListSearch[[#This Row],[List Name for Search]]="","nest_relation1",IFERROR(VLOOKUP(ListSearch[[#This Row],[Relation 1]],RelationTable[[Display]:[RELID]],2,0),""))</f>
        <v/>
      </c>
      <c r="AM30" s="60" t="str">
        <f>IF(ListSearch[[#This Row],[List Name for Search]]="","nest_relation2",IFERROR(VLOOKUP(ListSearch[[#This Row],[Relation 2]],RelationTable[[Display]:[RELID]],2,0),""))</f>
        <v/>
      </c>
      <c r="AN30" s="60" t="str">
        <f>IF(ListSearch[[#This Row],[List Name for Search]]="","nest_relation3",IFERROR(VLOOKUP(ListSearch[[#This Row],[Relation 3]],RelationTable[[Display]:[RELID]],2,0),""))</f>
        <v/>
      </c>
      <c r="AO30" s="65"/>
      <c r="AP30" s="65"/>
      <c r="AQ30" s="65"/>
      <c r="AR30" s="65"/>
      <c r="AT30" s="60" t="str">
        <f>'Table Seed Map'!$A$27&amp;"-"&amp;COUNTA($AV$1:ListLayout[[#This Row],[No]])-2</f>
        <v>List Layout-28</v>
      </c>
      <c r="AU30" s="61" t="s">
        <v>1100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802528</v>
      </c>
      <c r="AW30" s="60">
        <f>IFERROR(VLOOKUP(ListLayout[[#This Row],[List Name for Layout]],ResourceList[[ListDisplayName]:[No]],2,0),"resource_list")</f>
        <v>802211</v>
      </c>
      <c r="AX30" s="60" t="s">
        <v>1064</v>
      </c>
      <c r="AY30" s="65" t="s">
        <v>1065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5"/>
      <c r="BD30" s="65"/>
      <c r="BE30" s="65"/>
    </row>
    <row r="31" spans="1:57" x14ac:dyDescent="0.25">
      <c r="AF31" s="60" t="str">
        <f>'Table Seed Map'!$A$28&amp;"-"&amp;COUNTA($AH$1:ListSearch[[#This Row],[No]])-2</f>
        <v>List Search-29</v>
      </c>
      <c r="AG31" s="61" t="s">
        <v>1147</v>
      </c>
      <c r="AH31" s="60">
        <f>IF(ListSearch[[#This Row],[List Name for Search]]="","id",-1+COUNTA($AG$1:ListSearch[[#This Row],[List Name for Search]])+IF(ISNUMBER(VLOOKUP('Table Seed Map'!$A$28,SeedMap[],9,0)),VLOOKUP('Table Seed Map'!$A$28,SeedMap[],9,0),0))</f>
        <v>802629</v>
      </c>
      <c r="AI31" s="60">
        <f>IFERROR(VLOOKUP(ListSearch[[#This Row],[List Name for Search]],ResourceList[[ListDisplayName]:[No]],2,0),"resource_list")</f>
        <v>802212</v>
      </c>
      <c r="AJ31" s="65" t="s">
        <v>23</v>
      </c>
      <c r="AK31" s="60" t="str">
        <f>IF(ListSearch[[#This Row],[List Name for Search]]="","relation",IFERROR(VLOOKUP(ListSearch[[#This Row],[Relation]],RelationTable[[Display]:[RELID]],2,0),""))</f>
        <v/>
      </c>
      <c r="AL31" s="60" t="str">
        <f>IF(ListSearch[[#This Row],[List Name for Search]]="","nest_relation1",IFERROR(VLOOKUP(ListSearch[[#This Row],[Relation 1]],RelationTable[[Display]:[RELID]],2,0),""))</f>
        <v/>
      </c>
      <c r="AM31" s="60" t="str">
        <f>IF(ListSearch[[#This Row],[List Name for Search]]="","nest_relation2",IFERROR(VLOOKUP(ListSearch[[#This Row],[Relation 2]],RelationTable[[Display]:[RELID]],2,0),""))</f>
        <v/>
      </c>
      <c r="AN31" s="60" t="str">
        <f>IF(ListSearch[[#This Row],[List Name for Search]]="","nest_relation3",IFERROR(VLOOKUP(ListSearch[[#This Row],[Relation 3]],RelationTable[[Display]:[RELID]],2,0),""))</f>
        <v/>
      </c>
      <c r="AO31" s="65"/>
      <c r="AP31" s="65"/>
      <c r="AQ31" s="65"/>
      <c r="AR31" s="65"/>
      <c r="AT31" s="60" t="str">
        <f>'Table Seed Map'!$A$27&amp;"-"&amp;COUNTA($AV$1:ListLayout[[#This Row],[No]])-2</f>
        <v>List Layout-29</v>
      </c>
      <c r="AU31" s="61" t="s">
        <v>1100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802529</v>
      </c>
      <c r="AW31" s="60">
        <f>IFERROR(VLOOKUP(ListLayout[[#This Row],[List Name for Layout]],ResourceList[[ListDisplayName]:[No]],2,0),"resource_list")</f>
        <v>802211</v>
      </c>
      <c r="AX31" s="60" t="s">
        <v>1112</v>
      </c>
      <c r="AY31" s="65" t="s">
        <v>1111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5"/>
      <c r="BD31" s="65"/>
      <c r="BE31" s="65"/>
    </row>
    <row r="32" spans="1:57" x14ac:dyDescent="0.25">
      <c r="AF32" s="60" t="str">
        <f>'Table Seed Map'!$A$28&amp;"-"&amp;COUNTA($AH$1:ListSearch[[#This Row],[No]])-2</f>
        <v>List Search-30</v>
      </c>
      <c r="AG32" s="61" t="s">
        <v>1147</v>
      </c>
      <c r="AH32" s="60">
        <f>IF(ListSearch[[#This Row],[List Name for Search]]="","id",-1+COUNTA($AG$1:ListSearch[[#This Row],[List Name for Search]])+IF(ISNUMBER(VLOOKUP('Table Seed Map'!$A$28,SeedMap[],9,0)),VLOOKUP('Table Seed Map'!$A$28,SeedMap[],9,0),0))</f>
        <v>802630</v>
      </c>
      <c r="AI32" s="60">
        <f>IFERROR(VLOOKUP(ListSearch[[#This Row],[List Name for Search]],ResourceList[[ListDisplayName]:[No]],2,0),"resource_list")</f>
        <v>802212</v>
      </c>
      <c r="AJ32" s="65" t="s">
        <v>809</v>
      </c>
      <c r="AK32" s="60" t="str">
        <f>IF(ListSearch[[#This Row],[List Name for Search]]="","relation",IFERROR(VLOOKUP(ListSearch[[#This Row],[Relation]],RelationTable[[Display]:[RELID]],2,0),""))</f>
        <v/>
      </c>
      <c r="AL32" s="60" t="str">
        <f>IF(ListSearch[[#This Row],[List Name for Search]]="","nest_relation1",IFERROR(VLOOKUP(ListSearch[[#This Row],[Relation 1]],RelationTable[[Display]:[RELID]],2,0),""))</f>
        <v/>
      </c>
      <c r="AM32" s="60" t="str">
        <f>IF(ListSearch[[#This Row],[List Name for Search]]="","nest_relation2",IFERROR(VLOOKUP(ListSearch[[#This Row],[Relation 2]],RelationTable[[Display]:[RELID]],2,0),""))</f>
        <v/>
      </c>
      <c r="AN32" s="60" t="str">
        <f>IF(ListSearch[[#This Row],[List Name for Search]]="","nest_relation3",IFERROR(VLOOKUP(ListSearch[[#This Row],[Relation 3]],RelationTable[[Display]:[RELID]],2,0),""))</f>
        <v/>
      </c>
      <c r="AO32" s="65"/>
      <c r="AP32" s="65"/>
      <c r="AQ32" s="65"/>
      <c r="AR32" s="65"/>
      <c r="AT32" s="60" t="str">
        <f>'Table Seed Map'!$A$27&amp;"-"&amp;COUNTA($AV$1:ListLayout[[#This Row],[No]])-2</f>
        <v>List Layout-30</v>
      </c>
      <c r="AU32" s="61" t="s">
        <v>1147</v>
      </c>
      <c r="AV32" s="60">
        <f>IF(ListLayout[[#This Row],[List Name for Layout]]="","id",COUNTA($AU$2:ListLayout[[#This Row],[List Name for Layout]])+IF(ISNUMBER(VLOOKUP('Table Seed Map'!$A$27,SeedMap[],9,0)),VLOOKUP('Table Seed Map'!$A$27,SeedMap[],9,0),0))</f>
        <v>802530</v>
      </c>
      <c r="AW32" s="60">
        <f>IFERROR(VLOOKUP(ListLayout[[#This Row],[List Name for Layout]],ResourceList[[ListDisplayName]:[No]],2,0),"resource_list")</f>
        <v>802212</v>
      </c>
      <c r="AX32" s="60" t="s">
        <v>1</v>
      </c>
      <c r="AY32" s="65" t="s">
        <v>23</v>
      </c>
      <c r="AZ32" s="60" t="str">
        <f>IF(ListLayout[[#This Row],[List Name for Layout]]="","relation",IFERROR(VLOOKUP(ListLayout[[#This Row],[Relation]],RelationTable[[Display]:[RELID]],2,0),""))</f>
        <v/>
      </c>
      <c r="BA32" s="60" t="str">
        <f>IF(ListLayout[[#This Row],[List Name for Layout]]="","nest_relation1",IFERROR(VLOOKUP(ListLayout[[#This Row],[Relation 1]],RelationTable[[Display]:[RELID]],2,0),""))</f>
        <v/>
      </c>
      <c r="BB32" s="60" t="str">
        <f>IF(ListLayout[[#This Row],[List Name for Layout]]="","nest_relation2",IFERROR(VLOOKUP(ListLayout[[#This Row],[Relation 2]],RelationTable[[Display]:[RELID]],2,0),""))</f>
        <v/>
      </c>
      <c r="BC32" s="65"/>
      <c r="BD32" s="65"/>
      <c r="BE32" s="65"/>
    </row>
    <row r="33" spans="32:57" x14ac:dyDescent="0.25">
      <c r="AF33" s="15" t="str">
        <f>'Table Seed Map'!$A$28&amp;"-"&amp;COUNTA($AH$1:ListSearch[[#This Row],[No]])-2</f>
        <v>List Search-31</v>
      </c>
      <c r="AG33" s="2" t="s">
        <v>1230</v>
      </c>
      <c r="AH33" s="15">
        <f>IF(ListSearch[[#This Row],[List Name for Search]]="","id",-1+COUNTA($AG$1:ListSearch[[#This Row],[List Name for Search]])+IF(ISNUMBER(VLOOKUP('Table Seed Map'!$A$28,SeedMap[],9,0)),VLOOKUP('Table Seed Map'!$A$28,SeedMap[],9,0),0))</f>
        <v>802631</v>
      </c>
      <c r="AI33" s="15">
        <f>IFERROR(VLOOKUP(ListSearch[[#This Row],[List Name for Search]],ResourceList[[ListDisplayName]:[No]],2,0),"resource_list")</f>
        <v>802214</v>
      </c>
      <c r="AJ33" s="13" t="s">
        <v>23</v>
      </c>
      <c r="AK33" s="15" t="str">
        <f>IF(ListSearch[[#This Row],[List Name for Search]]="","relation",IFERROR(VLOOKUP(ListSearch[[#This Row],[Relation]],RelationTable[[Display]:[RELID]],2,0),""))</f>
        <v/>
      </c>
      <c r="AL33" s="15" t="str">
        <f>IF(ListSearch[[#This Row],[List Name for Search]]="","nest_relation1",IFERROR(VLOOKUP(ListSearch[[#This Row],[Relation 1]],RelationTable[[Display]:[RELID]],2,0),""))</f>
        <v/>
      </c>
      <c r="AM33" s="15" t="str">
        <f>IF(ListSearch[[#This Row],[List Name for Search]]="","nest_relation2",IFERROR(VLOOKUP(ListSearch[[#This Row],[Relation 2]],RelationTable[[Display]:[RELID]],2,0),""))</f>
        <v/>
      </c>
      <c r="AN33" s="15" t="str">
        <f>IF(ListSearch[[#This Row],[List Name for Search]]="","nest_relation3",IFERROR(VLOOKUP(ListSearch[[#This Row],[Relation 3]],RelationTable[[Display]:[RELID]],2,0),""))</f>
        <v/>
      </c>
      <c r="AO33" s="13"/>
      <c r="AP33" s="13"/>
      <c r="AQ33" s="13"/>
      <c r="AR33" s="13"/>
      <c r="AT33" s="60" t="str">
        <f>'Table Seed Map'!$A$27&amp;"-"&amp;COUNTA($AV$1:ListLayout[[#This Row],[No]])-2</f>
        <v>List Layout-31</v>
      </c>
      <c r="AU33" s="61" t="s">
        <v>1147</v>
      </c>
      <c r="AV33" s="60">
        <f>IF(ListLayout[[#This Row],[List Name for Layout]]="","id",COUNTA($AU$2:ListLayout[[#This Row],[List Name for Layout]])+IF(ISNUMBER(VLOOKUP('Table Seed Map'!$A$27,SeedMap[],9,0)),VLOOKUP('Table Seed Map'!$A$27,SeedMap[],9,0),0))</f>
        <v>802531</v>
      </c>
      <c r="AW33" s="60">
        <f>IFERROR(VLOOKUP(ListLayout[[#This Row],[List Name for Layout]],ResourceList[[ListDisplayName]:[No]],2,0),"resource_list")</f>
        <v>802212</v>
      </c>
      <c r="AX33" s="60" t="s">
        <v>901</v>
      </c>
      <c r="AY33" s="65" t="s">
        <v>809</v>
      </c>
      <c r="AZ33" s="60" t="str">
        <f>IF(ListLayout[[#This Row],[List Name for Layout]]="","relation",IFERROR(VLOOKUP(ListLayout[[#This Row],[Relation]],RelationTable[[Display]:[RELID]],2,0),""))</f>
        <v/>
      </c>
      <c r="BA33" s="60" t="str">
        <f>IF(ListLayout[[#This Row],[List Name for Layout]]="","nest_relation1",IFERROR(VLOOKUP(ListLayout[[#This Row],[Relation 1]],RelationTable[[Display]:[RELID]],2,0),""))</f>
        <v/>
      </c>
      <c r="BB33" s="60" t="str">
        <f>IF(ListLayout[[#This Row],[List Name for Layout]]="","nest_relation2",IFERROR(VLOOKUP(ListLayout[[#This Row],[Relation 2]],RelationTable[[Display]:[RELID]],2,0),""))</f>
        <v/>
      </c>
      <c r="BC33" s="65"/>
      <c r="BD33" s="65"/>
      <c r="BE33" s="65"/>
    </row>
    <row r="34" spans="32:57" x14ac:dyDescent="0.25">
      <c r="AF34" s="15" t="str">
        <f>'Table Seed Map'!$A$28&amp;"-"&amp;COUNTA($AH$1:ListSearch[[#This Row],[No]])-2</f>
        <v>List Search-32</v>
      </c>
      <c r="AG34" s="2" t="s">
        <v>1230</v>
      </c>
      <c r="AH34" s="15">
        <f>IF(ListSearch[[#This Row],[List Name for Search]]="","id",-1+COUNTA($AG$1:ListSearch[[#This Row],[List Name for Search]])+IF(ISNUMBER(VLOOKUP('Table Seed Map'!$A$28,SeedMap[],9,0)),VLOOKUP('Table Seed Map'!$A$28,SeedMap[],9,0),0))</f>
        <v>802632</v>
      </c>
      <c r="AI34" s="15">
        <f>IFERROR(VLOOKUP(ListSearch[[#This Row],[List Name for Search]],ResourceList[[ListDisplayName]:[No]],2,0),"resource_list")</f>
        <v>802214</v>
      </c>
      <c r="AJ34" s="13" t="s">
        <v>854</v>
      </c>
      <c r="AK34" s="15" t="str">
        <f>IF(ListSearch[[#This Row],[List Name for Search]]="","relation",IFERROR(VLOOKUP(ListSearch[[#This Row],[Relation]],RelationTable[[Display]:[RELID]],2,0),""))</f>
        <v/>
      </c>
      <c r="AL34" s="15" t="str">
        <f>IF(ListSearch[[#This Row],[List Name for Search]]="","nest_relation1",IFERROR(VLOOKUP(ListSearch[[#This Row],[Relation 1]],RelationTable[[Display]:[RELID]],2,0),""))</f>
        <v/>
      </c>
      <c r="AM34" s="15" t="str">
        <f>IF(ListSearch[[#This Row],[List Name for Search]]="","nest_relation2",IFERROR(VLOOKUP(ListSearch[[#This Row],[Relation 2]],RelationTable[[Display]:[RELID]],2,0),""))</f>
        <v/>
      </c>
      <c r="AN34" s="15" t="str">
        <f>IF(ListSearch[[#This Row],[List Name for Search]]="","nest_relation3",IFERROR(VLOOKUP(ListSearch[[#This Row],[Relation 3]],RelationTable[[Display]:[RELID]],2,0),""))</f>
        <v/>
      </c>
      <c r="AO34" s="13"/>
      <c r="AP34" s="13"/>
      <c r="AQ34" s="13"/>
      <c r="AR34" s="13"/>
      <c r="AT34" s="60" t="str">
        <f>'Table Seed Map'!$A$27&amp;"-"&amp;COUNTA($AV$1:ListLayout[[#This Row],[No]])-2</f>
        <v>List Layout-32</v>
      </c>
      <c r="AU34" s="61" t="s">
        <v>1162</v>
      </c>
      <c r="AV34" s="60">
        <f>IF(ListLayout[[#This Row],[List Name for Layout]]="","id",COUNTA($AU$2:ListLayout[[#This Row],[List Name for Layout]])+IF(ISNUMBER(VLOOKUP('Table Seed Map'!$A$27,SeedMap[],9,0)),VLOOKUP('Table Seed Map'!$A$27,SeedMap[],9,0),0))</f>
        <v>802532</v>
      </c>
      <c r="AW34" s="60">
        <f>IFERROR(VLOOKUP(ListLayout[[#This Row],[List Name for Layout]],ResourceList[[ListDisplayName]:[No]],2,0),"resource_list")</f>
        <v>802213</v>
      </c>
      <c r="AX34" s="60" t="s">
        <v>1</v>
      </c>
      <c r="AY34" s="65" t="s">
        <v>23</v>
      </c>
      <c r="AZ34" s="60" t="str">
        <f>IF(ListLayout[[#This Row],[List Name for Layout]]="","relation",IFERROR(VLOOKUP(ListLayout[[#This Row],[Relation]],RelationTable[[Display]:[RELID]],2,0),""))</f>
        <v/>
      </c>
      <c r="BA34" s="60" t="str">
        <f>IF(ListLayout[[#This Row],[List Name for Layout]]="","nest_relation1",IFERROR(VLOOKUP(ListLayout[[#This Row],[Relation 1]],RelationTable[[Display]:[RELID]],2,0),""))</f>
        <v/>
      </c>
      <c r="BB34" s="60" t="str">
        <f>IF(ListLayout[[#This Row],[List Name for Layout]]="","nest_relation2",IFERROR(VLOOKUP(ListLayout[[#This Row],[Relation 2]],RelationTable[[Display]:[RELID]],2,0),""))</f>
        <v/>
      </c>
      <c r="BC34" s="65"/>
      <c r="BD34" s="65"/>
      <c r="BE34" s="65"/>
    </row>
    <row r="35" spans="32:57" x14ac:dyDescent="0.25">
      <c r="AF35" s="15" t="str">
        <f>'Table Seed Map'!$A$28&amp;"-"&amp;COUNTA($AH$1:ListSearch[[#This Row],[No]])-2</f>
        <v>List Search-33</v>
      </c>
      <c r="AG35" s="2" t="s">
        <v>1230</v>
      </c>
      <c r="AH35" s="15">
        <f>IF(ListSearch[[#This Row],[List Name for Search]]="","id",-1+COUNTA($AG$1:ListSearch[[#This Row],[List Name for Search]])+IF(ISNUMBER(VLOOKUP('Table Seed Map'!$A$28,SeedMap[],9,0)),VLOOKUP('Table Seed Map'!$A$28,SeedMap[],9,0),0))</f>
        <v>802633</v>
      </c>
      <c r="AI35" s="15">
        <f>IFERROR(VLOOKUP(ListSearch[[#This Row],[List Name for Search]],ResourceList[[ListDisplayName]:[No]],2,0),"resource_list")</f>
        <v>802214</v>
      </c>
      <c r="AJ35" s="13" t="s">
        <v>855</v>
      </c>
      <c r="AK35" s="15" t="str">
        <f>IF(ListSearch[[#This Row],[List Name for Search]]="","relation",IFERROR(VLOOKUP(ListSearch[[#This Row],[Relation]],RelationTable[[Display]:[RELID]],2,0),""))</f>
        <v/>
      </c>
      <c r="AL35" s="15" t="str">
        <f>IF(ListSearch[[#This Row],[List Name for Search]]="","nest_relation1",IFERROR(VLOOKUP(ListSearch[[#This Row],[Relation 1]],RelationTable[[Display]:[RELID]],2,0),""))</f>
        <v/>
      </c>
      <c r="AM35" s="15" t="str">
        <f>IF(ListSearch[[#This Row],[List Name for Search]]="","nest_relation2",IFERROR(VLOOKUP(ListSearch[[#This Row],[Relation 2]],RelationTable[[Display]:[RELID]],2,0),""))</f>
        <v/>
      </c>
      <c r="AN35" s="15" t="str">
        <f>IF(ListSearch[[#This Row],[List Name for Search]]="","nest_relation3",IFERROR(VLOOKUP(ListSearch[[#This Row],[Relation 3]],RelationTable[[Display]:[RELID]],2,0),""))</f>
        <v/>
      </c>
      <c r="AO35" s="13"/>
      <c r="AP35" s="13"/>
      <c r="AQ35" s="13"/>
      <c r="AR35" s="13"/>
      <c r="AT35" s="60" t="str">
        <f>'Table Seed Map'!$A$27&amp;"-"&amp;COUNTA($AV$1:ListLayout[[#This Row],[No]])-2</f>
        <v>List Layout-33</v>
      </c>
      <c r="AU35" s="61" t="s">
        <v>1162</v>
      </c>
      <c r="AV35" s="60">
        <f>IF(ListLayout[[#This Row],[List Name for Layout]]="","id",COUNTA($AU$2:ListLayout[[#This Row],[List Name for Layout]])+IF(ISNUMBER(VLOOKUP('Table Seed Map'!$A$27,SeedMap[],9,0)),VLOOKUP('Table Seed Map'!$A$27,SeedMap[],9,0),0))</f>
        <v>802533</v>
      </c>
      <c r="AW35" s="60">
        <f>IFERROR(VLOOKUP(ListLayout[[#This Row],[List Name for Layout]],ResourceList[[ListDisplayName]:[No]],2,0),"resource_list")</f>
        <v>802213</v>
      </c>
      <c r="AX35" s="60" t="s">
        <v>1181</v>
      </c>
      <c r="AY35" s="65" t="s">
        <v>1163</v>
      </c>
      <c r="AZ35" s="60" t="str">
        <f>IF(ListLayout[[#This Row],[List Name for Layout]]="","relation",IFERROR(VLOOKUP(ListLayout[[#This Row],[Relation]],RelationTable[[Display]:[RELID]],2,0),""))</f>
        <v/>
      </c>
      <c r="BA35" s="60" t="str">
        <f>IF(ListLayout[[#This Row],[List Name for Layout]]="","nest_relation1",IFERROR(VLOOKUP(ListLayout[[#This Row],[Relation 1]],RelationTable[[Display]:[RELID]],2,0),""))</f>
        <v/>
      </c>
      <c r="BB35" s="60" t="str">
        <f>IF(ListLayout[[#This Row],[List Name for Layout]]="","nest_relation2",IFERROR(VLOOKUP(ListLayout[[#This Row],[Relation 2]],RelationTable[[Display]:[RELID]],2,0),""))</f>
        <v/>
      </c>
      <c r="BC35" s="65"/>
      <c r="BD35" s="65"/>
      <c r="BE35" s="65"/>
    </row>
    <row r="36" spans="32:57" x14ac:dyDescent="0.25">
      <c r="AF36" s="60" t="str">
        <f>'Table Seed Map'!$A$28&amp;"-"&amp;COUNTA($AH$1:ListSearch[[#This Row],[No]])-2</f>
        <v>List Search-34</v>
      </c>
      <c r="AG36" s="61" t="s">
        <v>1271</v>
      </c>
      <c r="AH36" s="60">
        <f>IF(ListSearch[[#This Row],[List Name for Search]]="","id",-1+COUNTA($AG$1:ListSearch[[#This Row],[List Name for Search]])+IF(ISNUMBER(VLOOKUP('Table Seed Map'!$A$28,SeedMap[],9,0)),VLOOKUP('Table Seed Map'!$A$28,SeedMap[],9,0),0))</f>
        <v>802634</v>
      </c>
      <c r="AI36" s="60">
        <f>IFERROR(VLOOKUP(ListSearch[[#This Row],[List Name for Search]],ResourceList[[ListDisplayName]:[No]],2,0),"resource_list")</f>
        <v>802215</v>
      </c>
      <c r="AJ36" s="65" t="s">
        <v>23</v>
      </c>
      <c r="AK36" s="60">
        <f>IF(ListSearch[[#This Row],[List Name for Search]]="","relation",IFERROR(VLOOKUP(ListSearch[[#This Row],[Relation]],RelationTable[[Display]:[RELID]],2,0),""))</f>
        <v>800809</v>
      </c>
      <c r="AL36" s="60" t="str">
        <f>IF(ListSearch[[#This Row],[List Name for Search]]="","nest_relation1",IFERROR(VLOOKUP(ListSearch[[#This Row],[Relation 1]],RelationTable[[Display]:[RELID]],2,0),""))</f>
        <v/>
      </c>
      <c r="AM36" s="60" t="str">
        <f>IF(ListSearch[[#This Row],[List Name for Search]]="","nest_relation2",IFERROR(VLOOKUP(ListSearch[[#This Row],[Relation 2]],RelationTable[[Display]:[RELID]],2,0),""))</f>
        <v/>
      </c>
      <c r="AN36" s="60" t="str">
        <f>IF(ListSearch[[#This Row],[List Name for Search]]="","nest_relation3",IFERROR(VLOOKUP(ListSearch[[#This Row],[Relation 3]],RelationTable[[Display]:[RELID]],2,0),""))</f>
        <v/>
      </c>
      <c r="AO36" s="65" t="s">
        <v>987</v>
      </c>
      <c r="AP36" s="65"/>
      <c r="AQ36" s="65"/>
      <c r="AR36" s="65"/>
      <c r="AT36" s="60" t="str">
        <f>'Table Seed Map'!$A$27&amp;"-"&amp;COUNTA($AV$1:ListLayout[[#This Row],[No]])-2</f>
        <v>List Layout-34</v>
      </c>
      <c r="AU36" s="61" t="s">
        <v>1162</v>
      </c>
      <c r="AV36" s="60">
        <f>IF(ListLayout[[#This Row],[List Name for Layout]]="","id",COUNTA($AU$2:ListLayout[[#This Row],[List Name for Layout]])+IF(ISNUMBER(VLOOKUP('Table Seed Map'!$A$27,SeedMap[],9,0)),VLOOKUP('Table Seed Map'!$A$27,SeedMap[],9,0),0))</f>
        <v>802534</v>
      </c>
      <c r="AW36" s="60">
        <f>IFERROR(VLOOKUP(ListLayout[[#This Row],[List Name for Layout]],ResourceList[[ListDisplayName]:[No]],2,0),"resource_list")</f>
        <v>802213</v>
      </c>
      <c r="AX36" s="60" t="s">
        <v>993</v>
      </c>
      <c r="AY36" s="65" t="s">
        <v>1164</v>
      </c>
      <c r="AZ36" s="60" t="str">
        <f>IF(ListLayout[[#This Row],[List Name for Layout]]="","relation",IFERROR(VLOOKUP(ListLayout[[#This Row],[Relation]],RelationTable[[Display]:[RELID]],2,0),""))</f>
        <v/>
      </c>
      <c r="BA36" s="60" t="str">
        <f>IF(ListLayout[[#This Row],[List Name for Layout]]="","nest_relation1",IFERROR(VLOOKUP(ListLayout[[#This Row],[Relation 1]],RelationTable[[Display]:[RELID]],2,0),""))</f>
        <v/>
      </c>
      <c r="BB36" s="60" t="str">
        <f>IF(ListLayout[[#This Row],[List Name for Layout]]="","nest_relation2",IFERROR(VLOOKUP(ListLayout[[#This Row],[Relation 2]],RelationTable[[Display]:[RELID]],2,0),""))</f>
        <v/>
      </c>
      <c r="BC36" s="65"/>
      <c r="BD36" s="65"/>
      <c r="BE36" s="65"/>
    </row>
    <row r="37" spans="32:57" x14ac:dyDescent="0.25">
      <c r="AF37" s="60" t="str">
        <f>'Table Seed Map'!$A$28&amp;"-"&amp;COUNTA($AH$1:ListSearch[[#This Row],[No]])-2</f>
        <v>List Search-35</v>
      </c>
      <c r="AG37" s="61" t="s">
        <v>1271</v>
      </c>
      <c r="AH37" s="60">
        <f>IF(ListSearch[[#This Row],[List Name for Search]]="","id",-1+COUNTA($AG$1:ListSearch[[#This Row],[List Name for Search]])+IF(ISNUMBER(VLOOKUP('Table Seed Map'!$A$28,SeedMap[],9,0)),VLOOKUP('Table Seed Map'!$A$28,SeedMap[],9,0),0))</f>
        <v>802635</v>
      </c>
      <c r="AI37" s="60">
        <f>IFERROR(VLOOKUP(ListSearch[[#This Row],[List Name for Search]],ResourceList[[ListDisplayName]:[No]],2,0),"resource_list")</f>
        <v>802215</v>
      </c>
      <c r="AJ37" s="65" t="s">
        <v>23</v>
      </c>
      <c r="AK37" s="60">
        <f>IF(ListSearch[[#This Row],[List Name for Search]]="","relation",IFERROR(VLOOKUP(ListSearch[[#This Row],[Relation]],RelationTable[[Display]:[RELID]],2,0),""))</f>
        <v>800810</v>
      </c>
      <c r="AL37" s="60" t="str">
        <f>IF(ListSearch[[#This Row],[List Name for Search]]="","nest_relation1",IFERROR(VLOOKUP(ListSearch[[#This Row],[Relation 1]],RelationTable[[Display]:[RELID]],2,0),""))</f>
        <v/>
      </c>
      <c r="AM37" s="60" t="str">
        <f>IF(ListSearch[[#This Row],[List Name for Search]]="","nest_relation2",IFERROR(VLOOKUP(ListSearch[[#This Row],[Relation 2]],RelationTable[[Display]:[RELID]],2,0),""))</f>
        <v/>
      </c>
      <c r="AN37" s="60" t="str">
        <f>IF(ListSearch[[#This Row],[List Name for Search]]="","nest_relation3",IFERROR(VLOOKUP(ListSearch[[#This Row],[Relation 3]],RelationTable[[Display]:[RELID]],2,0),""))</f>
        <v/>
      </c>
      <c r="AO37" s="65" t="s">
        <v>1061</v>
      </c>
      <c r="AP37" s="65"/>
      <c r="AQ37" s="65"/>
      <c r="AR37" s="65"/>
      <c r="AT37" s="15" t="str">
        <f>'Table Seed Map'!$A$27&amp;"-"&amp;COUNTA($AV$1:ListLayout[[#This Row],[No]])-2</f>
        <v>List Layout-35</v>
      </c>
      <c r="AU37" s="2" t="s">
        <v>1230</v>
      </c>
      <c r="AV37" s="15">
        <f>IF(ListLayout[[#This Row],[List Name for Layout]]="","id",COUNTA($AU$2:ListLayout[[#This Row],[List Name for Layout]])+IF(ISNUMBER(VLOOKUP('Table Seed Map'!$A$27,SeedMap[],9,0)),VLOOKUP('Table Seed Map'!$A$27,SeedMap[],9,0),0))</f>
        <v>802535</v>
      </c>
      <c r="AW37" s="15">
        <f>IFERROR(VLOOKUP(ListLayout[[#This Row],[List Name for Layout]],ResourceList[[ListDisplayName]:[No]],2,0),"resource_list")</f>
        <v>802214</v>
      </c>
      <c r="AX37" s="15" t="s">
        <v>1</v>
      </c>
      <c r="AY37" s="13" t="s">
        <v>23</v>
      </c>
      <c r="AZ37" s="15" t="str">
        <f>IF(ListLayout[[#This Row],[List Name for Layout]]="","relation",IFERROR(VLOOKUP(ListLayout[[#This Row],[Relation]],RelationTable[[Display]:[RELID]],2,0),""))</f>
        <v/>
      </c>
      <c r="BA37" s="15" t="str">
        <f>IF(ListLayout[[#This Row],[List Name for Layout]]="","nest_relation1",IFERROR(VLOOKUP(ListLayout[[#This Row],[Relation 1]],RelationTable[[Display]:[RELID]],2,0),""))</f>
        <v/>
      </c>
      <c r="BB37" s="15" t="str">
        <f>IF(ListLayout[[#This Row],[List Name for Layout]]="","nest_relation2",IFERROR(VLOOKUP(ListLayout[[#This Row],[Relation 2]],RelationTable[[Display]:[RELID]],2,0),""))</f>
        <v/>
      </c>
      <c r="BC37" s="13"/>
      <c r="BD37" s="13"/>
      <c r="BE37" s="13"/>
    </row>
    <row r="38" spans="32:57" x14ac:dyDescent="0.25">
      <c r="AF38" s="60" t="str">
        <f>'Table Seed Map'!$A$28&amp;"-"&amp;COUNTA($AH$1:ListSearch[[#This Row],[No]])-2</f>
        <v>List Search-36</v>
      </c>
      <c r="AG38" s="61" t="s">
        <v>1270</v>
      </c>
      <c r="AH38" s="60">
        <f>IF(ListSearch[[#This Row],[List Name for Search]]="","id",-1+COUNTA($AG$1:ListSearch[[#This Row],[List Name for Search]])+IF(ISNUMBER(VLOOKUP('Table Seed Map'!$A$28,SeedMap[],9,0)),VLOOKUP('Table Seed Map'!$A$28,SeedMap[],9,0),0))</f>
        <v>802636</v>
      </c>
      <c r="AI38" s="60">
        <f>IFERROR(VLOOKUP(ListSearch[[#This Row],[List Name for Search]],ResourceList[[ListDisplayName]:[No]],2,0),"resource_list")</f>
        <v>802216</v>
      </c>
      <c r="AJ38" s="65" t="s">
        <v>23</v>
      </c>
      <c r="AK38" s="60">
        <f>IF(ListSearch[[#This Row],[List Name for Search]]="","relation",IFERROR(VLOOKUP(ListSearch[[#This Row],[Relation]],RelationTable[[Display]:[RELID]],2,0),""))</f>
        <v>800809</v>
      </c>
      <c r="AL38" s="60" t="str">
        <f>IF(ListSearch[[#This Row],[List Name for Search]]="","nest_relation1",IFERROR(VLOOKUP(ListSearch[[#This Row],[Relation 1]],RelationTable[[Display]:[RELID]],2,0),""))</f>
        <v/>
      </c>
      <c r="AM38" s="60" t="str">
        <f>IF(ListSearch[[#This Row],[List Name for Search]]="","nest_relation2",IFERROR(VLOOKUP(ListSearch[[#This Row],[Relation 2]],RelationTable[[Display]:[RELID]],2,0),""))</f>
        <v/>
      </c>
      <c r="AN38" s="60" t="str">
        <f>IF(ListSearch[[#This Row],[List Name for Search]]="","nest_relation3",IFERROR(VLOOKUP(ListSearch[[#This Row],[Relation 3]],RelationTable[[Display]:[RELID]],2,0),""))</f>
        <v/>
      </c>
      <c r="AO38" s="65" t="s">
        <v>987</v>
      </c>
      <c r="AP38" s="65"/>
      <c r="AQ38" s="65"/>
      <c r="AR38" s="65"/>
      <c r="AT38" s="15" t="str">
        <f>'Table Seed Map'!$A$27&amp;"-"&amp;COUNTA($AV$1:ListLayout[[#This Row],[No]])-2</f>
        <v>List Layout-36</v>
      </c>
      <c r="AU38" s="2" t="s">
        <v>1230</v>
      </c>
      <c r="AV38" s="15">
        <f>IF(ListLayout[[#This Row],[List Name for Layout]]="","id",COUNTA($AU$2:ListLayout[[#This Row],[List Name for Layout]])+IF(ISNUMBER(VLOOKUP('Table Seed Map'!$A$27,SeedMap[],9,0)),VLOOKUP('Table Seed Map'!$A$27,SeedMap[],9,0),0))</f>
        <v>802536</v>
      </c>
      <c r="AW38" s="15">
        <f>IFERROR(VLOOKUP(ListLayout[[#This Row],[List Name for Layout]],ResourceList[[ListDisplayName]:[No]],2,0),"resource_list")</f>
        <v>802214</v>
      </c>
      <c r="AX38" s="15" t="s">
        <v>919</v>
      </c>
      <c r="AY38" s="13" t="s">
        <v>854</v>
      </c>
      <c r="AZ38" s="15" t="str">
        <f>IF(ListLayout[[#This Row],[List Name for Layout]]="","relation",IFERROR(VLOOKUP(ListLayout[[#This Row],[Relation]],RelationTable[[Display]:[RELID]],2,0),""))</f>
        <v/>
      </c>
      <c r="BA38" s="15" t="str">
        <f>IF(ListLayout[[#This Row],[List Name for Layout]]="","nest_relation1",IFERROR(VLOOKUP(ListLayout[[#This Row],[Relation 1]],RelationTable[[Display]:[RELID]],2,0),""))</f>
        <v/>
      </c>
      <c r="BB38" s="15" t="str">
        <f>IF(ListLayout[[#This Row],[List Name for Layout]]="","nest_relation2",IFERROR(VLOOKUP(ListLayout[[#This Row],[Relation 2]],RelationTable[[Display]:[RELID]],2,0),""))</f>
        <v/>
      </c>
      <c r="BC38" s="13"/>
      <c r="BD38" s="13"/>
      <c r="BE38" s="13"/>
    </row>
    <row r="39" spans="32:57" x14ac:dyDescent="0.25">
      <c r="AF39" s="60" t="str">
        <f>'Table Seed Map'!$A$28&amp;"-"&amp;COUNTA($AH$1:ListSearch[[#This Row],[No]])-2</f>
        <v>List Search-37</v>
      </c>
      <c r="AG39" s="61" t="s">
        <v>1270</v>
      </c>
      <c r="AH39" s="60">
        <f>IF(ListSearch[[#This Row],[List Name for Search]]="","id",-1+COUNTA($AG$1:ListSearch[[#This Row],[List Name for Search]])+IF(ISNUMBER(VLOOKUP('Table Seed Map'!$A$28,SeedMap[],9,0)),VLOOKUP('Table Seed Map'!$A$28,SeedMap[],9,0),0))</f>
        <v>802637</v>
      </c>
      <c r="AI39" s="60">
        <f>IFERROR(VLOOKUP(ListSearch[[#This Row],[List Name for Search]],ResourceList[[ListDisplayName]:[No]],2,0),"resource_list")</f>
        <v>802216</v>
      </c>
      <c r="AJ39" s="65" t="s">
        <v>23</v>
      </c>
      <c r="AK39" s="60">
        <f>IF(ListSearch[[#This Row],[List Name for Search]]="","relation",IFERROR(VLOOKUP(ListSearch[[#This Row],[Relation]],RelationTable[[Display]:[RELID]],2,0),""))</f>
        <v>800810</v>
      </c>
      <c r="AL39" s="60" t="str">
        <f>IF(ListSearch[[#This Row],[List Name for Search]]="","nest_relation1",IFERROR(VLOOKUP(ListSearch[[#This Row],[Relation 1]],RelationTable[[Display]:[RELID]],2,0),""))</f>
        <v/>
      </c>
      <c r="AM39" s="60" t="str">
        <f>IF(ListSearch[[#This Row],[List Name for Search]]="","nest_relation2",IFERROR(VLOOKUP(ListSearch[[#This Row],[Relation 2]],RelationTable[[Display]:[RELID]],2,0),""))</f>
        <v/>
      </c>
      <c r="AN39" s="60" t="str">
        <f>IF(ListSearch[[#This Row],[List Name for Search]]="","nest_relation3",IFERROR(VLOOKUP(ListSearch[[#This Row],[Relation 3]],RelationTable[[Display]:[RELID]],2,0),""))</f>
        <v/>
      </c>
      <c r="AO39" s="65" t="s">
        <v>1061</v>
      </c>
      <c r="AP39" s="65"/>
      <c r="AQ39" s="65"/>
      <c r="AR39" s="65"/>
      <c r="AT39" s="15" t="str">
        <f>'Table Seed Map'!$A$27&amp;"-"&amp;COUNTA($AV$1:ListLayout[[#This Row],[No]])-2</f>
        <v>List Layout-37</v>
      </c>
      <c r="AU39" s="2" t="s">
        <v>1271</v>
      </c>
      <c r="AV39" s="15">
        <f>IF(ListLayout[[#This Row],[List Name for Layout]]="","id",COUNTA($AU$2:ListLayout[[#This Row],[List Name for Layout]])+IF(ISNUMBER(VLOOKUP('Table Seed Map'!$A$27,SeedMap[],9,0)),VLOOKUP('Table Seed Map'!$A$27,SeedMap[],9,0),0))</f>
        <v>802537</v>
      </c>
      <c r="AW39" s="15">
        <f>IFERROR(VLOOKUP(ListLayout[[#This Row],[List Name for Layout]],ResourceList[[ListDisplayName]:[No]],2,0),"resource_list")</f>
        <v>802215</v>
      </c>
      <c r="AX39" s="15" t="s">
        <v>1126</v>
      </c>
      <c r="AY39" s="13" t="s">
        <v>23</v>
      </c>
      <c r="AZ39" s="15">
        <f>IF(ListLayout[[#This Row],[List Name for Layout]]="","relation",IFERROR(VLOOKUP(ListLayout[[#This Row],[Relation]],RelationTable[[Display]:[RELID]],2,0),""))</f>
        <v>800814</v>
      </c>
      <c r="BA39" s="15" t="str">
        <f>IF(ListLayout[[#This Row],[List Name for Layout]]="","nest_relation1",IFERROR(VLOOKUP(ListLayout[[#This Row],[Relation 1]],RelationTable[[Display]:[RELID]],2,0),""))</f>
        <v/>
      </c>
      <c r="BB39" s="15" t="str">
        <f>IF(ListLayout[[#This Row],[List Name for Layout]]="","nest_relation2",IFERROR(VLOOKUP(ListLayout[[#This Row],[Relation 2]],RelationTable[[Display]:[RELID]],2,0),""))</f>
        <v/>
      </c>
      <c r="BC39" s="13" t="s">
        <v>1148</v>
      </c>
      <c r="BD39" s="13"/>
      <c r="BE39" s="13"/>
    </row>
    <row r="40" spans="32:57" x14ac:dyDescent="0.25">
      <c r="AT40" s="60" t="str">
        <f>'Table Seed Map'!$A$27&amp;"-"&amp;COUNTA($AV$1:ListLayout[[#This Row],[No]])-2</f>
        <v>List Layout-38</v>
      </c>
      <c r="AU40" s="2" t="s">
        <v>1271</v>
      </c>
      <c r="AV40" s="60">
        <f>IF(ListLayout[[#This Row],[List Name for Layout]]="","id",COUNTA($AU$2:ListLayout[[#This Row],[List Name for Layout]])+IF(ISNUMBER(VLOOKUP('Table Seed Map'!$A$27,SeedMap[],9,0)),VLOOKUP('Table Seed Map'!$A$27,SeedMap[],9,0),0))</f>
        <v>802538</v>
      </c>
      <c r="AW40" s="60">
        <f>IFERROR(VLOOKUP(ListLayout[[#This Row],[List Name for Layout]],ResourceList[[ListDisplayName]:[No]],2,0),"resource_list")</f>
        <v>802215</v>
      </c>
      <c r="AX40" s="60" t="s">
        <v>845</v>
      </c>
      <c r="AY40" s="65" t="s">
        <v>23</v>
      </c>
      <c r="AZ40" s="60">
        <f>IF(ListLayout[[#This Row],[List Name for Layout]]="","relation",IFERROR(VLOOKUP(ListLayout[[#This Row],[Relation]],RelationTable[[Display]:[RELID]],2,0),""))</f>
        <v>800809</v>
      </c>
      <c r="BA40" s="60" t="str">
        <f>IF(ListLayout[[#This Row],[List Name for Layout]]="","nest_relation1",IFERROR(VLOOKUP(ListLayout[[#This Row],[Relation 1]],RelationTable[[Display]:[RELID]],2,0),""))</f>
        <v/>
      </c>
      <c r="BB40" s="60" t="str">
        <f>IF(ListLayout[[#This Row],[List Name for Layout]]="","nest_relation2",IFERROR(VLOOKUP(ListLayout[[#This Row],[Relation 2]],RelationTable[[Display]:[RELID]],2,0),""))</f>
        <v/>
      </c>
      <c r="BC40" s="13" t="s">
        <v>987</v>
      </c>
      <c r="BD40" s="65"/>
      <c r="BE40" s="65"/>
    </row>
    <row r="41" spans="32:57" x14ac:dyDescent="0.25">
      <c r="AT41" s="60" t="str">
        <f>'Table Seed Map'!$A$27&amp;"-"&amp;COUNTA($AV$1:ListLayout[[#This Row],[No]])-2</f>
        <v>List Layout-39</v>
      </c>
      <c r="AU41" s="2" t="s">
        <v>1271</v>
      </c>
      <c r="AV41" s="60">
        <f>IF(ListLayout[[#This Row],[List Name for Layout]]="","id",COUNTA($AU$2:ListLayout[[#This Row],[List Name for Layout]])+IF(ISNUMBER(VLOOKUP('Table Seed Map'!$A$27,SeedMap[],9,0)),VLOOKUP('Table Seed Map'!$A$27,SeedMap[],9,0),0))</f>
        <v>802539</v>
      </c>
      <c r="AW41" s="60">
        <f>IFERROR(VLOOKUP(ListLayout[[#This Row],[List Name for Layout]],ResourceList[[ListDisplayName]:[No]],2,0),"resource_list")</f>
        <v>802215</v>
      </c>
      <c r="AX41" s="60" t="s">
        <v>843</v>
      </c>
      <c r="AY41" s="65" t="s">
        <v>23</v>
      </c>
      <c r="AZ41" s="60">
        <f>IF(ListLayout[[#This Row],[List Name for Layout]]="","relation",IFERROR(VLOOKUP(ListLayout[[#This Row],[Relation]],RelationTable[[Display]:[RELID]],2,0),""))</f>
        <v>800810</v>
      </c>
      <c r="BA41" s="60" t="str">
        <f>IF(ListLayout[[#This Row],[List Name for Layout]]="","nest_relation1",IFERROR(VLOOKUP(ListLayout[[#This Row],[Relation 1]],RelationTable[[Display]:[RELID]],2,0),""))</f>
        <v/>
      </c>
      <c r="BB41" s="60" t="str">
        <f>IF(ListLayout[[#This Row],[List Name for Layout]]="","nest_relation2",IFERROR(VLOOKUP(ListLayout[[#This Row],[Relation 2]],RelationTable[[Display]:[RELID]],2,0),""))</f>
        <v/>
      </c>
      <c r="BC41" s="13" t="s">
        <v>1061</v>
      </c>
      <c r="BD41" s="65"/>
      <c r="BE41" s="65"/>
    </row>
    <row r="42" spans="32:57" x14ac:dyDescent="0.25">
      <c r="AT42" s="60" t="str">
        <f>'Table Seed Map'!$A$27&amp;"-"&amp;COUNTA($AV$1:ListLayout[[#This Row],[No]])-2</f>
        <v>List Layout-40</v>
      </c>
      <c r="AU42" s="2" t="s">
        <v>1271</v>
      </c>
      <c r="AV42" s="60">
        <f>IF(ListLayout[[#This Row],[List Name for Layout]]="","id",COUNTA($AU$2:ListLayout[[#This Row],[List Name for Layout]])+IF(ISNUMBER(VLOOKUP('Table Seed Map'!$A$27,SeedMap[],9,0)),VLOOKUP('Table Seed Map'!$A$27,SeedMap[],9,0),0))</f>
        <v>802540</v>
      </c>
      <c r="AW42" s="60">
        <f>IFERROR(VLOOKUP(ListLayout[[#This Row],[List Name for Layout]],ResourceList[[ListDisplayName]:[No]],2,0),"resource_list")</f>
        <v>802215</v>
      </c>
      <c r="AX42" s="60" t="s">
        <v>873</v>
      </c>
      <c r="AY42" s="65" t="s">
        <v>823</v>
      </c>
      <c r="AZ42" s="60" t="str">
        <f>IF(ListLayout[[#This Row],[List Name for Layout]]="","relation",IFERROR(VLOOKUP(ListLayout[[#This Row],[Relation]],RelationTable[[Display]:[RELID]],2,0),""))</f>
        <v/>
      </c>
      <c r="BA42" s="60" t="str">
        <f>IF(ListLayout[[#This Row],[List Name for Layout]]="","nest_relation1",IFERROR(VLOOKUP(ListLayout[[#This Row],[Relation 1]],RelationTable[[Display]:[RELID]],2,0),""))</f>
        <v/>
      </c>
      <c r="BB42" s="60" t="str">
        <f>IF(ListLayout[[#This Row],[List Name for Layout]]="","nest_relation2",IFERROR(VLOOKUP(ListLayout[[#This Row],[Relation 2]],RelationTable[[Display]:[RELID]],2,0),""))</f>
        <v/>
      </c>
      <c r="BC42" s="65"/>
      <c r="BD42" s="65"/>
      <c r="BE42" s="65"/>
    </row>
    <row r="43" spans="32:57" x14ac:dyDescent="0.25">
      <c r="AT43" s="60" t="str">
        <f>'Table Seed Map'!$A$27&amp;"-"&amp;COUNTA($AV$1:ListLayout[[#This Row],[No]])-2</f>
        <v>List Layout-41</v>
      </c>
      <c r="AU43" s="2" t="s">
        <v>1271</v>
      </c>
      <c r="AV43" s="60">
        <f>IF(ListLayout[[#This Row],[List Name for Layout]]="","id",COUNTA($AU$2:ListLayout[[#This Row],[List Name for Layout]])+IF(ISNUMBER(VLOOKUP('Table Seed Map'!$A$27,SeedMap[],9,0)),VLOOKUP('Table Seed Map'!$A$27,SeedMap[],9,0),0))</f>
        <v>802541</v>
      </c>
      <c r="AW43" s="60">
        <f>IFERROR(VLOOKUP(ListLayout[[#This Row],[List Name for Layout]],ResourceList[[ListDisplayName]:[No]],2,0),"resource_list")</f>
        <v>802215</v>
      </c>
      <c r="AX43" s="60" t="s">
        <v>1112</v>
      </c>
      <c r="AY43" s="65" t="s">
        <v>1111</v>
      </c>
      <c r="AZ43" s="60" t="str">
        <f>IF(ListLayout[[#This Row],[List Name for Layout]]="","relation",IFERROR(VLOOKUP(ListLayout[[#This Row],[Relation]],RelationTable[[Display]:[RELID]],2,0),""))</f>
        <v/>
      </c>
      <c r="BA43" s="60" t="str">
        <f>IF(ListLayout[[#This Row],[List Name for Layout]]="","nest_relation1",IFERROR(VLOOKUP(ListLayout[[#This Row],[Relation 1]],RelationTable[[Display]:[RELID]],2,0),""))</f>
        <v/>
      </c>
      <c r="BB43" s="60" t="str">
        <f>IF(ListLayout[[#This Row],[List Name for Layout]]="","nest_relation2",IFERROR(VLOOKUP(ListLayout[[#This Row],[Relation 2]],RelationTable[[Display]:[RELID]],2,0),""))</f>
        <v/>
      </c>
      <c r="BC43" s="65"/>
      <c r="BD43" s="65"/>
      <c r="BE43" s="65"/>
    </row>
    <row r="44" spans="32:57" x14ac:dyDescent="0.25">
      <c r="AT44" s="60" t="str">
        <f>'Table Seed Map'!$A$27&amp;"-"&amp;COUNTA($AV$1:ListLayout[[#This Row],[No]])-2</f>
        <v>List Layout-42</v>
      </c>
      <c r="AU44" s="2" t="s">
        <v>1271</v>
      </c>
      <c r="AV44" s="60">
        <f>IF(ListLayout[[#This Row],[List Name for Layout]]="","id",COUNTA($AU$2:ListLayout[[#This Row],[List Name for Layout]])+IF(ISNUMBER(VLOOKUP('Table Seed Map'!$A$27,SeedMap[],9,0)),VLOOKUP('Table Seed Map'!$A$27,SeedMap[],9,0),0))</f>
        <v>802542</v>
      </c>
      <c r="AW44" s="60">
        <f>IFERROR(VLOOKUP(ListLayout[[#This Row],[List Name for Layout]],ResourceList[[ListDisplayName]:[No]],2,0),"resource_list")</f>
        <v>802215</v>
      </c>
      <c r="AX44" s="60" t="s">
        <v>1273</v>
      </c>
      <c r="AY44" s="65" t="s">
        <v>1065</v>
      </c>
      <c r="AZ44" s="60" t="str">
        <f>IF(ListLayout[[#This Row],[List Name for Layout]]="","relation",IFERROR(VLOOKUP(ListLayout[[#This Row],[Relation]],RelationTable[[Display]:[RELID]],2,0),""))</f>
        <v/>
      </c>
      <c r="BA44" s="60" t="str">
        <f>IF(ListLayout[[#This Row],[List Name for Layout]]="","nest_relation1",IFERROR(VLOOKUP(ListLayout[[#This Row],[Relation 1]],RelationTable[[Display]:[RELID]],2,0),""))</f>
        <v/>
      </c>
      <c r="BB44" s="60" t="str">
        <f>IF(ListLayout[[#This Row],[List Name for Layout]]="","nest_relation2",IFERROR(VLOOKUP(ListLayout[[#This Row],[Relation 2]],RelationTable[[Display]:[RELID]],2,0),""))</f>
        <v/>
      </c>
      <c r="BC44" s="65"/>
      <c r="BD44" s="65"/>
      <c r="BE44" s="65"/>
    </row>
    <row r="45" spans="32:57" x14ac:dyDescent="0.25">
      <c r="AT45" s="60" t="str">
        <f>'Table Seed Map'!$A$27&amp;"-"&amp;COUNTA($AV$1:ListLayout[[#This Row],[No]])-2</f>
        <v>List Layout-43</v>
      </c>
      <c r="AU45" s="61" t="s">
        <v>1270</v>
      </c>
      <c r="AV45" s="60">
        <f>IF(ListLayout[[#This Row],[List Name for Layout]]="","id",COUNTA($AU$2:ListLayout[[#This Row],[List Name for Layout]])+IF(ISNUMBER(VLOOKUP('Table Seed Map'!$A$27,SeedMap[],9,0)),VLOOKUP('Table Seed Map'!$A$27,SeedMap[],9,0),0))</f>
        <v>802543</v>
      </c>
      <c r="AW45" s="60">
        <f>IFERROR(VLOOKUP(ListLayout[[#This Row],[List Name for Layout]],ResourceList[[ListDisplayName]:[No]],2,0),"resource_list")</f>
        <v>802216</v>
      </c>
      <c r="AX45" s="15" t="s">
        <v>1126</v>
      </c>
      <c r="AY45" s="13" t="s">
        <v>23</v>
      </c>
      <c r="AZ45" s="15">
        <f>IF(ListLayout[[#This Row],[List Name for Layout]]="","relation",IFERROR(VLOOKUP(ListLayout[[#This Row],[Relation]],RelationTable[[Display]:[RELID]],2,0),""))</f>
        <v>800814</v>
      </c>
      <c r="BA45" s="15" t="str">
        <f>IF(ListLayout[[#This Row],[List Name for Layout]]="","nest_relation1",IFERROR(VLOOKUP(ListLayout[[#This Row],[Relation 1]],RelationTable[[Display]:[RELID]],2,0),""))</f>
        <v/>
      </c>
      <c r="BB45" s="15" t="str">
        <f>IF(ListLayout[[#This Row],[List Name for Layout]]="","nest_relation2",IFERROR(VLOOKUP(ListLayout[[#This Row],[Relation 2]],RelationTable[[Display]:[RELID]],2,0),""))</f>
        <v/>
      </c>
      <c r="BC45" s="13" t="s">
        <v>1148</v>
      </c>
      <c r="BD45" s="65"/>
      <c r="BE45" s="65"/>
    </row>
    <row r="46" spans="32:57" x14ac:dyDescent="0.25">
      <c r="AT46" s="60" t="str">
        <f>'Table Seed Map'!$A$27&amp;"-"&amp;COUNTA($AV$1:ListLayout[[#This Row],[No]])-2</f>
        <v>List Layout-44</v>
      </c>
      <c r="AU46" s="61" t="s">
        <v>1270</v>
      </c>
      <c r="AV46" s="60">
        <f>IF(ListLayout[[#This Row],[List Name for Layout]]="","id",COUNTA($AU$2:ListLayout[[#This Row],[List Name for Layout]])+IF(ISNUMBER(VLOOKUP('Table Seed Map'!$A$27,SeedMap[],9,0)),VLOOKUP('Table Seed Map'!$A$27,SeedMap[],9,0),0))</f>
        <v>802544</v>
      </c>
      <c r="AW46" s="60">
        <f>IFERROR(VLOOKUP(ListLayout[[#This Row],[List Name for Layout]],ResourceList[[ListDisplayName]:[No]],2,0),"resource_list")</f>
        <v>802216</v>
      </c>
      <c r="AX46" s="60" t="s">
        <v>845</v>
      </c>
      <c r="AY46" s="65" t="s">
        <v>23</v>
      </c>
      <c r="AZ46" s="60">
        <f>IF(ListLayout[[#This Row],[List Name for Layout]]="","relation",IFERROR(VLOOKUP(ListLayout[[#This Row],[Relation]],RelationTable[[Display]:[RELID]],2,0),""))</f>
        <v>800809</v>
      </c>
      <c r="BA46" s="60" t="str">
        <f>IF(ListLayout[[#This Row],[List Name for Layout]]="","nest_relation1",IFERROR(VLOOKUP(ListLayout[[#This Row],[Relation 1]],RelationTable[[Display]:[RELID]],2,0),""))</f>
        <v/>
      </c>
      <c r="BB46" s="60" t="str">
        <f>IF(ListLayout[[#This Row],[List Name for Layout]]="","nest_relation2",IFERROR(VLOOKUP(ListLayout[[#This Row],[Relation 2]],RelationTable[[Display]:[RELID]],2,0),""))</f>
        <v/>
      </c>
      <c r="BC46" s="13" t="s">
        <v>987</v>
      </c>
      <c r="BD46" s="65"/>
      <c r="BE46" s="65"/>
    </row>
    <row r="47" spans="32:57" x14ac:dyDescent="0.25">
      <c r="AT47" s="60" t="str">
        <f>'Table Seed Map'!$A$27&amp;"-"&amp;COUNTA($AV$1:ListLayout[[#This Row],[No]])-2</f>
        <v>List Layout-45</v>
      </c>
      <c r="AU47" s="61" t="s">
        <v>1270</v>
      </c>
      <c r="AV47" s="60">
        <f>IF(ListLayout[[#This Row],[List Name for Layout]]="","id",COUNTA($AU$2:ListLayout[[#This Row],[List Name for Layout]])+IF(ISNUMBER(VLOOKUP('Table Seed Map'!$A$27,SeedMap[],9,0)),VLOOKUP('Table Seed Map'!$A$27,SeedMap[],9,0),0))</f>
        <v>802545</v>
      </c>
      <c r="AW47" s="60">
        <f>IFERROR(VLOOKUP(ListLayout[[#This Row],[List Name for Layout]],ResourceList[[ListDisplayName]:[No]],2,0),"resource_list")</f>
        <v>802216</v>
      </c>
      <c r="AX47" s="60" t="s">
        <v>843</v>
      </c>
      <c r="AY47" s="65" t="s">
        <v>23</v>
      </c>
      <c r="AZ47" s="60">
        <f>IF(ListLayout[[#This Row],[List Name for Layout]]="","relation",IFERROR(VLOOKUP(ListLayout[[#This Row],[Relation]],RelationTable[[Display]:[RELID]],2,0),""))</f>
        <v>800810</v>
      </c>
      <c r="BA47" s="60" t="str">
        <f>IF(ListLayout[[#This Row],[List Name for Layout]]="","nest_relation1",IFERROR(VLOOKUP(ListLayout[[#This Row],[Relation 1]],RelationTable[[Display]:[RELID]],2,0),""))</f>
        <v/>
      </c>
      <c r="BB47" s="60" t="str">
        <f>IF(ListLayout[[#This Row],[List Name for Layout]]="","nest_relation2",IFERROR(VLOOKUP(ListLayout[[#This Row],[Relation 2]],RelationTable[[Display]:[RELID]],2,0),""))</f>
        <v/>
      </c>
      <c r="BC47" s="13" t="s">
        <v>1061</v>
      </c>
      <c r="BD47" s="65"/>
      <c r="BE47" s="65"/>
    </row>
    <row r="48" spans="32:57" x14ac:dyDescent="0.25">
      <c r="AT48" s="60" t="str">
        <f>'Table Seed Map'!$A$27&amp;"-"&amp;COUNTA($AV$1:ListLayout[[#This Row],[No]])-2</f>
        <v>List Layout-46</v>
      </c>
      <c r="AU48" s="61" t="s">
        <v>1270</v>
      </c>
      <c r="AV48" s="60">
        <f>IF(ListLayout[[#This Row],[List Name for Layout]]="","id",COUNTA($AU$2:ListLayout[[#This Row],[List Name for Layout]])+IF(ISNUMBER(VLOOKUP('Table Seed Map'!$A$27,SeedMap[],9,0)),VLOOKUP('Table Seed Map'!$A$27,SeedMap[],9,0),0))</f>
        <v>802546</v>
      </c>
      <c r="AW48" s="60">
        <f>IFERROR(VLOOKUP(ListLayout[[#This Row],[List Name for Layout]],ResourceList[[ListDisplayName]:[No]],2,0),"resource_list")</f>
        <v>802216</v>
      </c>
      <c r="AX48" s="60" t="s">
        <v>873</v>
      </c>
      <c r="AY48" s="65" t="s">
        <v>823</v>
      </c>
      <c r="AZ48" s="60" t="str">
        <f>IF(ListLayout[[#This Row],[List Name for Layout]]="","relation",IFERROR(VLOOKUP(ListLayout[[#This Row],[Relation]],RelationTable[[Display]:[RELID]],2,0),""))</f>
        <v/>
      </c>
      <c r="BA48" s="60" t="str">
        <f>IF(ListLayout[[#This Row],[List Name for Layout]]="","nest_relation1",IFERROR(VLOOKUP(ListLayout[[#This Row],[Relation 1]],RelationTable[[Display]:[RELID]],2,0),""))</f>
        <v/>
      </c>
      <c r="BB48" s="60" t="str">
        <f>IF(ListLayout[[#This Row],[List Name for Layout]]="","nest_relation2",IFERROR(VLOOKUP(ListLayout[[#This Row],[Relation 2]],RelationTable[[Display]:[RELID]],2,0),""))</f>
        <v/>
      </c>
      <c r="BC48" s="65"/>
      <c r="BD48" s="65"/>
      <c r="BE48" s="65"/>
    </row>
    <row r="49" spans="46:57" x14ac:dyDescent="0.25">
      <c r="AT49" s="60" t="str">
        <f>'Table Seed Map'!$A$27&amp;"-"&amp;COUNTA($AV$1:ListLayout[[#This Row],[No]])-2</f>
        <v>List Layout-47</v>
      </c>
      <c r="AU49" s="61" t="s">
        <v>1270</v>
      </c>
      <c r="AV49" s="60">
        <f>IF(ListLayout[[#This Row],[List Name for Layout]]="","id",COUNTA($AU$2:ListLayout[[#This Row],[List Name for Layout]])+IF(ISNUMBER(VLOOKUP('Table Seed Map'!$A$27,SeedMap[],9,0)),VLOOKUP('Table Seed Map'!$A$27,SeedMap[],9,0),0))</f>
        <v>802547</v>
      </c>
      <c r="AW49" s="60">
        <f>IFERROR(VLOOKUP(ListLayout[[#This Row],[List Name for Layout]],ResourceList[[ListDisplayName]:[No]],2,0),"resource_list")</f>
        <v>802216</v>
      </c>
      <c r="AX49" s="60" t="s">
        <v>1112</v>
      </c>
      <c r="AY49" s="65" t="s">
        <v>1111</v>
      </c>
      <c r="AZ49" s="60" t="str">
        <f>IF(ListLayout[[#This Row],[List Name for Layout]]="","relation",IFERROR(VLOOKUP(ListLayout[[#This Row],[Relation]],RelationTable[[Display]:[RELID]],2,0),""))</f>
        <v/>
      </c>
      <c r="BA49" s="60" t="str">
        <f>IF(ListLayout[[#This Row],[List Name for Layout]]="","nest_relation1",IFERROR(VLOOKUP(ListLayout[[#This Row],[Relation 1]],RelationTable[[Display]:[RELID]],2,0),""))</f>
        <v/>
      </c>
      <c r="BB49" s="60" t="str">
        <f>IF(ListLayout[[#This Row],[List Name for Layout]]="","nest_relation2",IFERROR(VLOOKUP(ListLayout[[#This Row],[Relation 2]],RelationTable[[Display]:[RELID]],2,0),""))</f>
        <v/>
      </c>
      <c r="BC49" s="65"/>
      <c r="BD49" s="65"/>
      <c r="BE49" s="65"/>
    </row>
    <row r="50" spans="46:57" x14ac:dyDescent="0.25">
      <c r="AT50" s="60" t="str">
        <f>'Table Seed Map'!$A$27&amp;"-"&amp;COUNTA($AV$1:ListLayout[[#This Row],[No]])-2</f>
        <v>List Layout-48</v>
      </c>
      <c r="AU50" s="61" t="s">
        <v>1270</v>
      </c>
      <c r="AV50" s="60">
        <f>IF(ListLayout[[#This Row],[List Name for Layout]]="","id",COUNTA($AU$2:ListLayout[[#This Row],[List Name for Layout]])+IF(ISNUMBER(VLOOKUP('Table Seed Map'!$A$27,SeedMap[],9,0)),VLOOKUP('Table Seed Map'!$A$27,SeedMap[],9,0),0))</f>
        <v>802548</v>
      </c>
      <c r="AW50" s="60">
        <f>IFERROR(VLOOKUP(ListLayout[[#This Row],[List Name for Layout]],ResourceList[[ListDisplayName]:[No]],2,0),"resource_list")</f>
        <v>802216</v>
      </c>
      <c r="AX50" s="60" t="s">
        <v>1273</v>
      </c>
      <c r="AY50" s="65" t="s">
        <v>1065</v>
      </c>
      <c r="AZ50" s="60" t="str">
        <f>IF(ListLayout[[#This Row],[List Name for Layout]]="","relation",IFERROR(VLOOKUP(ListLayout[[#This Row],[Relation]],RelationTable[[Display]:[RELID]],2,0),""))</f>
        <v/>
      </c>
      <c r="BA50" s="60" t="str">
        <f>IF(ListLayout[[#This Row],[List Name for Layout]]="","nest_relation1",IFERROR(VLOOKUP(ListLayout[[#This Row],[Relation 1]],RelationTable[[Display]:[RELID]],2,0),""))</f>
        <v/>
      </c>
      <c r="BB50" s="60" t="str">
        <f>IF(ListLayout[[#This Row],[List Name for Layout]]="","nest_relation2",IFERROR(VLOOKUP(ListLayout[[#This Row],[Relation 2]],RelationTable[[Display]:[RELID]],2,0),""))</f>
        <v/>
      </c>
      <c r="BC50" s="65"/>
      <c r="BD50" s="65"/>
      <c r="BE50" s="65"/>
    </row>
  </sheetData>
  <dataValidations count="4">
    <dataValidation type="list" allowBlank="1" showInputMessage="1" showErrorMessage="1" sqref="BE20 BC20 P2:S22 BC21:BE22 BC2:BE19 AO2:AR39">
      <formula1>Relations</formula1>
    </dataValidation>
    <dataValidation type="list" allowBlank="1" showInputMessage="1" showErrorMessage="1" sqref="M2:M22 AG2:AG39 AU2:AU50">
      <formula1>ListNames</formula1>
    </dataValidation>
    <dataValidation type="list" allowBlank="1" showInputMessage="1" showErrorMessage="1" sqref="O2:O22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pageSetup orientation="portrait" horizontalDpi="300" verticalDpi="300" r:id="rId1"/>
  <tableParts count="4"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topLeftCell="B1" workbookViewId="0">
      <selection activeCell="B4" sqref="B4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8" width="24.42578125" style="20" customWidth="1"/>
    <col min="9" max="9" width="24.42578125" style="20" hidden="1" customWidth="1"/>
    <col min="10" max="10" width="8.8554687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hidden="1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27.28515625" style="20" customWidth="1"/>
    <col min="44" max="44" width="9.85546875" style="20" hidden="1" customWidth="1"/>
    <col min="45" max="45" width="5.4257812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435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436</v>
      </c>
      <c r="I1" s="20" t="s">
        <v>120</v>
      </c>
      <c r="J1" s="20" t="s">
        <v>307</v>
      </c>
      <c r="L1" s="1" t="s">
        <v>437</v>
      </c>
      <c r="M1" s="1" t="s">
        <v>438</v>
      </c>
      <c r="N1" s="1" t="s">
        <v>410</v>
      </c>
      <c r="O1" s="1" t="s">
        <v>409</v>
      </c>
      <c r="P1" s="1" t="s">
        <v>411</v>
      </c>
      <c r="Q1" s="1" t="s">
        <v>412</v>
      </c>
      <c r="R1" s="1" t="s">
        <v>413</v>
      </c>
      <c r="S1" s="1" t="s">
        <v>420</v>
      </c>
      <c r="T1" s="1" t="s">
        <v>415</v>
      </c>
      <c r="U1" s="1" t="s">
        <v>440</v>
      </c>
      <c r="V1" s="1" t="s">
        <v>416</v>
      </c>
      <c r="W1" s="1" t="s">
        <v>421</v>
      </c>
      <c r="X1" s="1" t="s">
        <v>417</v>
      </c>
      <c r="Y1" s="1" t="s">
        <v>439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442</v>
      </c>
      <c r="AG1" s="1" t="s">
        <v>443</v>
      </c>
      <c r="AH1" s="1" t="s">
        <v>99</v>
      </c>
      <c r="AI1" s="1" t="s">
        <v>382</v>
      </c>
      <c r="AJ1" s="1" t="s">
        <v>97</v>
      </c>
      <c r="AK1" s="1" t="s">
        <v>436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444</v>
      </c>
      <c r="AR1" s="1" t="s">
        <v>99</v>
      </c>
      <c r="AS1" s="1" t="s">
        <v>445</v>
      </c>
      <c r="AT1" s="1" t="s">
        <v>104</v>
      </c>
      <c r="AU1" s="1" t="s">
        <v>106</v>
      </c>
      <c r="AV1" s="1" t="s">
        <v>426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6" t="str">
        <f>'Table Seed Map'!$A$29&amp;"-"&amp;COUNTA($E$1:ResourceData[[#This Row],[Resource]])-2</f>
        <v>Resource Data-1</v>
      </c>
      <c r="B3" s="1" t="s">
        <v>846</v>
      </c>
      <c r="C3" s="6" t="str">
        <f>ResourceData[[#This Row],[Resource Name]]&amp;"/"&amp;ResourceData[[#This Row],[Name]]</f>
        <v>PartnerTask/TaskProgress</v>
      </c>
      <c r="D3" s="15">
        <f>IF(COUNTA($E$1:ResourceData[[#This Row],[Resource]])=2,"id",-2+COUNTA($E$1:ResourceData[[#This Row],[Resource]])+IF(ISNUMBER(VLOOKUP('Table Seed Map'!$A$29,SeedMap[],9,0)),VLOOKUP('Table Seed Map'!$A$29,SeedMap[],9,0),0))</f>
        <v>802701</v>
      </c>
      <c r="E3" s="15">
        <f>IFERROR(VLOOKUP(ResourceData[[#This Row],[Resource Name]],ResourceTable[[RName]:[No]],3,0),"resource")</f>
        <v>800507</v>
      </c>
      <c r="F3" s="13" t="s">
        <v>876</v>
      </c>
      <c r="G3" s="13" t="s">
        <v>1012</v>
      </c>
      <c r="H3" s="13" t="s">
        <v>1018</v>
      </c>
      <c r="I3" s="51"/>
      <c r="J3" s="53">
        <f>ResourceData[No]</f>
        <v>802701</v>
      </c>
      <c r="L3" s="2" t="s">
        <v>1023</v>
      </c>
      <c r="M3" s="6">
        <f>VLOOKUP(DataExtra[[#This Row],[Data Name]],ResourceData[[DataDisplayName]:[No]],2,0)</f>
        <v>802701</v>
      </c>
      <c r="N3" s="1"/>
      <c r="O3" s="2" t="s">
        <v>987</v>
      </c>
      <c r="P3" s="1"/>
      <c r="Q3" s="1"/>
      <c r="R3" s="1"/>
      <c r="S3" s="6" t="str">
        <f>'Table Seed Map'!$A$30&amp;"-"&amp;COUNT($V$1:DataExtra[[#This Row],[Scope ID]])</f>
        <v>Data Scopes-0</v>
      </c>
      <c r="T3" s="15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5">
        <f>IF(DataExtra[[#This Row],[DID]]=0,"resource_data",DataExtra[[#This Row],[DID]])</f>
        <v>802701</v>
      </c>
      <c r="V3" s="15" t="str">
        <f>IFERROR(VLOOKUP(DataExtra[[#This Row],[Scope Name]],ResourceScopes[[ScopesDisplayNames]:[No]],2,0),IF(DataExtra[[#This Row],[DID]]=0,"scope",""))</f>
        <v/>
      </c>
      <c r="W3" s="6" t="str">
        <f>'Table Seed Map'!$A$31&amp;"-"&amp;COUNT($Z$1:DataExtra[[#This Row],[Relation]])</f>
        <v>Data Relations-1</v>
      </c>
      <c r="X3" s="15">
        <f>IF(DataExtra[[#This Row],[DID]]=0,"id",IF(DataExtra[[#This Row],[Relation]]="","",COUNT($Z$2:DataExtra[[#This Row],[Relation]])+IF(ISNUMBER(VLOOKUP('Table Seed Map'!$A$31,SeedMap[],9,0)),VLOOKUP('Table Seed Map'!$A$31,SeedMap[],9,0),0)))</f>
        <v>802901</v>
      </c>
      <c r="Y3" s="15">
        <f>IF(DataExtra[[#This Row],[DID]]=0,"resource_data",DataExtra[[#This Row],[DID]])</f>
        <v>802701</v>
      </c>
      <c r="Z3" s="15">
        <f>IFERROR(VLOOKUP(DataExtra[[#This Row],[Relation Name]],RelationTable[[Display]:[RELID]],2,0),IF(DataExtra[[#This Row],[DID]]=0,"relation",""))</f>
        <v>800809</v>
      </c>
      <c r="AA3" s="15" t="str">
        <f>IFERROR(VLOOKUP(DataExtra[[#This Row],[R1 Name]],RelationTable[[Display]:[RELID]],2,0),IF(DataExtra[[#This Row],[DID]]=0,"nest_relation1",""))</f>
        <v/>
      </c>
      <c r="AB3" s="15" t="str">
        <f>IFERROR(VLOOKUP(DataExtra[[#This Row],[R2 Name]],RelationTable[[Display]:[RELID]],2,0),IF(DataExtra[[#This Row],[DID]]=0,"nest_relation2",""))</f>
        <v/>
      </c>
      <c r="AC3" s="15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61" t="s">
        <v>1023</v>
      </c>
      <c r="AG3" s="62" t="str">
        <f>DataViewSection[[#This Row],[Data Name for Layout]]&amp;"/"&amp;COUNTIF($AI$1:DataViewSection[[#This Row],[Data ID]],DataViewSection[[#This Row],[Data ID]])</f>
        <v>PartnerTask/TaskProgress/1</v>
      </c>
      <c r="AH3" s="60">
        <f>IF(DataViewSection[[#This Row],[Data Name for Layout]]="","id",-1+COUNTA($AF$1:DataViewSection[[#This Row],[Data Name for Layout]])+VLOOKUP('Table Seed Map'!$A$32,SeedMap[],9,0))</f>
        <v>803001</v>
      </c>
      <c r="AI3" s="60">
        <f>IFERROR(VLOOKUP(DataViewSection[[#This Row],[Data Name for Layout]],ResourceData[[DataDisplayName]:[No]],2,0),"resource_data")</f>
        <v>802701</v>
      </c>
      <c r="AJ3" s="60"/>
      <c r="AK3" s="60" t="s">
        <v>1077</v>
      </c>
      <c r="AL3" s="60" t="str">
        <f>IFERROR(VLOOKUP(DataViewSection[[#This Row],[Relation]],RelationTable[[Display]:[RELID]],2,0),"")</f>
        <v/>
      </c>
      <c r="AM3" s="65">
        <v>12</v>
      </c>
      <c r="AN3" s="65"/>
      <c r="AP3" s="60" t="str">
        <f>'Table Seed Map'!$A$33&amp;"-"&amp;-1+COUNTA($AQ$1:DataViewSectionItem[[#This Row],[Data Section for Items]])</f>
        <v>Data View Section Items-1</v>
      </c>
      <c r="AQ3" s="61" t="s">
        <v>1070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803101</v>
      </c>
      <c r="AS3" s="60">
        <f>IF(DataViewSectionItem[[#This Row],[Data Section for Items]]="","section",VLOOKUP(DataViewSectionItem[[#This Row],[Data Section for Items]],DataViewSection[[DataSectionDisplayName]:[No]],2,0))</f>
        <v>803001</v>
      </c>
      <c r="AT3" s="60" t="s">
        <v>1</v>
      </c>
      <c r="AU3" s="65" t="s">
        <v>23</v>
      </c>
      <c r="AV3" s="60">
        <f>IF(DataViewSectionItem[[#This Row],[Data Section for Items]]="","relation",IFERROR(VLOOKUP(DataViewSectionItem[[#This Row],[Relation]],RelationTable[[Display]:[RELID]],2,0),""))</f>
        <v>800809</v>
      </c>
      <c r="AW3" s="65" t="s">
        <v>987</v>
      </c>
    </row>
    <row r="4" spans="1:49" x14ac:dyDescent="0.25">
      <c r="A4" s="6" t="str">
        <f>'Table Seed Map'!$A$29&amp;"-"&amp;COUNTA($E$1:ResourceData[[#This Row],[Resource]])-2</f>
        <v>Resource Data-2</v>
      </c>
      <c r="B4" s="1" t="s">
        <v>96</v>
      </c>
      <c r="C4" s="6" t="str">
        <f>ResourceData[[#This Row],[Resource Name]]&amp;"/"&amp;ResourceData[[#This Row],[Name]]</f>
        <v>Group/GroupData</v>
      </c>
      <c r="D4" s="15">
        <f>IF(COUNTA($E$1:ResourceData[[#This Row],[Resource]])=2,"id",-2+COUNTA($E$1:ResourceData[[#This Row],[Resource]])+IF(ISNUMBER(VLOOKUP('Table Seed Map'!$A$29,SeedMap[],9,0)),VLOOKUP('Table Seed Map'!$A$29,SeedMap[],9,0),0))</f>
        <v>802702</v>
      </c>
      <c r="E4" s="15">
        <f>IFERROR(VLOOKUP(ResourceData[[#This Row],[Resource Name]],ResourceTable[[RName]:[No]],3,0),"resource")</f>
        <v>800502</v>
      </c>
      <c r="F4" s="13" t="s">
        <v>1201</v>
      </c>
      <c r="G4" s="13" t="s">
        <v>1202</v>
      </c>
      <c r="H4" s="13" t="s">
        <v>23</v>
      </c>
      <c r="I4" s="51"/>
      <c r="J4" s="53">
        <f>ResourceData[No]</f>
        <v>802702</v>
      </c>
      <c r="L4" s="61" t="s">
        <v>1023</v>
      </c>
      <c r="M4" s="62">
        <f>VLOOKUP(DataExtra[[#This Row],[Data Name]],ResourceData[[DataDisplayName]:[No]],2,0)</f>
        <v>802701</v>
      </c>
      <c r="N4" s="63"/>
      <c r="O4" s="2" t="s">
        <v>1061</v>
      </c>
      <c r="P4" s="63"/>
      <c r="Q4" s="63"/>
      <c r="R4" s="63"/>
      <c r="S4" s="62" t="str">
        <f>'Table Seed Map'!$A$30&amp;"-"&amp;COUNT($V$1:DataExtra[[#This Row],[Scope ID]])</f>
        <v>Data Scopes-0</v>
      </c>
      <c r="T4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60">
        <f>IF(DataExtra[[#This Row],[DID]]=0,"resource_data",DataExtra[[#This Row],[DID]])</f>
        <v>802701</v>
      </c>
      <c r="V4" s="60" t="str">
        <f>IFERROR(VLOOKUP(DataExtra[[#This Row],[Scope Name]],ResourceScopes[[ScopesDisplayNames]:[No]],2,0),IF(DataExtra[[#This Row],[DID]]=0,"scope",""))</f>
        <v/>
      </c>
      <c r="W4" s="62" t="str">
        <f>'Table Seed Map'!$A$31&amp;"-"&amp;COUNT($Z$1:DataExtra[[#This Row],[Relation]])</f>
        <v>Data Relations-2</v>
      </c>
      <c r="X4" s="60">
        <f>IF(DataExtra[[#This Row],[DID]]=0,"id",IF(DataExtra[[#This Row],[Relation]]="","",COUNT($Z$2:DataExtra[[#This Row],[Relation]])+IF(ISNUMBER(VLOOKUP('Table Seed Map'!$A$31,SeedMap[],9,0)),VLOOKUP('Table Seed Map'!$A$31,SeedMap[],9,0),0)))</f>
        <v>802902</v>
      </c>
      <c r="Y4" s="60">
        <f>IF(DataExtra[[#This Row],[DID]]=0,"resource_data",DataExtra[[#This Row],[DID]])</f>
        <v>802701</v>
      </c>
      <c r="Z4" s="60">
        <f>IFERROR(VLOOKUP(DataExtra[[#This Row],[Relation Name]],RelationTable[[Display]:[RELID]],2,0),IF(DataExtra[[#This Row],[DID]]=0,"relation",""))</f>
        <v>800810</v>
      </c>
      <c r="AA4" s="60" t="str">
        <f>IFERROR(VLOOKUP(DataExtra[[#This Row],[R1 Name]],RelationTable[[Display]:[RELID]],2,0),IF(DataExtra[[#This Row],[DID]]=0,"nest_relation1",""))</f>
        <v/>
      </c>
      <c r="AB4" s="60" t="str">
        <f>IFERROR(VLOOKUP(DataExtra[[#This Row],[R2 Name]],RelationTable[[Display]:[RELID]],2,0),IF(DataExtra[[#This Row],[DID]]=0,"nest_relation2",""))</f>
        <v/>
      </c>
      <c r="AC4" s="60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61" t="s">
        <v>1023</v>
      </c>
      <c r="AG4" s="62" t="str">
        <f>DataViewSection[[#This Row],[Data Name for Layout]]&amp;"/"&amp;COUNTIF($AI$1:DataViewSection[[#This Row],[Data ID]],DataViewSection[[#This Row],[Data ID]])</f>
        <v>PartnerTask/TaskProgress/2</v>
      </c>
      <c r="AH4" s="60">
        <f>IF(DataViewSection[[#This Row],[Data Name for Layout]]="","id",-1+COUNTA($AF$1:DataViewSection[[#This Row],[Data Name for Layout]])+VLOOKUP('Table Seed Map'!$A$32,SeedMap[],9,0))</f>
        <v>803002</v>
      </c>
      <c r="AI4" s="60">
        <f>IFERROR(VLOOKUP(DataViewSection[[#This Row],[Data Name for Layout]],ResourceData[[DataDisplayName]:[No]],2,0),"resource_data")</f>
        <v>802701</v>
      </c>
      <c r="AJ4" s="60" t="s">
        <v>1110</v>
      </c>
      <c r="AK4" s="60"/>
      <c r="AL4" s="60" t="str">
        <f>IFERROR(VLOOKUP(DataViewSection[[#This Row],[Relation]],RelationTable[[Display]:[RELID]],2,0),"")</f>
        <v/>
      </c>
      <c r="AM4" s="65">
        <v>7</v>
      </c>
      <c r="AN4" s="65"/>
      <c r="AP4" s="60" t="str">
        <f>'Table Seed Map'!$A$33&amp;"-"&amp;-1+COUNTA($AQ$1:DataViewSectionItem[[#This Row],[Data Section for Items]])</f>
        <v>Data View Section Items-2</v>
      </c>
      <c r="AQ4" s="61" t="s">
        <v>1070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803102</v>
      </c>
      <c r="AS4" s="60">
        <f>IF(DataViewSectionItem[[#This Row],[Data Section for Items]]="","section",VLOOKUP(DataViewSectionItem[[#This Row],[Data Section for Items]],DataViewSection[[DataSectionDisplayName]:[No]],2,0))</f>
        <v>803001</v>
      </c>
      <c r="AT4" s="60" t="s">
        <v>102</v>
      </c>
      <c r="AU4" s="65" t="s">
        <v>24</v>
      </c>
      <c r="AV4" s="60">
        <f>IF(DataViewSectionItem[[#This Row],[Data Section for Items]]="","relation",IFERROR(VLOOKUP(DataViewSectionItem[[#This Row],[Relation]],RelationTable[[Display]:[RELID]],2,0),""))</f>
        <v>800809</v>
      </c>
      <c r="AW4" s="65" t="s">
        <v>987</v>
      </c>
    </row>
    <row r="5" spans="1:49" x14ac:dyDescent="0.25">
      <c r="A5" s="6" t="str">
        <f>'Table Seed Map'!$A$29&amp;"-"&amp;COUNTA($E$1:ResourceData[[#This Row],[Resource]])-2</f>
        <v>Resource Data-3</v>
      </c>
      <c r="B5" s="1" t="s">
        <v>843</v>
      </c>
      <c r="C5" s="6" t="str">
        <f>ResourceData[[#This Row],[Resource Name]]&amp;"/"&amp;ResourceData[[#This Row],[Name]]</f>
        <v>Partner/PartnersData</v>
      </c>
      <c r="D5" s="15">
        <f>IF(COUNTA($E$1:ResourceData[[#This Row],[Resource]])=2,"id",-2+COUNTA($E$1:ResourceData[[#This Row],[Resource]])+IF(ISNUMBER(VLOOKUP('Table Seed Map'!$A$29,SeedMap[],9,0)),VLOOKUP('Table Seed Map'!$A$29,SeedMap[],9,0),0))</f>
        <v>802703</v>
      </c>
      <c r="E5" s="15">
        <f>IFERROR(VLOOKUP(ResourceData[[#This Row],[Resource Name]],ResourceTable[[RName]:[No]],3,0),"resource")</f>
        <v>800501</v>
      </c>
      <c r="F5" s="13" t="s">
        <v>1203</v>
      </c>
      <c r="G5" s="13" t="s">
        <v>1204</v>
      </c>
      <c r="H5" s="13" t="s">
        <v>23</v>
      </c>
      <c r="I5" s="51"/>
      <c r="J5" s="53">
        <f>ResourceData[No]</f>
        <v>802703</v>
      </c>
      <c r="AE5" s="60" t="str">
        <f>'Table Seed Map'!$A$32&amp;"-"&amp;COUNTA($AF$1:DataViewSection[[#This Row],[Data Name for Layout]])-1</f>
        <v>Data View Section-3</v>
      </c>
      <c r="AF5" s="61" t="s">
        <v>1023</v>
      </c>
      <c r="AG5" s="62" t="str">
        <f>DataViewSection[[#This Row],[Data Name for Layout]]&amp;"/"&amp;COUNTIF($AI$1:DataViewSection[[#This Row],[Data ID]],DataViewSection[[#This Row],[Data ID]])</f>
        <v>PartnerTask/TaskProgress/3</v>
      </c>
      <c r="AH5" s="60">
        <f>IF(DataViewSection[[#This Row],[Data Name for Layout]]="","id",-1+COUNTA($AF$1:DataViewSection[[#This Row],[Data Name for Layout]])+VLOOKUP('Table Seed Map'!$A$32,SeedMap[],9,0))</f>
        <v>803003</v>
      </c>
      <c r="AI5" s="60">
        <f>IFERROR(VLOOKUP(DataViewSection[[#This Row],[Data Name for Layout]],ResourceData[[DataDisplayName]:[No]],2,0),"resource_data")</f>
        <v>802701</v>
      </c>
      <c r="AJ5" s="60" t="s">
        <v>1073</v>
      </c>
      <c r="AK5" s="60"/>
      <c r="AL5" s="60" t="str">
        <f>IFERROR(VLOOKUP(DataViewSection[[#This Row],[Relation]],RelationTable[[Display]:[RELID]],2,0),"")</f>
        <v/>
      </c>
      <c r="AM5" s="65">
        <v>5</v>
      </c>
      <c r="AN5" s="65"/>
      <c r="AP5" s="60" t="str">
        <f>'Table Seed Map'!$A$33&amp;"-"&amp;-1+COUNTA($AQ$1:DataViewSectionItem[[#This Row],[Data Section for Items]])</f>
        <v>Data View Section Items-3</v>
      </c>
      <c r="AQ5" s="61" t="s">
        <v>1071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803103</v>
      </c>
      <c r="AS5" s="60">
        <f>IF(DataViewSectionItem[[#This Row],[Data Section for Items]]="","section",VLOOKUP(DataViewSectionItem[[#This Row],[Data Section for Items]],DataViewSection[[DataSectionDisplayName]:[No]],2,0))</f>
        <v>803002</v>
      </c>
      <c r="AT5" s="60" t="s">
        <v>901</v>
      </c>
      <c r="AU5" s="65" t="s">
        <v>823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5"/>
    </row>
    <row r="6" spans="1:49" x14ac:dyDescent="0.25">
      <c r="A6" s="6" t="str">
        <f>'Table Seed Map'!$A$29&amp;"-"&amp;COUNTA($E$1:ResourceData[[#This Row],[Resource]])-2</f>
        <v>Resource Data-4</v>
      </c>
      <c r="B6" s="1" t="s">
        <v>845</v>
      </c>
      <c r="C6" s="6" t="str">
        <f>ResourceData[[#This Row],[Resource Name]]&amp;"/"&amp;ResourceData[[#This Row],[Name]]</f>
        <v>Task/TasksData</v>
      </c>
      <c r="D6" s="15">
        <f>IF(COUNTA($E$1:ResourceData[[#This Row],[Resource]])=2,"id",-2+COUNTA($E$1:ResourceData[[#This Row],[Resource]])+IF(ISNUMBER(VLOOKUP('Table Seed Map'!$A$29,SeedMap[],9,0)),VLOOKUP('Table Seed Map'!$A$29,SeedMap[],9,0),0))</f>
        <v>802704</v>
      </c>
      <c r="E6" s="15">
        <f>IFERROR(VLOOKUP(ResourceData[[#This Row],[Resource Name]],ResourceTable[[RName]:[No]],3,0),"resource")</f>
        <v>800506</v>
      </c>
      <c r="F6" s="13" t="s">
        <v>1205</v>
      </c>
      <c r="G6" s="13" t="s">
        <v>1206</v>
      </c>
      <c r="H6" s="13" t="s">
        <v>23</v>
      </c>
      <c r="I6" s="51"/>
      <c r="J6" s="53">
        <f>ResourceData[No]</f>
        <v>802704</v>
      </c>
      <c r="AP6" s="60" t="str">
        <f>'Table Seed Map'!$A$33&amp;"-"&amp;-1+COUNTA($AQ$1:DataViewSectionItem[[#This Row],[Data Section for Items]])</f>
        <v>Data View Section Items-4</v>
      </c>
      <c r="AQ6" s="61" t="s">
        <v>1071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803104</v>
      </c>
      <c r="AS6" s="60">
        <f>IF(DataViewSectionItem[[#This Row],[Data Section for Items]]="","section",VLOOKUP(DataViewSectionItem[[#This Row],[Data Section for Items]],DataViewSection[[DataSectionDisplayName]:[No]],2,0))</f>
        <v>803002</v>
      </c>
      <c r="AT6" s="60" t="s">
        <v>1064</v>
      </c>
      <c r="AU6" s="65" t="s">
        <v>1065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5"/>
    </row>
    <row r="7" spans="1:49" x14ac:dyDescent="0.25">
      <c r="A7" s="6" t="str">
        <f>'Table Seed Map'!$A$29&amp;"-"&amp;COUNTA($E$1:ResourceData[[#This Row],[Resource]])-2</f>
        <v>Resource Data-5</v>
      </c>
      <c r="B7" s="1" t="s">
        <v>1126</v>
      </c>
      <c r="C7" s="6" t="str">
        <f>ResourceData[[#This Row],[Resource Name]]&amp;"/"&amp;ResourceData[[#This Row],[Name]]</f>
        <v>Category/CategoriesData</v>
      </c>
      <c r="D7" s="15">
        <f>IF(COUNTA($E$1:ResourceData[[#This Row],[Resource]])=2,"id",-2+COUNTA($E$1:ResourceData[[#This Row],[Resource]])+IF(ISNUMBER(VLOOKUP('Table Seed Map'!$A$29,SeedMap[],9,0)),VLOOKUP('Table Seed Map'!$A$29,SeedMap[],9,0),0))</f>
        <v>802705</v>
      </c>
      <c r="E7" s="15">
        <f>IFERROR(VLOOKUP(ResourceData[[#This Row],[Resource Name]],ResourceTable[[RName]:[No]],3,0),"resource")</f>
        <v>800503</v>
      </c>
      <c r="F7" s="13" t="s">
        <v>1207</v>
      </c>
      <c r="G7" s="13" t="s">
        <v>1208</v>
      </c>
      <c r="H7" s="13" t="s">
        <v>23</v>
      </c>
      <c r="I7" s="51"/>
      <c r="J7" s="53">
        <f>ResourceData[No]</f>
        <v>802705</v>
      </c>
      <c r="AP7" s="60" t="str">
        <f>'Table Seed Map'!$A$33&amp;"-"&amp;-1+COUNTA($AQ$1:DataViewSectionItem[[#This Row],[Data Section for Items]])</f>
        <v>Data View Section Items-5</v>
      </c>
      <c r="AQ7" s="61" t="s">
        <v>1071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803105</v>
      </c>
      <c r="AS7" s="60">
        <f>IF(DataViewSectionItem[[#This Row],[Data Section for Items]]="","section",VLOOKUP(DataViewSectionItem[[#This Row],[Data Section for Items]],DataViewSection[[DataSectionDisplayName]:[No]],2,0))</f>
        <v>803002</v>
      </c>
      <c r="AT7" s="60" t="s">
        <v>1112</v>
      </c>
      <c r="AU7" s="65" t="s">
        <v>1111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5"/>
    </row>
    <row r="8" spans="1:49" x14ac:dyDescent="0.25">
      <c r="A8" s="6" t="str">
        <f>'Table Seed Map'!$A$29&amp;"-"&amp;COUNTA($E$1:ResourceData[[#This Row],[Resource]])-2</f>
        <v>Resource Data-6</v>
      </c>
      <c r="B8" s="1" t="s">
        <v>1226</v>
      </c>
      <c r="C8" s="6" t="str">
        <f>ResourceData[[#This Row],[Resource Name]]&amp;"/"&amp;ResourceData[[#This Row],[Name]]</f>
        <v>Profile/ProfileData</v>
      </c>
      <c r="D8" s="15">
        <f>IF(COUNTA($E$1:ResourceData[[#This Row],[Resource]])=2,"id",-2+COUNTA($E$1:ResourceData[[#This Row],[Resource]])+IF(ISNUMBER(VLOOKUP('Table Seed Map'!$A$29,SeedMap[],9,0)),VLOOKUP('Table Seed Map'!$A$29,SeedMap[],9,0),0))</f>
        <v>802706</v>
      </c>
      <c r="E8" s="15">
        <f>IFERROR(VLOOKUP(ResourceData[[#This Row],[Resource Name]],ResourceTable[[RName]:[No]],3,0),"resource")</f>
        <v>800508</v>
      </c>
      <c r="F8" s="13" t="s">
        <v>1239</v>
      </c>
      <c r="G8" s="13" t="s">
        <v>1226</v>
      </c>
      <c r="H8" s="13" t="s">
        <v>23</v>
      </c>
      <c r="I8" s="51"/>
      <c r="J8" s="53">
        <f>ResourceData[No]</f>
        <v>802706</v>
      </c>
      <c r="AP8" s="60" t="str">
        <f>'Table Seed Map'!$A$33&amp;"-"&amp;-1+COUNTA($AQ$1:DataViewSectionItem[[#This Row],[Data Section for Items]])</f>
        <v>Data View Section Items-6</v>
      </c>
      <c r="AQ8" s="61" t="s">
        <v>1072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803106</v>
      </c>
      <c r="AS8" s="60">
        <f>IF(DataViewSectionItem[[#This Row],[Data Section for Items]]="","section",VLOOKUP(DataViewSectionItem[[#This Row],[Data Section for Items]],DataViewSection[[DataSectionDisplayName]:[No]],2,0))</f>
        <v>803003</v>
      </c>
      <c r="AT8" s="60" t="s">
        <v>1074</v>
      </c>
      <c r="AU8" s="65" t="s">
        <v>837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5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61" t="s">
        <v>1072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803107</v>
      </c>
      <c r="AS9" s="60">
        <f>IF(DataViewSectionItem[[#This Row],[Data Section for Items]]="","section",VLOOKUP(DataViewSectionItem[[#This Row],[Data Section for Items]],DataViewSection[[DataSectionDisplayName]:[No]],2,0))</f>
        <v>803003</v>
      </c>
      <c r="AT9" s="60" t="s">
        <v>1075</v>
      </c>
      <c r="AU9" s="65" t="s">
        <v>839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5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61" t="s">
        <v>1072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803108</v>
      </c>
      <c r="AS10" s="60">
        <f>IF(DataViewSectionItem[[#This Row],[Data Section for Items]]="","section",VLOOKUP(DataViewSectionItem[[#This Row],[Data Section for Items]],DataViewSection[[DataSectionDisplayName]:[No]],2,0))</f>
        <v>803003</v>
      </c>
      <c r="AT10" s="60" t="s">
        <v>1076</v>
      </c>
      <c r="AU10" s="65" t="s">
        <v>840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5"/>
    </row>
  </sheetData>
  <dataValidations count="5">
    <dataValidation type="list" allowBlank="1" showInputMessage="1" showErrorMessage="1" sqref="O2:R4 AW2:AW10 AN2:AN5">
      <formula1>Relations</formula1>
    </dataValidation>
    <dataValidation type="list" allowBlank="1" showInputMessage="1" showErrorMessage="1" sqref="B2:B8">
      <formula1>Resources</formula1>
    </dataValidation>
    <dataValidation type="list" allowBlank="1" showInputMessage="1" showErrorMessage="1" sqref="N2:N4">
      <formula1>Scopes</formula1>
    </dataValidation>
    <dataValidation type="list" allowBlank="1" showInputMessage="1" showErrorMessage="1" sqref="L2:L4 AF2:AF5">
      <formula1>DataNames</formula1>
    </dataValidation>
    <dataValidation type="list" allowBlank="1" showInputMessage="1" showErrorMessage="1" sqref="AQ2:AQ10">
      <formula1>DataSections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6" sqref="K6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457</v>
      </c>
      <c r="D1" s="1" t="s">
        <v>458</v>
      </c>
      <c r="E1" s="1" t="s">
        <v>456</v>
      </c>
      <c r="F1" s="1" t="s">
        <v>460</v>
      </c>
      <c r="G1" s="1" t="s">
        <v>461</v>
      </c>
      <c r="H1" s="1" t="s">
        <v>462</v>
      </c>
      <c r="J1" s="1" t="s">
        <v>99</v>
      </c>
      <c r="K1" s="1" t="s">
        <v>14</v>
      </c>
      <c r="L1" s="1" t="s">
        <v>459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9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Group/CreateGroup</v>
      </c>
      <c r="O2" s="6" t="str">
        <f ca="1">IF(IDNMaps[[#This Row],[Name]]="","","("&amp;IDNMaps[[#This Row],[Type]]&amp;") "&amp;IDNMaps[[#This Row],[Name]])</f>
        <v>(Forms) Group/CreateGroup</v>
      </c>
      <c r="P2" s="6">
        <f ca="1">IFERROR(VLOOKUP(IDNMaps[[#This Row],[Primary]],INDIRECT(VLOOKUP(IDNMaps[[#This Row],[Type]],RecordCount[],2,0)),VLOOKUP(IDNMaps[[#This Row],[Type]],RecordCount[],8,0),0),"")</f>
        <v>800901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Partner/CreatePartner</v>
      </c>
      <c r="O3" s="6" t="str">
        <f ca="1">IF(IDNMaps[[#This Row],[Name]]="","","("&amp;IDNMaps[[#This Row],[Type]]&amp;") "&amp;IDNMaps[[#This Row],[Name]])</f>
        <v>(Forms) Partner/CreatePartner</v>
      </c>
      <c r="P3" s="6">
        <f ca="1">IFERROR(VLOOKUP(IDNMaps[[#This Row],[Primary]],INDIRECT(VLOOKUP(IDNMaps[[#This Row],[Type]],RecordCount[],2,0)),VLOOKUP(IDNMaps[[#This Row],[Type]],RecordCount[],8,0),0),"")</f>
        <v>800902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6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Task/CreateTask</v>
      </c>
      <c r="O4" s="6" t="str">
        <f ca="1">IF(IDNMaps[[#This Row],[Name]]="","","("&amp;IDNMaps[[#This Row],[Type]]&amp;") "&amp;IDNMaps[[#This Row],[Name]])</f>
        <v>(Forms) Task/CreateTask</v>
      </c>
      <c r="P4" s="6">
        <f ca="1">IFERROR(VLOOKUP(IDNMaps[[#This Row],[Primary]],INDIRECT(VLOOKUP(IDNMaps[[#This Row],[Type]],RecordCount[],2,0)),VLOOKUP(IDNMaps[[#This Row],[Type]],RecordCount[],8,0),0),"")</f>
        <v>800903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15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PartnerTask/TaskCompleteDescription</v>
      </c>
      <c r="O5" s="6" t="str">
        <f ca="1">IF(IDNMaps[[#This Row],[Name]]="","","("&amp;IDNMaps[[#This Row],[Type]]&amp;") "&amp;IDNMaps[[#This Row],[Name]])</f>
        <v>(Forms) PartnerTask/TaskCompleteDescription</v>
      </c>
      <c r="P5" s="6">
        <f ca="1">IFERROR(VLOOKUP(IDNMaps[[#This Row],[Primary]],INDIRECT(VLOOKUP(IDNMaps[[#This Row],[Type]],RecordCount[],2,0)),VLOOKUP(IDNMaps[[#This Row],[Type]],RecordCount[],8,0),0),"")</f>
        <v>800904</v>
      </c>
    </row>
    <row r="6" spans="1:16" x14ac:dyDescent="0.25">
      <c r="A6" s="38" t="s">
        <v>800</v>
      </c>
      <c r="B6" s="38" t="s">
        <v>353</v>
      </c>
      <c r="C6" s="38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33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PartnerTask/TaskCompleteAttachment</v>
      </c>
      <c r="O6" s="6" t="str">
        <f ca="1">IF(IDNMaps[[#This Row],[Name]]="","","("&amp;IDNMaps[[#This Row],[Type]]&amp;") "&amp;IDNMaps[[#This Row],[Name]])</f>
        <v>(Forms) PartnerTask/TaskCompleteAttachment</v>
      </c>
      <c r="P6" s="6">
        <f ca="1">IFERROR(VLOOKUP(IDNMaps[[#This Row],[Primary]],INDIRECT(VLOOKUP(IDNMaps[[#This Row],[Type]],RecordCount[],2,0)),VLOOKUP(IDNMaps[[#This Row],[Type]],RecordCount[],8,0),0),"")</f>
        <v>800905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PartnerTask/TaskDismissForm</v>
      </c>
      <c r="O7" s="6" t="str">
        <f ca="1">IF(IDNMaps[[#This Row],[Name]]="","","("&amp;IDNMaps[[#This Row],[Type]]&amp;") "&amp;IDNMaps[[#This Row],[Name]])</f>
        <v>(Forms) PartnerTask/TaskDismissForm</v>
      </c>
      <c r="P7" s="6">
        <f ca="1">IFERROR(VLOOKUP(IDNMaps[[#This Row],[Primary]],INDIRECT(VLOOKUP(IDNMaps[[#This Row],[Type]],RecordCount[],2,0)),VLOOKUP(IDNMaps[[#This Row],[Type]],RecordCount[],8,0),0),"")</f>
        <v>800906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Category/CreateCategory</v>
      </c>
      <c r="O8" s="6" t="str">
        <f ca="1">IF(IDNMaps[[#This Row],[Name]]="","","("&amp;IDNMaps[[#This Row],[Type]]&amp;") "&amp;IDNMaps[[#This Row],[Name]])</f>
        <v>(Forms) Category/CreateCategory</v>
      </c>
      <c r="P8" s="6">
        <f ca="1">IFERROR(VLOOKUP(IDNMaps[[#This Row],[Primary]],INDIRECT(VLOOKUP(IDNMaps[[#This Row],[Type]],RecordCount[],2,0)),VLOOKUP(IDNMaps[[#This Row],[Type]],RecordCount[],8,0),0),"")</f>
        <v>800907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Profile/CreateProfile</v>
      </c>
      <c r="O9" s="6" t="str">
        <f ca="1">IF(IDNMaps[[#This Row],[Name]]="","","("&amp;IDNMaps[[#This Row],[Type]]&amp;") "&amp;IDNMaps[[#This Row],[Name]])</f>
        <v>(Forms) Profile/CreateProfile</v>
      </c>
      <c r="P9" s="6">
        <f ca="1">IFERROR(VLOOKUP(IDNMaps[[#This Row],[Primary]],INDIRECT(VLOOKUP(IDNMaps[[#This Row],[Type]],RecordCount[],2,0)),VLOOKUP(IDNMaps[[#This Row],[Type]],RecordCount[],8,0),0),"")</f>
        <v>800908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PartnerTask/TaskUpdateForm</v>
      </c>
      <c r="O10" s="6" t="str">
        <f ca="1">IF(IDNMaps[[#This Row],[Name]]="","","("&amp;IDNMaps[[#This Row],[Type]]&amp;") "&amp;IDNMaps[[#This Row],[Name]])</f>
        <v>(Forms) PartnerTask/TaskUpdateForm</v>
      </c>
      <c r="P10" s="6">
        <f ca="1">IFERROR(VLOOKUP(IDNMaps[[#This Row],[Primary]],INDIRECT(VLOOKUP(IDNMaps[[#This Row],[Type]],RecordCount[],2,0)),VLOOKUP(IDNMaps[[#This Row],[Type]],RecordCount[],8,0),0),"")</f>
        <v>800909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1</v>
      </c>
      <c r="M11" s="6" t="str">
        <f ca="1">IFERROR(VLOOKUP(IDNMaps[[#This Row],[Type]],RecordCount[],6,0)&amp;"-"&amp;IDNMaps[[#This Row],[Type Count]],"")</f>
        <v>Resource Lists-1</v>
      </c>
      <c r="N11" s="6" t="str">
        <f ca="1">IFERROR(VLOOKUP(IDNMaps[[#This Row],[Primary]],INDIRECT(VLOOKUP(IDNMaps[[#This Row],[Type]],RecordCount[],2,0)),VLOOKUP(IDNMaps[[#This Row],[Type]],RecordCount[],7,0),0),"")</f>
        <v>Group/GroupList</v>
      </c>
      <c r="O11" s="6" t="str">
        <f ca="1">IF(IDNMaps[[#This Row],[Name]]="","","("&amp;IDNMaps[[#This Row],[Type]]&amp;") "&amp;IDNMaps[[#This Row],[Name]])</f>
        <v>(Lists) Group/GroupList</v>
      </c>
      <c r="P11" s="6">
        <f ca="1">IFERROR(VLOOKUP(IDNMaps[[#This Row],[Primary]],INDIRECT(VLOOKUP(IDNMaps[[#This Row],[Type]],RecordCount[],2,0)),VLOOKUP(IDNMaps[[#This Row],[Type]],RecordCount[],8,0),0),"")</f>
        <v>802201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2</v>
      </c>
      <c r="M12" s="6" t="str">
        <f ca="1">IFERROR(VLOOKUP(IDNMaps[[#This Row],[Type]],RecordCount[],6,0)&amp;"-"&amp;IDNMaps[[#This Row],[Type Count]],"")</f>
        <v>Resource Lists-2</v>
      </c>
      <c r="N12" s="6" t="str">
        <f ca="1">IFERROR(VLOOKUP(IDNMaps[[#This Row],[Primary]],INDIRECT(VLOOKUP(IDNMaps[[#This Row],[Type]],RecordCount[],2,0)),VLOOKUP(IDNMaps[[#This Row],[Type]],RecordCount[],7,0),0),"")</f>
        <v>Partner/PartnerList</v>
      </c>
      <c r="O12" s="6" t="str">
        <f ca="1">IF(IDNMaps[[#This Row],[Name]]="","","("&amp;IDNMaps[[#This Row],[Type]]&amp;") "&amp;IDNMaps[[#This Row],[Name]])</f>
        <v>(Lists) Partner/PartnerList</v>
      </c>
      <c r="P12" s="6">
        <f ca="1">IFERROR(VLOOKUP(IDNMaps[[#This Row],[Primary]],INDIRECT(VLOOKUP(IDNMaps[[#This Row],[Type]],RecordCount[],2,0)),VLOOKUP(IDNMaps[[#This Row],[Type]],RecordCount[],8,0),0),"")</f>
        <v>802202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3</v>
      </c>
      <c r="M13" s="6" t="str">
        <f ca="1">IFERROR(VLOOKUP(IDNMaps[[#This Row],[Type]],RecordCount[],6,0)&amp;"-"&amp;IDNMaps[[#This Row],[Type Count]],"")</f>
        <v>Resource Lists-3</v>
      </c>
      <c r="N13" s="6" t="str">
        <f ca="1">IFERROR(VLOOKUP(IDNMaps[[#This Row],[Primary]],INDIRECT(VLOOKUP(IDNMaps[[#This Row],[Type]],RecordCount[],2,0)),VLOOKUP(IDNMaps[[#This Row],[Type]],RecordCount[],7,0),0),"")</f>
        <v>Task/Task List</v>
      </c>
      <c r="O13" s="6" t="str">
        <f ca="1">IF(IDNMaps[[#This Row],[Name]]="","","("&amp;IDNMaps[[#This Row],[Type]]&amp;") "&amp;IDNMaps[[#This Row],[Name]])</f>
        <v>(Lists) Task/Task List</v>
      </c>
      <c r="P13" s="6">
        <f ca="1">IFERROR(VLOOKUP(IDNMaps[[#This Row],[Primary]],INDIRECT(VLOOKUP(IDNMaps[[#This Row],[Type]],RecordCount[],2,0)),VLOOKUP(IDNMaps[[#This Row],[Type]],RecordCount[],8,0),0),"")</f>
        <v>802203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4</v>
      </c>
      <c r="M14" s="6" t="str">
        <f ca="1">IFERROR(VLOOKUP(IDNMaps[[#This Row],[Type]],RecordCount[],6,0)&amp;"-"&amp;IDNMaps[[#This Row],[Type Count]],"")</f>
        <v>Resource Lists-4</v>
      </c>
      <c r="N14" s="6" t="str">
        <f ca="1">IFERROR(VLOOKUP(IDNMaps[[#This Row],[Primary]],INDIRECT(VLOOKUP(IDNMaps[[#This Row],[Type]],RecordCount[],2,0)),VLOOKUP(IDNMaps[[#This Row],[Type]],RecordCount[],7,0),0),"")</f>
        <v>PartnerTask/NewCategoryList</v>
      </c>
      <c r="O14" s="6" t="str">
        <f ca="1">IF(IDNMaps[[#This Row],[Name]]="","","("&amp;IDNMaps[[#This Row],[Type]]&amp;") "&amp;IDNMaps[[#This Row],[Name]])</f>
        <v>(Lists) PartnerTask/NewCategoryList</v>
      </c>
      <c r="P14" s="6">
        <f ca="1">IFERROR(VLOOKUP(IDNMaps[[#This Row],[Primary]],INDIRECT(VLOOKUP(IDNMaps[[#This Row],[Type]],RecordCount[],2,0)),VLOOKUP(IDNMaps[[#This Row],[Type]],RecordCount[],8,0),0),"")</f>
        <v>802204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5</v>
      </c>
      <c r="M15" s="6" t="str">
        <f ca="1">IFERROR(VLOOKUP(IDNMaps[[#This Row],[Type]],RecordCount[],6,0)&amp;"-"&amp;IDNMaps[[#This Row],[Type Count]],"")</f>
        <v>Resource Lists-5</v>
      </c>
      <c r="N15" s="6" t="str">
        <f ca="1">IFERROR(VLOOKUP(IDNMaps[[#This Row],[Primary]],INDIRECT(VLOOKUP(IDNMaps[[#This Row],[Type]],RecordCount[],2,0)),VLOOKUP(IDNMaps[[#This Row],[Type]],RecordCount[],7,0),0),"")</f>
        <v>PartnerTask/NewTaskList</v>
      </c>
      <c r="O15" s="6" t="str">
        <f ca="1">IF(IDNMaps[[#This Row],[Name]]="","","("&amp;IDNMaps[[#This Row],[Type]]&amp;") "&amp;IDNMaps[[#This Row],[Name]])</f>
        <v>(Lists) PartnerTask/NewTaskList</v>
      </c>
      <c r="P15" s="6">
        <f ca="1">IFERROR(VLOOKUP(IDNMaps[[#This Row],[Primary]],INDIRECT(VLOOKUP(IDNMaps[[#This Row],[Type]],RecordCount[],2,0)),VLOOKUP(IDNMaps[[#This Row],[Type]],RecordCount[],8,0),0),"")</f>
        <v>802205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6</v>
      </c>
      <c r="M16" s="6" t="str">
        <f ca="1">IFERROR(VLOOKUP(IDNMaps[[#This Row],[Type]],RecordCount[],6,0)&amp;"-"&amp;IDNMaps[[#This Row],[Type Count]],"")</f>
        <v>Resource Lists-6</v>
      </c>
      <c r="N16" s="6" t="str">
        <f ca="1">IFERROR(VLOOKUP(IDNMaps[[#This Row],[Primary]],INDIRECT(VLOOKUP(IDNMaps[[#This Row],[Type]],RecordCount[],2,0)),VLOOKUP(IDNMaps[[#This Row],[Type]],RecordCount[],7,0),0),"")</f>
        <v>PartnerTask/DismissedTasks</v>
      </c>
      <c r="O16" s="6" t="str">
        <f ca="1">IF(IDNMaps[[#This Row],[Name]]="","","("&amp;IDNMaps[[#This Row],[Type]]&amp;") "&amp;IDNMaps[[#This Row],[Name]])</f>
        <v>(Lists) PartnerTask/DismissedTasks</v>
      </c>
      <c r="P16" s="6">
        <f ca="1">IFERROR(VLOOKUP(IDNMaps[[#This Row],[Primary]],INDIRECT(VLOOKUP(IDNMaps[[#This Row],[Type]],RecordCount[],2,0)),VLOOKUP(IDNMaps[[#This Row],[Type]],RecordCount[],8,0),0),"")</f>
        <v>802206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7</v>
      </c>
      <c r="M17" s="6" t="str">
        <f ca="1">IFERROR(VLOOKUP(IDNMaps[[#This Row],[Type]],RecordCount[],6,0)&amp;"-"&amp;IDNMaps[[#This Row],[Type Count]],"")</f>
        <v>Resource Lists-7</v>
      </c>
      <c r="N17" s="6" t="str">
        <f ca="1">IFERROR(VLOOKUP(IDNMaps[[#This Row],[Primary]],INDIRECT(VLOOKUP(IDNMaps[[#This Row],[Type]],RecordCount[],2,0)),VLOOKUP(IDNMaps[[#This Row],[Type]],RecordCount[],7,0),0),"")</f>
        <v>PartnerTask/ReturnedTasks</v>
      </c>
      <c r="O17" s="6" t="str">
        <f ca="1">IF(IDNMaps[[#This Row],[Name]]="","","("&amp;IDNMaps[[#This Row],[Type]]&amp;") "&amp;IDNMaps[[#This Row],[Name]])</f>
        <v>(Lists) PartnerTask/ReturnedTasks</v>
      </c>
      <c r="P17" s="6">
        <f ca="1">IFERROR(VLOOKUP(IDNMaps[[#This Row],[Primary]],INDIRECT(VLOOKUP(IDNMaps[[#This Row],[Type]],RecordCount[],2,0)),VLOOKUP(IDNMaps[[#This Row],[Type]],RecordCount[],8,0),0),"")</f>
        <v>802207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8</v>
      </c>
      <c r="M18" s="6" t="str">
        <f ca="1">IFERROR(VLOOKUP(IDNMaps[[#This Row],[Type]],RecordCount[],6,0)&amp;"-"&amp;IDNMaps[[#This Row],[Type Count]],"")</f>
        <v>Resource Lists-8</v>
      </c>
      <c r="N18" s="6" t="str">
        <f ca="1">IFERROR(VLOOKUP(IDNMaps[[#This Row],[Primary]],INDIRECT(VLOOKUP(IDNMaps[[#This Row],[Type]],RecordCount[],2,0)),VLOOKUP(IDNMaps[[#This Row],[Type]],RecordCount[],7,0),0),"")</f>
        <v>PartnerTask/CompletedTasks</v>
      </c>
      <c r="O18" s="6" t="str">
        <f ca="1">IF(IDNMaps[[#This Row],[Name]]="","","("&amp;IDNMaps[[#This Row],[Type]]&amp;") "&amp;IDNMaps[[#This Row],[Name]])</f>
        <v>(Lists) PartnerTask/CompletedTasks</v>
      </c>
      <c r="P18" s="6">
        <f ca="1">IFERROR(VLOOKUP(IDNMaps[[#This Row],[Primary]],INDIRECT(VLOOKUP(IDNMaps[[#This Row],[Type]],RecordCount[],2,0)),VLOOKUP(IDNMaps[[#This Row],[Type]],RecordCount[],8,0),0),"")</f>
        <v>802208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9</v>
      </c>
      <c r="M19" s="6" t="str">
        <f ca="1">IFERROR(VLOOKUP(IDNMaps[[#This Row],[Type]],RecordCount[],6,0)&amp;"-"&amp;IDNMaps[[#This Row],[Type Count]],"")</f>
        <v>Resource Lists-9</v>
      </c>
      <c r="N19" s="6" t="str">
        <f ca="1">IFERROR(VLOOKUP(IDNMaps[[#This Row],[Primary]],INDIRECT(VLOOKUP(IDNMaps[[#This Row],[Type]],RecordCount[],2,0)),VLOOKUP(IDNMaps[[#This Row],[Type]],RecordCount[],7,0),0),"")</f>
        <v>PartnerTask/RecentlyCompletedTasks</v>
      </c>
      <c r="O19" s="6" t="str">
        <f ca="1">IF(IDNMaps[[#This Row],[Name]]="","","("&amp;IDNMaps[[#This Row],[Type]]&amp;") "&amp;IDNMaps[[#This Row],[Name]])</f>
        <v>(Lists) PartnerTask/RecentlyCompletedTasks</v>
      </c>
      <c r="P19" s="6">
        <f ca="1">IFERROR(VLOOKUP(IDNMaps[[#This Row],[Primary]],INDIRECT(VLOOKUP(IDNMaps[[#This Row],[Type]],RecordCount[],2,0)),VLOOKUP(IDNMaps[[#This Row],[Type]],RecordCount[],8,0),0),"")</f>
        <v>802209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10</v>
      </c>
      <c r="M20" s="6" t="str">
        <f ca="1">IFERROR(VLOOKUP(IDNMaps[[#This Row],[Type]],RecordCount[],6,0)&amp;"-"&amp;IDNMaps[[#This Row],[Type Count]],"")</f>
        <v>Resource Lists-10</v>
      </c>
      <c r="N20" s="6" t="str">
        <f ca="1">IFERROR(VLOOKUP(IDNMaps[[#This Row],[Primary]],INDIRECT(VLOOKUP(IDNMaps[[#This Row],[Type]],RecordCount[],2,0)),VLOOKUP(IDNMaps[[#This Row],[Type]],RecordCount[],7,0),0),"")</f>
        <v>PartnerTask/TaskPartnerProgress</v>
      </c>
      <c r="O20" s="6" t="str">
        <f ca="1">IF(IDNMaps[[#This Row],[Name]]="","","("&amp;IDNMaps[[#This Row],[Type]]&amp;") "&amp;IDNMaps[[#This Row],[Name]])</f>
        <v>(Lists) PartnerTask/TaskPartnerProgress</v>
      </c>
      <c r="P20" s="6">
        <f ca="1">IFERROR(VLOOKUP(IDNMaps[[#This Row],[Primary]],INDIRECT(VLOOKUP(IDNMaps[[#This Row],[Type]],RecordCount[],2,0)),VLOOKUP(IDNMaps[[#This Row],[Type]],RecordCount[],8,0),0),"")</f>
        <v>802210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11</v>
      </c>
      <c r="M21" s="6" t="str">
        <f ca="1">IFERROR(VLOOKUP(IDNMaps[[#This Row],[Type]],RecordCount[],6,0)&amp;"-"&amp;IDNMaps[[#This Row],[Type Count]],"")</f>
        <v>Resource Lists-11</v>
      </c>
      <c r="N21" s="6" t="str">
        <f ca="1">IFERROR(VLOOKUP(IDNMaps[[#This Row],[Primary]],INDIRECT(VLOOKUP(IDNMaps[[#This Row],[Type]],RecordCount[],2,0)),VLOOKUP(IDNMaps[[#This Row],[Type]],RecordCount[],7,0),0),"")</f>
        <v>PartnerTask/PartnerTaskProgress</v>
      </c>
      <c r="O21" s="6" t="str">
        <f ca="1">IF(IDNMaps[[#This Row],[Name]]="","","("&amp;IDNMaps[[#This Row],[Type]]&amp;") "&amp;IDNMaps[[#This Row],[Name]])</f>
        <v>(Lists) PartnerTask/PartnerTaskProgress</v>
      </c>
      <c r="P21" s="6">
        <f ca="1">IFERROR(VLOOKUP(IDNMaps[[#This Row],[Primary]],INDIRECT(VLOOKUP(IDNMaps[[#This Row],[Type]],RecordCount[],2,0)),VLOOKUP(IDNMaps[[#This Row],[Type]],RecordCount[],8,0),0),"")</f>
        <v>802211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12</v>
      </c>
      <c r="M22" s="6" t="str">
        <f ca="1">IFERROR(VLOOKUP(IDNMaps[[#This Row],[Type]],RecordCount[],6,0)&amp;"-"&amp;IDNMaps[[#This Row],[Type Count]],"")</f>
        <v>Resource Lists-12</v>
      </c>
      <c r="N22" s="6" t="str">
        <f ca="1">IFERROR(VLOOKUP(IDNMaps[[#This Row],[Primary]],INDIRECT(VLOOKUP(IDNMaps[[#This Row],[Type]],RecordCount[],2,0)),VLOOKUP(IDNMaps[[#This Row],[Type]],RecordCount[],7,0),0),"")</f>
        <v>Category/CategoryList</v>
      </c>
      <c r="O22" s="6" t="str">
        <f ca="1">IF(IDNMaps[[#This Row],[Name]]="","","("&amp;IDNMaps[[#This Row],[Type]]&amp;") "&amp;IDNMaps[[#This Row],[Name]])</f>
        <v>(Lists) Category/CategoryList</v>
      </c>
      <c r="P22" s="6">
        <f ca="1">IFERROR(VLOOKUP(IDNMaps[[#This Row],[Primary]],INDIRECT(VLOOKUP(IDNMaps[[#This Row],[Type]],RecordCount[],2,0)),VLOOKUP(IDNMaps[[#This Row],[Type]],RecordCount[],8,0),0),"")</f>
        <v>802212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13</v>
      </c>
      <c r="M23" s="6" t="str">
        <f ca="1">IFERROR(VLOOKUP(IDNMaps[[#This Row],[Type]],RecordCount[],6,0)&amp;"-"&amp;IDNMaps[[#This Row],[Type Count]],"")</f>
        <v>Resource Lists-13</v>
      </c>
      <c r="N23" s="6" t="str">
        <f ca="1">IFERROR(VLOOKUP(IDNMaps[[#This Row],[Primary]],INDIRECT(VLOOKUP(IDNMaps[[#This Row],[Type]],RecordCount[],2,0)),VLOOKUP(IDNMaps[[#This Row],[Type]],RecordCount[],7,0),0),"")</f>
        <v>CategoryTask/CategoryTaskList</v>
      </c>
      <c r="O23" s="6" t="str">
        <f ca="1">IF(IDNMaps[[#This Row],[Name]]="","","("&amp;IDNMaps[[#This Row],[Type]]&amp;") "&amp;IDNMaps[[#This Row],[Name]])</f>
        <v>(Lists) CategoryTask/CategoryTaskList</v>
      </c>
      <c r="P23" s="6">
        <f ca="1">IFERROR(VLOOKUP(IDNMaps[[#This Row],[Primary]],INDIRECT(VLOOKUP(IDNMaps[[#This Row],[Type]],RecordCount[],2,0)),VLOOKUP(IDNMaps[[#This Row],[Type]],RecordCount[],8,0),0),"")</f>
        <v>802213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14</v>
      </c>
      <c r="M24" s="6" t="str">
        <f ca="1">IFERROR(VLOOKUP(IDNMaps[[#This Row],[Type]],RecordCount[],6,0)&amp;"-"&amp;IDNMaps[[#This Row],[Type Count]],"")</f>
        <v>Resource Lists-14</v>
      </c>
      <c r="N24" s="6" t="str">
        <f ca="1">IFERROR(VLOOKUP(IDNMaps[[#This Row],[Primary]],INDIRECT(VLOOKUP(IDNMaps[[#This Row],[Type]],RecordCount[],2,0)),VLOOKUP(IDNMaps[[#This Row],[Type]],RecordCount[],7,0),0),"")</f>
        <v>Profile/ProfileList</v>
      </c>
      <c r="O24" s="6" t="str">
        <f ca="1">IF(IDNMaps[[#This Row],[Name]]="","","("&amp;IDNMaps[[#This Row],[Type]]&amp;") "&amp;IDNMaps[[#This Row],[Name]])</f>
        <v>(Lists) Profile/ProfileList</v>
      </c>
      <c r="P24" s="6">
        <f ca="1">IFERROR(VLOOKUP(IDNMaps[[#This Row],[Primary]],INDIRECT(VLOOKUP(IDNMaps[[#This Row],[Type]],RecordCount[],2,0)),VLOOKUP(IDNMaps[[#This Row],[Type]],RecordCount[],8,0),0),"")</f>
        <v>802214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15</v>
      </c>
      <c r="M25" s="6" t="str">
        <f ca="1">IFERROR(VLOOKUP(IDNMaps[[#This Row],[Type]],RecordCount[],6,0)&amp;"-"&amp;IDNMaps[[#This Row],[Type Count]],"")</f>
        <v>Resource Lists-15</v>
      </c>
      <c r="N25" s="6" t="str">
        <f ca="1">IFERROR(VLOOKUP(IDNMaps[[#This Row],[Primary]],INDIRECT(VLOOKUP(IDNMaps[[#This Row],[Type]],RecordCount[],2,0)),VLOOKUP(IDNMaps[[#This Row],[Type]],RecordCount[],7,0),0),"")</f>
        <v>PartnerTask/RecentlyUpdatedTasks24</v>
      </c>
      <c r="O25" s="6" t="str">
        <f ca="1">IF(IDNMaps[[#This Row],[Name]]="","","("&amp;IDNMaps[[#This Row],[Type]]&amp;") "&amp;IDNMaps[[#This Row],[Name]])</f>
        <v>(Lists) PartnerTask/RecentlyUpdatedTasks24</v>
      </c>
      <c r="P25" s="6">
        <f ca="1">IFERROR(VLOOKUP(IDNMaps[[#This Row],[Primary]],INDIRECT(VLOOKUP(IDNMaps[[#This Row],[Type]],RecordCount[],2,0)),VLOOKUP(IDNMaps[[#This Row],[Type]],RecordCount[],8,0),0),"")</f>
        <v>802215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16</v>
      </c>
      <c r="M26" s="6" t="str">
        <f ca="1">IFERROR(VLOOKUP(IDNMaps[[#This Row],[Type]],RecordCount[],6,0)&amp;"-"&amp;IDNMaps[[#This Row],[Type Count]],"")</f>
        <v>Resource Lists-16</v>
      </c>
      <c r="N26" s="6" t="str">
        <f ca="1">IFERROR(VLOOKUP(IDNMaps[[#This Row],[Primary]],INDIRECT(VLOOKUP(IDNMaps[[#This Row],[Type]],RecordCount[],2,0)),VLOOKUP(IDNMaps[[#This Row],[Type]],RecordCount[],7,0),0),"")</f>
        <v>PartnerTask/RecentlyUpdatedTasks48</v>
      </c>
      <c r="O26" s="6" t="str">
        <f ca="1">IF(IDNMaps[[#This Row],[Name]]="","","("&amp;IDNMaps[[#This Row],[Type]]&amp;") "&amp;IDNMaps[[#This Row],[Name]])</f>
        <v>(Lists) PartnerTask/RecentlyUpdatedTasks48</v>
      </c>
      <c r="P26" s="6">
        <f ca="1">IFERROR(VLOOKUP(IDNMaps[[#This Row],[Primary]],INDIRECT(VLOOKUP(IDNMaps[[#This Row],[Type]],RecordCount[],2,0)),VLOOKUP(IDNMaps[[#This Row],[Type]],RecordCount[],8,0),0),"")</f>
        <v>802216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7" s="6">
        <f ca="1">IF(IDNMaps[[#This Row],[Type]]="","",COUNTIF($K$1:IDNMaps[[#This Row],[Type]],IDNMaps[[#This Row],[Type]]))</f>
        <v>1</v>
      </c>
      <c r="M27" s="6" t="str">
        <f ca="1">IFERROR(VLOOKUP(IDNMaps[[#This Row],[Type]],RecordCount[],6,0)&amp;"-"&amp;IDNMaps[[#This Row],[Type Count]],"")</f>
        <v>Resource Data-1</v>
      </c>
      <c r="N27" s="6" t="str">
        <f ca="1">IFERROR(VLOOKUP(IDNMaps[[#This Row],[Primary]],INDIRECT(VLOOKUP(IDNMaps[[#This Row],[Type]],RecordCount[],2,0)),VLOOKUP(IDNMaps[[#This Row],[Type]],RecordCount[],7,0),0),"")</f>
        <v>PartnerTask/TaskProgress</v>
      </c>
      <c r="O27" s="6" t="str">
        <f ca="1">IF(IDNMaps[[#This Row],[Name]]="","","("&amp;IDNMaps[[#This Row],[Type]]&amp;") "&amp;IDNMaps[[#This Row],[Name]])</f>
        <v>(Data) PartnerTask/TaskProgress</v>
      </c>
      <c r="P27" s="6">
        <f ca="1">IFERROR(VLOOKUP(IDNMaps[[#This Row],[Primary]],INDIRECT(VLOOKUP(IDNMaps[[#This Row],[Type]],RecordCount[],2,0)),VLOOKUP(IDNMaps[[#This Row],[Type]],RecordCount[],8,0),0),"")</f>
        <v>802701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8" s="6">
        <f ca="1">IF(IDNMaps[[#This Row],[Type]]="","",COUNTIF($K$1:IDNMaps[[#This Row],[Type]],IDNMaps[[#This Row],[Type]]))</f>
        <v>2</v>
      </c>
      <c r="M28" s="6" t="str">
        <f ca="1">IFERROR(VLOOKUP(IDNMaps[[#This Row],[Type]],RecordCount[],6,0)&amp;"-"&amp;IDNMaps[[#This Row],[Type Count]],"")</f>
        <v>Resource Data-2</v>
      </c>
      <c r="N28" s="6" t="str">
        <f ca="1">IFERROR(VLOOKUP(IDNMaps[[#This Row],[Primary]],INDIRECT(VLOOKUP(IDNMaps[[#This Row],[Type]],RecordCount[],2,0)),VLOOKUP(IDNMaps[[#This Row],[Type]],RecordCount[],7,0),0),"")</f>
        <v>Group/GroupData</v>
      </c>
      <c r="O28" s="6" t="str">
        <f ca="1">IF(IDNMaps[[#This Row],[Name]]="","","("&amp;IDNMaps[[#This Row],[Type]]&amp;") "&amp;IDNMaps[[#This Row],[Name]])</f>
        <v>(Data) Group/GroupData</v>
      </c>
      <c r="P28" s="6">
        <f ca="1">IFERROR(VLOOKUP(IDNMaps[[#This Row],[Primary]],INDIRECT(VLOOKUP(IDNMaps[[#This Row],[Type]],RecordCount[],2,0)),VLOOKUP(IDNMaps[[#This Row],[Type]],RecordCount[],8,0),0),"")</f>
        <v>802702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3</v>
      </c>
      <c r="M29" s="6" t="str">
        <f ca="1">IFERROR(VLOOKUP(IDNMaps[[#This Row],[Type]],RecordCount[],6,0)&amp;"-"&amp;IDNMaps[[#This Row],[Type Count]],"")</f>
        <v>Resource Data-3</v>
      </c>
      <c r="N29" s="6" t="str">
        <f ca="1">IFERROR(VLOOKUP(IDNMaps[[#This Row],[Primary]],INDIRECT(VLOOKUP(IDNMaps[[#This Row],[Type]],RecordCount[],2,0)),VLOOKUP(IDNMaps[[#This Row],[Type]],RecordCount[],7,0),0),"")</f>
        <v>Partner/PartnersData</v>
      </c>
      <c r="O29" s="6" t="str">
        <f ca="1">IF(IDNMaps[[#This Row],[Name]]="","","("&amp;IDNMaps[[#This Row],[Type]]&amp;") "&amp;IDNMaps[[#This Row],[Name]])</f>
        <v>(Data) Partner/PartnersData</v>
      </c>
      <c r="P29" s="6">
        <f ca="1">IFERROR(VLOOKUP(IDNMaps[[#This Row],[Primary]],INDIRECT(VLOOKUP(IDNMaps[[#This Row],[Type]],RecordCount[],2,0)),VLOOKUP(IDNMaps[[#This Row],[Type]],RecordCount[],8,0),0),"")</f>
        <v>802703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4</v>
      </c>
      <c r="M30" s="6" t="str">
        <f ca="1">IFERROR(VLOOKUP(IDNMaps[[#This Row],[Type]],RecordCount[],6,0)&amp;"-"&amp;IDNMaps[[#This Row],[Type Count]],"")</f>
        <v>Resource Data-4</v>
      </c>
      <c r="N30" s="6" t="str">
        <f ca="1">IFERROR(VLOOKUP(IDNMaps[[#This Row],[Primary]],INDIRECT(VLOOKUP(IDNMaps[[#This Row],[Type]],RecordCount[],2,0)),VLOOKUP(IDNMaps[[#This Row],[Type]],RecordCount[],7,0),0),"")</f>
        <v>Task/TasksData</v>
      </c>
      <c r="O30" s="6" t="str">
        <f ca="1">IF(IDNMaps[[#This Row],[Name]]="","","("&amp;IDNMaps[[#This Row],[Type]]&amp;") "&amp;IDNMaps[[#This Row],[Name]])</f>
        <v>(Data) Task/TasksData</v>
      </c>
      <c r="P30" s="6">
        <f ca="1">IFERROR(VLOOKUP(IDNMaps[[#This Row],[Primary]],INDIRECT(VLOOKUP(IDNMaps[[#This Row],[Type]],RecordCount[],2,0)),VLOOKUP(IDNMaps[[#This Row],[Type]],RecordCount[],8,0),0),"")</f>
        <v>802704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5</v>
      </c>
      <c r="M31" s="6" t="str">
        <f ca="1">IFERROR(VLOOKUP(IDNMaps[[#This Row],[Type]],RecordCount[],6,0)&amp;"-"&amp;IDNMaps[[#This Row],[Type Count]],"")</f>
        <v>Resource Data-5</v>
      </c>
      <c r="N31" s="6" t="str">
        <f ca="1">IFERROR(VLOOKUP(IDNMaps[[#This Row],[Primary]],INDIRECT(VLOOKUP(IDNMaps[[#This Row],[Type]],RecordCount[],2,0)),VLOOKUP(IDNMaps[[#This Row],[Type]],RecordCount[],7,0),0),"")</f>
        <v>Category/CategoriesData</v>
      </c>
      <c r="O31" s="6" t="str">
        <f ca="1">IF(IDNMaps[[#This Row],[Name]]="","","("&amp;IDNMaps[[#This Row],[Type]]&amp;") "&amp;IDNMaps[[#This Row],[Name]])</f>
        <v>(Data) Category/CategoriesData</v>
      </c>
      <c r="P31" s="6">
        <f ca="1">IFERROR(VLOOKUP(IDNMaps[[#This Row],[Primary]],INDIRECT(VLOOKUP(IDNMaps[[#This Row],[Type]],RecordCount[],2,0)),VLOOKUP(IDNMaps[[#This Row],[Type]],RecordCount[],8,0),0),"")</f>
        <v>802705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6</v>
      </c>
      <c r="M32" s="6" t="str">
        <f ca="1">IFERROR(VLOOKUP(IDNMaps[[#This Row],[Type]],RecordCount[],6,0)&amp;"-"&amp;IDNMaps[[#This Row],[Type Count]],"")</f>
        <v>Resource Data-6</v>
      </c>
      <c r="N32" s="6" t="str">
        <f ca="1">IFERROR(VLOOKUP(IDNMaps[[#This Row],[Primary]],INDIRECT(VLOOKUP(IDNMaps[[#This Row],[Type]],RecordCount[],2,0)),VLOOKUP(IDNMaps[[#This Row],[Type]],RecordCount[],7,0),0),"")</f>
        <v>Profile/ProfileData</v>
      </c>
      <c r="O32" s="6" t="str">
        <f ca="1">IF(IDNMaps[[#This Row],[Name]]="","","("&amp;IDNMaps[[#This Row],[Type]]&amp;") "&amp;IDNMaps[[#This Row],[Name]])</f>
        <v>(Data) Profile/ProfileData</v>
      </c>
      <c r="P32" s="6">
        <f ca="1">IFERROR(VLOOKUP(IDNMaps[[#This Row],[Primary]],INDIRECT(VLOOKUP(IDNMaps[[#This Row],[Type]],RecordCount[],2,0)),VLOOKUP(IDNMaps[[#This Row],[Type]],RecordCount[],8,0),0),"")</f>
        <v>802706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</v>
      </c>
      <c r="M33" s="6" t="str">
        <f ca="1">IFERROR(VLOOKUP(IDNMaps[[#This Row],[Type]],RecordCount[],6,0)&amp;"-"&amp;IDNMaps[[#This Row],[Type Count]],"")</f>
        <v>Resource Relations-1</v>
      </c>
      <c r="N33" s="6" t="str">
        <f ca="1">IFERROR(VLOOKUP(IDNMaps[[#This Row],[Primary]],INDIRECT(VLOOKUP(IDNMaps[[#This Row],[Type]],RecordCount[],2,0)),VLOOKUP(IDNMaps[[#This Row],[Type]],RecordCount[],7,0),0),"")</f>
        <v>Partner/Groups</v>
      </c>
      <c r="O33" s="6" t="str">
        <f ca="1">IF(IDNMaps[[#This Row],[Name]]="","","("&amp;IDNMaps[[#This Row],[Type]]&amp;") "&amp;IDNMaps[[#This Row],[Name]])</f>
        <v>(Relation) Partner/Groups</v>
      </c>
      <c r="P33" s="6">
        <f ca="1">IFERROR(VLOOKUP(IDNMaps[[#This Row],[Primary]],INDIRECT(VLOOKUP(IDNMaps[[#This Row],[Type]],RecordCount[],2,0)),VLOOKUP(IDNMaps[[#This Row],[Type]],RecordCount[],8,0),0),"")</f>
        <v>800801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2</v>
      </c>
      <c r="M34" s="6" t="str">
        <f ca="1">IFERROR(VLOOKUP(IDNMaps[[#This Row],[Type]],RecordCount[],6,0)&amp;"-"&amp;IDNMaps[[#This Row],[Type Count]],"")</f>
        <v>Resource Relations-2</v>
      </c>
      <c r="N34" s="6" t="str">
        <f ca="1">IFERROR(VLOOKUP(IDNMaps[[#This Row],[Primary]],INDIRECT(VLOOKUP(IDNMaps[[#This Row],[Type]],RecordCount[],2,0)),VLOOKUP(IDNMaps[[#This Row],[Type]],RecordCount[],7,0),0),"")</f>
        <v>Partner/Tasks</v>
      </c>
      <c r="O34" s="6" t="str">
        <f ca="1">IF(IDNMaps[[#This Row],[Name]]="","","("&amp;IDNMaps[[#This Row],[Type]]&amp;") "&amp;IDNMaps[[#This Row],[Name]])</f>
        <v>(Relation) Partner/Tasks</v>
      </c>
      <c r="P34" s="6">
        <f ca="1">IFERROR(VLOOKUP(IDNMaps[[#This Row],[Primary]],INDIRECT(VLOOKUP(IDNMaps[[#This Row],[Type]],RecordCount[],2,0)),VLOOKUP(IDNMaps[[#This Row],[Type]],RecordCount[],8,0),0),"")</f>
        <v>800802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3</v>
      </c>
      <c r="M35" s="6" t="str">
        <f ca="1">IFERROR(VLOOKUP(IDNMaps[[#This Row],[Type]],RecordCount[],6,0)&amp;"-"&amp;IDNMaps[[#This Row],[Type Count]],"")</f>
        <v>Resource Relations-3</v>
      </c>
      <c r="N35" s="6" t="str">
        <f ca="1">IFERROR(VLOOKUP(IDNMaps[[#This Row],[Primary]],INDIRECT(VLOOKUP(IDNMaps[[#This Row],[Type]],RecordCount[],2,0)),VLOOKUP(IDNMaps[[#This Row],[Type]],RecordCount[],7,0),0),"")</f>
        <v>Group/Partners</v>
      </c>
      <c r="O35" s="6" t="str">
        <f ca="1">IF(IDNMaps[[#This Row],[Name]]="","","("&amp;IDNMaps[[#This Row],[Type]]&amp;") "&amp;IDNMaps[[#This Row],[Name]])</f>
        <v>(Relation) Group/Partners</v>
      </c>
      <c r="P35" s="6">
        <f ca="1">IFERROR(VLOOKUP(IDNMaps[[#This Row],[Primary]],INDIRECT(VLOOKUP(IDNMaps[[#This Row],[Type]],RecordCount[],2,0)),VLOOKUP(IDNMaps[[#This Row],[Type]],RecordCount[],8,0),0),"")</f>
        <v>800803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4</v>
      </c>
      <c r="M36" s="6" t="str">
        <f ca="1">IFERROR(VLOOKUP(IDNMaps[[#This Row],[Type]],RecordCount[],6,0)&amp;"-"&amp;IDNMaps[[#This Row],[Type Count]],"")</f>
        <v>Resource Relations-4</v>
      </c>
      <c r="N36" s="6" t="str">
        <f ca="1">IFERROR(VLOOKUP(IDNMaps[[#This Row],[Primary]],INDIRECT(VLOOKUP(IDNMaps[[#This Row],[Type]],RecordCount[],2,0)),VLOOKUP(IDNMaps[[#This Row],[Type]],RecordCount[],7,0),0),"")</f>
        <v>Task/Main</v>
      </c>
      <c r="O36" s="6" t="str">
        <f ca="1">IF(IDNMaps[[#This Row],[Name]]="","","("&amp;IDNMaps[[#This Row],[Type]]&amp;") "&amp;IDNMaps[[#This Row],[Name]])</f>
        <v>(Relation) Task/Main</v>
      </c>
      <c r="P36" s="6">
        <f ca="1">IFERROR(VLOOKUP(IDNMaps[[#This Row],[Primary]],INDIRECT(VLOOKUP(IDNMaps[[#This Row],[Type]],RecordCount[],2,0)),VLOOKUP(IDNMaps[[#This Row],[Type]],RecordCount[],8,0),0),"")</f>
        <v>800804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5</v>
      </c>
      <c r="M37" s="6" t="str">
        <f ca="1">IFERROR(VLOOKUP(IDNMaps[[#This Row],[Type]],RecordCount[],6,0)&amp;"-"&amp;IDNMaps[[#This Row],[Type Count]],"")</f>
        <v>Resource Relations-5</v>
      </c>
      <c r="N37" s="6" t="str">
        <f ca="1">IFERROR(VLOOKUP(IDNMaps[[#This Row],[Primary]],INDIRECT(VLOOKUP(IDNMaps[[#This Row],[Type]],RecordCount[],2,0)),VLOOKUP(IDNMaps[[#This Row],[Type]],RecordCount[],7,0),0),"")</f>
        <v>Task/Tasks</v>
      </c>
      <c r="O37" s="6" t="str">
        <f ca="1">IF(IDNMaps[[#This Row],[Name]]="","","("&amp;IDNMaps[[#This Row],[Type]]&amp;") "&amp;IDNMaps[[#This Row],[Name]])</f>
        <v>(Relation) Task/Tasks</v>
      </c>
      <c r="P37" s="6">
        <f ca="1">IFERROR(VLOOKUP(IDNMaps[[#This Row],[Primary]],INDIRECT(VLOOKUP(IDNMaps[[#This Row],[Type]],RecordCount[],2,0)),VLOOKUP(IDNMaps[[#This Row],[Type]],RecordCount[],8,0),0),"")</f>
        <v>800805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6</v>
      </c>
      <c r="M38" s="6" t="str">
        <f ca="1">IFERROR(VLOOKUP(IDNMaps[[#This Row],[Type]],RecordCount[],6,0)&amp;"-"&amp;IDNMaps[[#This Row],[Type Count]],"")</f>
        <v>Resource Relations-6</v>
      </c>
      <c r="N38" s="6" t="str">
        <f ca="1">IFERROR(VLOOKUP(IDNMaps[[#This Row],[Primary]],INDIRECT(VLOOKUP(IDNMaps[[#This Row],[Type]],RecordCount[],2,0)),VLOOKUP(IDNMaps[[#This Row],[Type]],RecordCount[],7,0),0),"")</f>
        <v>Task/Partners</v>
      </c>
      <c r="O38" s="6" t="str">
        <f ca="1">IF(IDNMaps[[#This Row],[Name]]="","","("&amp;IDNMaps[[#This Row],[Type]]&amp;") "&amp;IDNMaps[[#This Row],[Name]])</f>
        <v>(Relation) Task/Partners</v>
      </c>
      <c r="P38" s="6">
        <f ca="1">IFERROR(VLOOKUP(IDNMaps[[#This Row],[Primary]],INDIRECT(VLOOKUP(IDNMaps[[#This Row],[Type]],RecordCount[],2,0)),VLOOKUP(IDNMaps[[#This Row],[Type]],RecordCount[],8,0),0),"")</f>
        <v>800806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7</v>
      </c>
      <c r="M39" s="6" t="str">
        <f ca="1">IFERROR(VLOOKUP(IDNMaps[[#This Row],[Type]],RecordCount[],6,0)&amp;"-"&amp;IDNMaps[[#This Row],[Type Count]],"")</f>
        <v>Resource Relations-7</v>
      </c>
      <c r="N39" s="6" t="str">
        <f ca="1">IFERROR(VLOOKUP(IDNMaps[[#This Row],[Primary]],INDIRECT(VLOOKUP(IDNMaps[[#This Row],[Type]],RecordCount[],2,0)),VLOOKUP(IDNMaps[[#This Row],[Type]],RecordCount[],7,0),0),"")</f>
        <v>Task/Progress</v>
      </c>
      <c r="O39" s="6" t="str">
        <f ca="1">IF(IDNMaps[[#This Row],[Name]]="","","("&amp;IDNMaps[[#This Row],[Type]]&amp;") "&amp;IDNMaps[[#This Row],[Name]])</f>
        <v>(Relation) Task/Progress</v>
      </c>
      <c r="P39" s="6">
        <f ca="1">IFERROR(VLOOKUP(IDNMaps[[#This Row],[Primary]],INDIRECT(VLOOKUP(IDNMaps[[#This Row],[Type]],RecordCount[],2,0)),VLOOKUP(IDNMaps[[#This Row],[Type]],RecordCount[],8,0),0),"")</f>
        <v>800807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8</v>
      </c>
      <c r="M40" s="6" t="str">
        <f ca="1">IFERROR(VLOOKUP(IDNMaps[[#This Row],[Type]],RecordCount[],6,0)&amp;"-"&amp;IDNMaps[[#This Row],[Type Count]],"")</f>
        <v>Resource Relations-8</v>
      </c>
      <c r="N40" s="6" t="str">
        <f ca="1">IFERROR(VLOOKUP(IDNMaps[[#This Row],[Primary]],INDIRECT(VLOOKUP(IDNMaps[[#This Row],[Type]],RecordCount[],2,0)),VLOOKUP(IDNMaps[[#This Row],[Type]],RecordCount[],7,0),0),"")</f>
        <v>Partner/Progress</v>
      </c>
      <c r="O40" s="6" t="str">
        <f ca="1">IF(IDNMaps[[#This Row],[Name]]="","","("&amp;IDNMaps[[#This Row],[Type]]&amp;") "&amp;IDNMaps[[#This Row],[Name]])</f>
        <v>(Relation) Partner/Progress</v>
      </c>
      <c r="P40" s="6">
        <f ca="1">IFERROR(VLOOKUP(IDNMaps[[#This Row],[Primary]],INDIRECT(VLOOKUP(IDNMaps[[#This Row],[Type]],RecordCount[],2,0)),VLOOKUP(IDNMaps[[#This Row],[Type]],RecordCount[],8,0),0),"")</f>
        <v>800808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9</v>
      </c>
      <c r="M41" s="6" t="str">
        <f ca="1">IFERROR(VLOOKUP(IDNMaps[[#This Row],[Type]],RecordCount[],6,0)&amp;"-"&amp;IDNMaps[[#This Row],[Type Count]],"")</f>
        <v>Resource Relations-9</v>
      </c>
      <c r="N41" s="6" t="str">
        <f ca="1">IFERROR(VLOOKUP(IDNMaps[[#This Row],[Primary]],INDIRECT(VLOOKUP(IDNMaps[[#This Row],[Type]],RecordCount[],2,0)),VLOOKUP(IDNMaps[[#This Row],[Type]],RecordCount[],7,0),0),"")</f>
        <v>PartnerTask/Task</v>
      </c>
      <c r="O41" s="6" t="str">
        <f ca="1">IF(IDNMaps[[#This Row],[Name]]="","","("&amp;IDNMaps[[#This Row],[Type]]&amp;") "&amp;IDNMaps[[#This Row],[Name]])</f>
        <v>(Relation) PartnerTask/Task</v>
      </c>
      <c r="P41" s="6">
        <f ca="1">IFERROR(VLOOKUP(IDNMaps[[#This Row],[Primary]],INDIRECT(VLOOKUP(IDNMaps[[#This Row],[Type]],RecordCount[],2,0)),VLOOKUP(IDNMaps[[#This Row],[Type]],RecordCount[],8,0),0),"")</f>
        <v>800809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10</v>
      </c>
      <c r="M42" s="6" t="str">
        <f ca="1">IFERROR(VLOOKUP(IDNMaps[[#This Row],[Type]],RecordCount[],6,0)&amp;"-"&amp;IDNMaps[[#This Row],[Type Count]],"")</f>
        <v>Resource Relations-10</v>
      </c>
      <c r="N42" s="6" t="str">
        <f ca="1">IFERROR(VLOOKUP(IDNMaps[[#This Row],[Primary]],INDIRECT(VLOOKUP(IDNMaps[[#This Row],[Type]],RecordCount[],2,0)),VLOOKUP(IDNMaps[[#This Row],[Type]],RecordCount[],7,0),0),"")</f>
        <v>PartnerTask/Partner</v>
      </c>
      <c r="O42" s="6" t="str">
        <f ca="1">IF(IDNMaps[[#This Row],[Name]]="","","("&amp;IDNMaps[[#This Row],[Type]]&amp;") "&amp;IDNMaps[[#This Row],[Name]])</f>
        <v>(Relation) PartnerTask/Partner</v>
      </c>
      <c r="P42" s="6">
        <f ca="1">IFERROR(VLOOKUP(IDNMaps[[#This Row],[Primary]],INDIRECT(VLOOKUP(IDNMaps[[#This Row],[Type]],RecordCount[],2,0)),VLOOKUP(IDNMaps[[#This Row],[Type]],RecordCount[],8,0),0),"")</f>
        <v>800810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11</v>
      </c>
      <c r="M43" s="6" t="str">
        <f ca="1">IFERROR(VLOOKUP(IDNMaps[[#This Row],[Type]],RecordCount[],6,0)&amp;"-"&amp;IDNMaps[[#This Row],[Type Count]],"")</f>
        <v>Resource Relations-11</v>
      </c>
      <c r="N43" s="6" t="str">
        <f ca="1">IFERROR(VLOOKUP(IDNMaps[[#This Row],[Primary]],INDIRECT(VLOOKUP(IDNMaps[[#This Row],[Type]],RecordCount[],2,0)),VLOOKUP(IDNMaps[[#This Row],[Type]],RecordCount[],7,0),0),"")</f>
        <v>Category/TaskCategory</v>
      </c>
      <c r="O43" s="6" t="str">
        <f ca="1">IF(IDNMaps[[#This Row],[Name]]="","","("&amp;IDNMaps[[#This Row],[Type]]&amp;") "&amp;IDNMaps[[#This Row],[Name]])</f>
        <v>(Relation) Category/TaskCategory</v>
      </c>
      <c r="P43" s="6">
        <f ca="1">IFERROR(VLOOKUP(IDNMaps[[#This Row],[Primary]],INDIRECT(VLOOKUP(IDNMaps[[#This Row],[Type]],RecordCount[],2,0)),VLOOKUP(IDNMaps[[#This Row],[Type]],RecordCount[],8,0),0),"")</f>
        <v>800811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12</v>
      </c>
      <c r="M44" s="6" t="str">
        <f ca="1">IFERROR(VLOOKUP(IDNMaps[[#This Row],[Type]],RecordCount[],6,0)&amp;"-"&amp;IDNMaps[[#This Row],[Type Count]],"")</f>
        <v>Resource Relations-12</v>
      </c>
      <c r="N44" s="6" t="str">
        <f ca="1">IFERROR(VLOOKUP(IDNMaps[[#This Row],[Primary]],INDIRECT(VLOOKUP(IDNMaps[[#This Row],[Type]],RecordCount[],2,0)),VLOOKUP(IDNMaps[[#This Row],[Type]],RecordCount[],7,0),0),"")</f>
        <v>Category/TaskCategoryPartner</v>
      </c>
      <c r="O44" s="6" t="str">
        <f ca="1">IF(IDNMaps[[#This Row],[Name]]="","","("&amp;IDNMaps[[#This Row],[Type]]&amp;") "&amp;IDNMaps[[#This Row],[Name]])</f>
        <v>(Relation) Category/TaskCategoryPartner</v>
      </c>
      <c r="P44" s="6">
        <f ca="1">IFERROR(VLOOKUP(IDNMaps[[#This Row],[Primary]],INDIRECT(VLOOKUP(IDNMaps[[#This Row],[Type]],RecordCount[],2,0)),VLOOKUP(IDNMaps[[#This Row],[Type]],RecordCount[],8,0),0),"")</f>
        <v>800812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13</v>
      </c>
      <c r="M45" s="6" t="str">
        <f ca="1">IFERROR(VLOOKUP(IDNMaps[[#This Row],[Type]],RecordCount[],6,0)&amp;"-"&amp;IDNMaps[[#This Row],[Type Count]],"")</f>
        <v>Resource Relations-13</v>
      </c>
      <c r="N45" s="6" t="str">
        <f ca="1">IFERROR(VLOOKUP(IDNMaps[[#This Row],[Primary]],INDIRECT(VLOOKUP(IDNMaps[[#This Row],[Type]],RecordCount[],2,0)),VLOOKUP(IDNMaps[[#This Row],[Type]],RecordCount[],7,0),0),"")</f>
        <v>Task/CategoryTask</v>
      </c>
      <c r="O45" s="6" t="str">
        <f ca="1">IF(IDNMaps[[#This Row],[Name]]="","","("&amp;IDNMaps[[#This Row],[Type]]&amp;") "&amp;IDNMaps[[#This Row],[Name]])</f>
        <v>(Relation) Task/CategoryTask</v>
      </c>
      <c r="P45" s="6">
        <f ca="1">IFERROR(VLOOKUP(IDNMaps[[#This Row],[Primary]],INDIRECT(VLOOKUP(IDNMaps[[#This Row],[Type]],RecordCount[],2,0)),VLOOKUP(IDNMaps[[#This Row],[Type]],RecordCount[],8,0),0),"")</f>
        <v>800813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14</v>
      </c>
      <c r="M46" s="6" t="str">
        <f ca="1">IFERROR(VLOOKUP(IDNMaps[[#This Row],[Type]],RecordCount[],6,0)&amp;"-"&amp;IDNMaps[[#This Row],[Type Count]],"")</f>
        <v>Resource Relations-14</v>
      </c>
      <c r="N46" s="6" t="str">
        <f ca="1">IFERROR(VLOOKUP(IDNMaps[[#This Row],[Primary]],INDIRECT(VLOOKUP(IDNMaps[[#This Row],[Type]],RecordCount[],2,0)),VLOOKUP(IDNMaps[[#This Row],[Type]],RecordCount[],7,0),0),"")</f>
        <v>PartnerTask/CategoryProgress</v>
      </c>
      <c r="O46" s="6" t="str">
        <f ca="1">IF(IDNMaps[[#This Row],[Name]]="","","("&amp;IDNMaps[[#This Row],[Type]]&amp;") "&amp;IDNMaps[[#This Row],[Name]])</f>
        <v>(Relation) PartnerTask/CategoryProgress</v>
      </c>
      <c r="P46" s="6">
        <f ca="1">IFERROR(VLOOKUP(IDNMaps[[#This Row],[Primary]],INDIRECT(VLOOKUP(IDNMaps[[#This Row],[Type]],RecordCount[],2,0)),VLOOKUP(IDNMaps[[#This Row],[Type]],RecordCount[],8,0),0),"")</f>
        <v>800814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15</v>
      </c>
      <c r="M47" s="6" t="str">
        <f ca="1">IFERROR(VLOOKUP(IDNMaps[[#This Row],[Type]],RecordCount[],6,0)&amp;"-"&amp;IDNMaps[[#This Row],[Type Count]],"")</f>
        <v>Resource Relations-15</v>
      </c>
      <c r="N47" s="6" t="str">
        <f ca="1">IFERROR(VLOOKUP(IDNMaps[[#This Row],[Primary]],INDIRECT(VLOOKUP(IDNMaps[[#This Row],[Type]],RecordCount[],2,0)),VLOOKUP(IDNMaps[[#This Row],[Type]],RecordCount[],7,0),0),"")</f>
        <v>CategoryTask/Tasks</v>
      </c>
      <c r="O47" s="6" t="str">
        <f ca="1">IF(IDNMaps[[#This Row],[Name]]="","","("&amp;IDNMaps[[#This Row],[Type]]&amp;") "&amp;IDNMaps[[#This Row],[Name]])</f>
        <v>(Relation) CategoryTask/Tasks</v>
      </c>
      <c r="P47" s="6">
        <f ca="1">IFERROR(VLOOKUP(IDNMaps[[#This Row],[Primary]],INDIRECT(VLOOKUP(IDNMaps[[#This Row],[Type]],RecordCount[],2,0)),VLOOKUP(IDNMaps[[#This Row],[Type]],RecordCount[],8,0),0),"")</f>
        <v>800815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8" s="6">
        <f ca="1">IF(IDNMaps[[#This Row],[Type]]="","",COUNTIF($K$1:IDNMaps[[#This Row],[Type]],IDNMaps[[#This Row],[Type]]))</f>
        <v>1</v>
      </c>
      <c r="M48" s="6" t="str">
        <f ca="1">IFERROR(VLOOKUP(IDNMaps[[#This Row],[Type]],RecordCount[],6,0)&amp;"-"&amp;IDNMaps[[#This Row],[Type Count]],"")</f>
        <v>Form Fields-1</v>
      </c>
      <c r="N48" s="6" t="str">
        <f ca="1">IFERROR(VLOOKUP(IDNMaps[[#This Row],[Primary]],INDIRECT(VLOOKUP(IDNMaps[[#This Row],[Type]],RecordCount[],2,0)),VLOOKUP(IDNMaps[[#This Row],[Type]],RecordCount[],7,0),0),"")</f>
        <v>Group/CreateGroup/name</v>
      </c>
      <c r="O48" s="6" t="str">
        <f ca="1">IF(IDNMaps[[#This Row],[Name]]="","","("&amp;IDNMaps[[#This Row],[Type]]&amp;") "&amp;IDNMaps[[#This Row],[Name]])</f>
        <v>(Fields) Group/CreateGroup/name</v>
      </c>
      <c r="P48" s="6">
        <f ca="1">IFERROR(VLOOKUP(IDNMaps[[#This Row],[Primary]],INDIRECT(VLOOKUP(IDNMaps[[#This Row],[Type]],RecordCount[],2,0)),VLOOKUP(IDNMaps[[#This Row],[Type]],RecordCount[],8,0),0),"")</f>
        <v>801001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49" s="6">
        <f ca="1">IF(IDNMaps[[#This Row],[Type]]="","",COUNTIF($K$1:IDNMaps[[#This Row],[Type]],IDNMaps[[#This Row],[Type]]))</f>
        <v>2</v>
      </c>
      <c r="M49" s="6" t="str">
        <f ca="1">IFERROR(VLOOKUP(IDNMaps[[#This Row],[Type]],RecordCount[],6,0)&amp;"-"&amp;IDNMaps[[#This Row],[Type Count]],"")</f>
        <v>Form Fields-2</v>
      </c>
      <c r="N49" s="6" t="str">
        <f ca="1">IFERROR(VLOOKUP(IDNMaps[[#This Row],[Primary]],INDIRECT(VLOOKUP(IDNMaps[[#This Row],[Type]],RecordCount[],2,0)),VLOOKUP(IDNMaps[[#This Row],[Type]],RecordCount[],7,0),0),"")</f>
        <v>Group/CreateGroup/description</v>
      </c>
      <c r="O49" s="6" t="str">
        <f ca="1">IF(IDNMaps[[#This Row],[Name]]="","","("&amp;IDNMaps[[#This Row],[Type]]&amp;") "&amp;IDNMaps[[#This Row],[Name]])</f>
        <v>(Fields) Group/CreateGroup/description</v>
      </c>
      <c r="P49" s="6">
        <f ca="1">IFERROR(VLOOKUP(IDNMaps[[#This Row],[Primary]],INDIRECT(VLOOKUP(IDNMaps[[#This Row],[Type]],RecordCount[],2,0)),VLOOKUP(IDNMaps[[#This Row],[Type]],RecordCount[],8,0),0),"")</f>
        <v>801002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0" s="6">
        <f ca="1">IF(IDNMaps[[#This Row],[Type]]="","",COUNTIF($K$1:IDNMaps[[#This Row],[Type]],IDNMaps[[#This Row],[Type]]))</f>
        <v>3</v>
      </c>
      <c r="M50" s="6" t="str">
        <f ca="1">IFERROR(VLOOKUP(IDNMaps[[#This Row],[Type]],RecordCount[],6,0)&amp;"-"&amp;IDNMaps[[#This Row],[Type Count]],"")</f>
        <v>Form Fields-3</v>
      </c>
      <c r="N50" s="6" t="str">
        <f ca="1">IFERROR(VLOOKUP(IDNMaps[[#This Row],[Primary]],INDIRECT(VLOOKUP(IDNMaps[[#This Row],[Type]],RecordCount[],2,0)),VLOOKUP(IDNMaps[[#This Row],[Type]],RecordCount[],7,0),0),"")</f>
        <v>Group/CreateGroup/status</v>
      </c>
      <c r="O50" s="6" t="str">
        <f ca="1">IF(IDNMaps[[#This Row],[Name]]="","","("&amp;IDNMaps[[#This Row],[Type]]&amp;") "&amp;IDNMaps[[#This Row],[Name]])</f>
        <v>(Fields) Group/CreateGroup/status</v>
      </c>
      <c r="P50" s="6">
        <f ca="1">IFERROR(VLOOKUP(IDNMaps[[#This Row],[Primary]],INDIRECT(VLOOKUP(IDNMaps[[#This Row],[Type]],RecordCount[],2,0)),VLOOKUP(IDNMaps[[#This Row],[Type]],RecordCount[],8,0),0),"")</f>
        <v>801003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1" s="6">
        <f ca="1">IF(IDNMaps[[#This Row],[Type]]="","",COUNTIF($K$1:IDNMaps[[#This Row],[Type]],IDNMaps[[#This Row],[Type]]))</f>
        <v>4</v>
      </c>
      <c r="M51" s="6" t="str">
        <f ca="1">IFERROR(VLOOKUP(IDNMaps[[#This Row],[Type]],RecordCount[],6,0)&amp;"-"&amp;IDNMaps[[#This Row],[Type Count]],"")</f>
        <v>Form Fields-4</v>
      </c>
      <c r="N51" s="6" t="str">
        <f ca="1">IFERROR(VLOOKUP(IDNMaps[[#This Row],[Primary]],INDIRECT(VLOOKUP(IDNMaps[[#This Row],[Type]],RecordCount[],2,0)),VLOOKUP(IDNMaps[[#This Row],[Type]],RecordCount[],7,0),0),"")</f>
        <v>Partner/CreatePartner/name</v>
      </c>
      <c r="O51" s="6" t="str">
        <f ca="1">IF(IDNMaps[[#This Row],[Name]]="","","("&amp;IDNMaps[[#This Row],[Type]]&amp;") "&amp;IDNMaps[[#This Row],[Name]])</f>
        <v>(Fields) Partner/CreatePartner/name</v>
      </c>
      <c r="P51" s="6">
        <f ca="1">IFERROR(VLOOKUP(IDNMaps[[#This Row],[Primary]],INDIRECT(VLOOKUP(IDNMaps[[#This Row],[Type]],RecordCount[],2,0)),VLOOKUP(IDNMaps[[#This Row],[Type]],RecordCount[],8,0),0),"")</f>
        <v>801004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2" s="6">
        <f ca="1">IF(IDNMaps[[#This Row],[Type]]="","",COUNTIF($K$1:IDNMaps[[#This Row],[Type]],IDNMaps[[#This Row],[Type]]))</f>
        <v>5</v>
      </c>
      <c r="M52" s="6" t="str">
        <f ca="1">IFERROR(VLOOKUP(IDNMaps[[#This Row],[Type]],RecordCount[],6,0)&amp;"-"&amp;IDNMaps[[#This Row],[Type Count]],"")</f>
        <v>Form Fields-5</v>
      </c>
      <c r="N52" s="6" t="str">
        <f ca="1">IFERROR(VLOOKUP(IDNMaps[[#This Row],[Primary]],INDIRECT(VLOOKUP(IDNMaps[[#This Row],[Type]],RecordCount[],2,0)),VLOOKUP(IDNMaps[[#This Row],[Type]],RecordCount[],7,0),0),"")</f>
        <v>Partner/CreatePartner/email</v>
      </c>
      <c r="O52" s="6" t="str">
        <f ca="1">IF(IDNMaps[[#This Row],[Name]]="","","("&amp;IDNMaps[[#This Row],[Type]]&amp;") "&amp;IDNMaps[[#This Row],[Name]])</f>
        <v>(Fields) Partner/CreatePartner/email</v>
      </c>
      <c r="P52" s="6">
        <f ca="1">IFERROR(VLOOKUP(IDNMaps[[#This Row],[Primary]],INDIRECT(VLOOKUP(IDNMaps[[#This Row],[Type]],RecordCount[],2,0)),VLOOKUP(IDNMaps[[#This Row],[Type]],RecordCount[],8,0),0),"")</f>
        <v>801005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3" s="6">
        <f ca="1">IF(IDNMaps[[#This Row],[Type]]="","",COUNTIF($K$1:IDNMaps[[#This Row],[Type]],IDNMaps[[#This Row],[Type]]))</f>
        <v>6</v>
      </c>
      <c r="M53" s="6" t="str">
        <f ca="1">IFERROR(VLOOKUP(IDNMaps[[#This Row],[Type]],RecordCount[],6,0)&amp;"-"&amp;IDNMaps[[#This Row],[Type Count]],"")</f>
        <v>Form Fields-6</v>
      </c>
      <c r="N53" s="6" t="str">
        <f ca="1">IFERROR(VLOOKUP(IDNMaps[[#This Row],[Primary]],INDIRECT(VLOOKUP(IDNMaps[[#This Row],[Type]],RecordCount[],2,0)),VLOOKUP(IDNMaps[[#This Row],[Type]],RecordCount[],7,0),0),"")</f>
        <v>Partner/CreatePartner/password</v>
      </c>
      <c r="O53" s="6" t="str">
        <f ca="1">IF(IDNMaps[[#This Row],[Name]]="","","("&amp;IDNMaps[[#This Row],[Type]]&amp;") "&amp;IDNMaps[[#This Row],[Name]])</f>
        <v>(Fields) Partner/CreatePartner/password</v>
      </c>
      <c r="P53" s="6">
        <f ca="1">IFERROR(VLOOKUP(IDNMaps[[#This Row],[Primary]],INDIRECT(VLOOKUP(IDNMaps[[#This Row],[Type]],RecordCount[],2,0)),VLOOKUP(IDNMaps[[#This Row],[Type]],RecordCount[],8,0),0),"")</f>
        <v>801006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4" s="6">
        <f ca="1">IF(IDNMaps[[#This Row],[Type]]="","",COUNTIF($K$1:IDNMaps[[#This Row],[Type]],IDNMaps[[#This Row],[Type]]))</f>
        <v>7</v>
      </c>
      <c r="M54" s="6" t="str">
        <f ca="1">IFERROR(VLOOKUP(IDNMaps[[#This Row],[Type]],RecordCount[],6,0)&amp;"-"&amp;IDNMaps[[#This Row],[Type Count]],"")</f>
        <v>Form Fields-7</v>
      </c>
      <c r="N54" s="6" t="str">
        <f ca="1">IFERROR(VLOOKUP(IDNMaps[[#This Row],[Primary]],INDIRECT(VLOOKUP(IDNMaps[[#This Row],[Type]],RecordCount[],2,0)),VLOOKUP(IDNMaps[[#This Row],[Type]],RecordCount[],7,0),0),"")</f>
        <v>Task/CreateTask/name</v>
      </c>
      <c r="O54" s="6" t="str">
        <f ca="1">IF(IDNMaps[[#This Row],[Name]]="","","("&amp;IDNMaps[[#This Row],[Type]]&amp;") "&amp;IDNMaps[[#This Row],[Name]])</f>
        <v>(Fields) Task/CreateTask/name</v>
      </c>
      <c r="P54" s="6">
        <f ca="1">IFERROR(VLOOKUP(IDNMaps[[#This Row],[Primary]],INDIRECT(VLOOKUP(IDNMaps[[#This Row],[Type]],RecordCount[],2,0)),VLOOKUP(IDNMaps[[#This Row],[Type]],RecordCount[],8,0),0),"")</f>
        <v>801007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5" s="6">
        <f ca="1">IF(IDNMaps[[#This Row],[Type]]="","",COUNTIF($K$1:IDNMaps[[#This Row],[Type]],IDNMaps[[#This Row],[Type]]))</f>
        <v>8</v>
      </c>
      <c r="M55" s="6" t="str">
        <f ca="1">IFERROR(VLOOKUP(IDNMaps[[#This Row],[Type]],RecordCount[],6,0)&amp;"-"&amp;IDNMaps[[#This Row],[Type Count]],"")</f>
        <v>Form Fields-8</v>
      </c>
      <c r="N55" s="6" t="str">
        <f ca="1">IFERROR(VLOOKUP(IDNMaps[[#This Row],[Primary]],INDIRECT(VLOOKUP(IDNMaps[[#This Row],[Type]],RecordCount[],2,0)),VLOOKUP(IDNMaps[[#This Row],[Type]],RecordCount[],7,0),0),"")</f>
        <v>Task/CreateTask/description</v>
      </c>
      <c r="O55" s="6" t="str">
        <f ca="1">IF(IDNMaps[[#This Row],[Name]]="","","("&amp;IDNMaps[[#This Row],[Type]]&amp;") "&amp;IDNMaps[[#This Row],[Name]])</f>
        <v>(Fields) Task/CreateTask/description</v>
      </c>
      <c r="P55" s="6">
        <f ca="1">IFERROR(VLOOKUP(IDNMaps[[#This Row],[Primary]],INDIRECT(VLOOKUP(IDNMaps[[#This Row],[Type]],RecordCount[],2,0)),VLOOKUP(IDNMaps[[#This Row],[Type]],RecordCount[],8,0),0),"")</f>
        <v>801008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6" s="6">
        <f ca="1">IF(IDNMaps[[#This Row],[Type]]="","",COUNTIF($K$1:IDNMaps[[#This Row],[Type]],IDNMaps[[#This Row],[Type]]))</f>
        <v>9</v>
      </c>
      <c r="M56" s="6" t="str">
        <f ca="1">IFERROR(VLOOKUP(IDNMaps[[#This Row],[Type]],RecordCount[],6,0)&amp;"-"&amp;IDNMaps[[#This Row],[Type Count]],"")</f>
        <v>Form Fields-9</v>
      </c>
      <c r="N56" s="6" t="str">
        <f ca="1">IFERROR(VLOOKUP(IDNMaps[[#This Row],[Primary]],INDIRECT(VLOOKUP(IDNMaps[[#This Row],[Type]],RecordCount[],2,0)),VLOOKUP(IDNMaps[[#This Row],[Type]],RecordCount[],7,0),0),"")</f>
        <v>Task/CreateTask/category</v>
      </c>
      <c r="O56" s="6" t="str">
        <f ca="1">IF(IDNMaps[[#This Row],[Name]]="","","("&amp;IDNMaps[[#This Row],[Type]]&amp;") "&amp;IDNMaps[[#This Row],[Name]])</f>
        <v>(Fields) Task/CreateTask/category</v>
      </c>
      <c r="P56" s="6">
        <f ca="1">IFERROR(VLOOKUP(IDNMaps[[#This Row],[Primary]],INDIRECT(VLOOKUP(IDNMaps[[#This Row],[Type]],RecordCount[],2,0)),VLOOKUP(IDNMaps[[#This Row],[Type]],RecordCount[],8,0),0),"")</f>
        <v>801009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7" s="6">
        <f ca="1">IF(IDNMaps[[#This Row],[Type]]="","",COUNTIF($K$1:IDNMaps[[#This Row],[Type]],IDNMaps[[#This Row],[Type]]))</f>
        <v>10</v>
      </c>
      <c r="M57" s="6" t="str">
        <f ca="1">IFERROR(VLOOKUP(IDNMaps[[#This Row],[Type]],RecordCount[],6,0)&amp;"-"&amp;IDNMaps[[#This Row],[Type Count]],"")</f>
        <v>Form Fields-10</v>
      </c>
      <c r="N57" s="6" t="str">
        <f ca="1">IFERROR(VLOOKUP(IDNMaps[[#This Row],[Primary]],INDIRECT(VLOOKUP(IDNMaps[[#This Row],[Type]],RecordCount[],2,0)),VLOOKUP(IDNMaps[[#This Row],[Type]],RecordCount[],7,0),0),"")</f>
        <v>Task/CreateTask/assign</v>
      </c>
      <c r="O57" s="6" t="str">
        <f ca="1">IF(IDNMaps[[#This Row],[Name]]="","","("&amp;IDNMaps[[#This Row],[Type]]&amp;") "&amp;IDNMaps[[#This Row],[Name]])</f>
        <v>(Fields) Task/CreateTask/assign</v>
      </c>
      <c r="P57" s="6">
        <f ca="1">IFERROR(VLOOKUP(IDNMaps[[#This Row],[Primary]],INDIRECT(VLOOKUP(IDNMaps[[#This Row],[Type]],RecordCount[],2,0)),VLOOKUP(IDNMaps[[#This Row],[Type]],RecordCount[],8,0),0),"")</f>
        <v>801010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8" s="6">
        <f ca="1">IF(IDNMaps[[#This Row],[Type]]="","",COUNTIF($K$1:IDNMaps[[#This Row],[Type]],IDNMaps[[#This Row],[Type]]))</f>
        <v>11</v>
      </c>
      <c r="M58" s="6" t="str">
        <f ca="1">IFERROR(VLOOKUP(IDNMaps[[#This Row],[Type]],RecordCount[],6,0)&amp;"-"&amp;IDNMaps[[#This Row],[Type Count]],"")</f>
        <v>Form Fields-11</v>
      </c>
      <c r="N58" s="6" t="str">
        <f ca="1">IFERROR(VLOOKUP(IDNMaps[[#This Row],[Primary]],INDIRECT(VLOOKUP(IDNMaps[[#This Row],[Type]],RecordCount[],2,0)),VLOOKUP(IDNMaps[[#This Row],[Type]],RecordCount[],7,0),0),"")</f>
        <v>PartnerTask/TaskCompleteDescription/task.name</v>
      </c>
      <c r="O58" s="6" t="str">
        <f ca="1">IF(IDNMaps[[#This Row],[Name]]="","","("&amp;IDNMaps[[#This Row],[Type]]&amp;") "&amp;IDNMaps[[#This Row],[Name]])</f>
        <v>(Fields) PartnerTask/TaskCompleteDescription/task.name</v>
      </c>
      <c r="P58" s="6">
        <f ca="1">IFERROR(VLOOKUP(IDNMaps[[#This Row],[Primary]],INDIRECT(VLOOKUP(IDNMaps[[#This Row],[Type]],RecordCount[],2,0)),VLOOKUP(IDNMaps[[#This Row],[Type]],RecordCount[],8,0),0),"")</f>
        <v>801011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59" s="6">
        <f ca="1">IF(IDNMaps[[#This Row],[Type]]="","",COUNTIF($K$1:IDNMaps[[#This Row],[Type]],IDNMaps[[#This Row],[Type]]))</f>
        <v>12</v>
      </c>
      <c r="M59" s="6" t="str">
        <f ca="1">IFERROR(VLOOKUP(IDNMaps[[#This Row],[Type]],RecordCount[],6,0)&amp;"-"&amp;IDNMaps[[#This Row],[Type Count]],"")</f>
        <v>Form Fields-12</v>
      </c>
      <c r="N59" s="6" t="str">
        <f ca="1">IFERROR(VLOOKUP(IDNMaps[[#This Row],[Primary]],INDIRECT(VLOOKUP(IDNMaps[[#This Row],[Type]],RecordCount[],2,0)),VLOOKUP(IDNMaps[[#This Row],[Type]],RecordCount[],7,0),0),"")</f>
        <v>PartnerTask/TaskCompleteDescription/task.description</v>
      </c>
      <c r="O59" s="6" t="str">
        <f ca="1">IF(IDNMaps[[#This Row],[Name]]="","","("&amp;IDNMaps[[#This Row],[Type]]&amp;") "&amp;IDNMaps[[#This Row],[Name]])</f>
        <v>(Fields) PartnerTask/TaskCompleteDescription/task.description</v>
      </c>
      <c r="P59" s="6">
        <f ca="1">IFERROR(VLOOKUP(IDNMaps[[#This Row],[Primary]],INDIRECT(VLOOKUP(IDNMaps[[#This Row],[Type]],RecordCount[],2,0)),VLOOKUP(IDNMaps[[#This Row],[Type]],RecordCount[],8,0),0),"")</f>
        <v>801012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0" s="6">
        <f ca="1">IF(IDNMaps[[#This Row],[Type]]="","",COUNTIF($K$1:IDNMaps[[#This Row],[Type]],IDNMaps[[#This Row],[Type]]))</f>
        <v>13</v>
      </c>
      <c r="M60" s="6" t="str">
        <f ca="1">IFERROR(VLOOKUP(IDNMaps[[#This Row],[Type]],RecordCount[],6,0)&amp;"-"&amp;IDNMaps[[#This Row],[Type Count]],"")</f>
        <v>Form Fields-13</v>
      </c>
      <c r="N60" s="6" t="str">
        <f ca="1">IFERROR(VLOOKUP(IDNMaps[[#This Row],[Primary]],INDIRECT(VLOOKUP(IDNMaps[[#This Row],[Type]],RecordCount[],2,0)),VLOOKUP(IDNMaps[[#This Row],[Type]],RecordCount[],7,0),0),"")</f>
        <v>PartnerTask/TaskCompleteDescription/progress</v>
      </c>
      <c r="O60" s="6" t="str">
        <f ca="1">IF(IDNMaps[[#This Row],[Name]]="","","("&amp;IDNMaps[[#This Row],[Type]]&amp;") "&amp;IDNMaps[[#This Row],[Name]])</f>
        <v>(Fields) PartnerTask/TaskCompleteDescription/progress</v>
      </c>
      <c r="P60" s="6">
        <f ca="1">IFERROR(VLOOKUP(IDNMaps[[#This Row],[Primary]],INDIRECT(VLOOKUP(IDNMaps[[#This Row],[Type]],RecordCount[],2,0)),VLOOKUP(IDNMaps[[#This Row],[Type]],RecordCount[],8,0),0),"")</f>
        <v>801013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1" s="6">
        <f ca="1">IF(IDNMaps[[#This Row],[Type]]="","",COUNTIF($K$1:IDNMaps[[#This Row],[Type]],IDNMaps[[#This Row],[Type]]))</f>
        <v>14</v>
      </c>
      <c r="M61" s="6" t="str">
        <f ca="1">IFERROR(VLOOKUP(IDNMaps[[#This Row],[Type]],RecordCount[],6,0)&amp;"-"&amp;IDNMaps[[#This Row],[Type Count]],"")</f>
        <v>Form Fields-14</v>
      </c>
      <c r="N61" s="6" t="str">
        <f ca="1">IFERROR(VLOOKUP(IDNMaps[[#This Row],[Primary]],INDIRECT(VLOOKUP(IDNMaps[[#This Row],[Type]],RecordCount[],2,0)),VLOOKUP(IDNMaps[[#This Row],[Type]],RecordCount[],7,0),0),"")</f>
        <v>PartnerTask/TaskCompleteDescription/remarks</v>
      </c>
      <c r="O61" s="6" t="str">
        <f ca="1">IF(IDNMaps[[#This Row],[Name]]="","","("&amp;IDNMaps[[#This Row],[Type]]&amp;") "&amp;IDNMaps[[#This Row],[Name]])</f>
        <v>(Fields) PartnerTask/TaskCompleteDescription/remarks</v>
      </c>
      <c r="P61" s="6">
        <f ca="1">IFERROR(VLOOKUP(IDNMaps[[#This Row],[Primary]],INDIRECT(VLOOKUP(IDNMaps[[#This Row],[Type]],RecordCount[],2,0)),VLOOKUP(IDNMaps[[#This Row],[Type]],RecordCount[],8,0),0),"")</f>
        <v>801014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2" s="6">
        <f ca="1">IF(IDNMaps[[#This Row],[Type]]="","",COUNTIF($K$1:IDNMaps[[#This Row],[Type]],IDNMaps[[#This Row],[Type]]))</f>
        <v>15</v>
      </c>
      <c r="M62" s="6" t="str">
        <f ca="1">IFERROR(VLOOKUP(IDNMaps[[#This Row],[Type]],RecordCount[],6,0)&amp;"-"&amp;IDNMaps[[#This Row],[Type Count]],"")</f>
        <v>Form Fields-15</v>
      </c>
      <c r="N62" s="6" t="str">
        <f ca="1">IFERROR(VLOOKUP(IDNMaps[[#This Row],[Primary]],INDIRECT(VLOOKUP(IDNMaps[[#This Row],[Type]],RecordCount[],2,0)),VLOOKUP(IDNMaps[[#This Row],[Type]],RecordCount[],7,0),0),"")</f>
        <v>PartnerTask/TaskCompleteAttachment/task.name</v>
      </c>
      <c r="O62" s="6" t="str">
        <f ca="1">IF(IDNMaps[[#This Row],[Name]]="","","("&amp;IDNMaps[[#This Row],[Type]]&amp;") "&amp;IDNMaps[[#This Row],[Name]])</f>
        <v>(Fields) PartnerTask/TaskCompleteAttachment/task.name</v>
      </c>
      <c r="P62" s="6">
        <f ca="1">IFERROR(VLOOKUP(IDNMaps[[#This Row],[Primary]],INDIRECT(VLOOKUP(IDNMaps[[#This Row],[Type]],RecordCount[],2,0)),VLOOKUP(IDNMaps[[#This Row],[Type]],RecordCount[],8,0),0),"")</f>
        <v>801015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3" s="6">
        <f ca="1">IF(IDNMaps[[#This Row],[Type]]="","",COUNTIF($K$1:IDNMaps[[#This Row],[Type]],IDNMaps[[#This Row],[Type]]))</f>
        <v>16</v>
      </c>
      <c r="M63" s="6" t="str">
        <f ca="1">IFERROR(VLOOKUP(IDNMaps[[#This Row],[Type]],RecordCount[],6,0)&amp;"-"&amp;IDNMaps[[#This Row],[Type Count]],"")</f>
        <v>Form Fields-16</v>
      </c>
      <c r="N63" s="6" t="str">
        <f ca="1">IFERROR(VLOOKUP(IDNMaps[[#This Row],[Primary]],INDIRECT(VLOOKUP(IDNMaps[[#This Row],[Type]],RecordCount[],2,0)),VLOOKUP(IDNMaps[[#This Row],[Type]],RecordCount[],7,0),0),"")</f>
        <v>PartnerTask/TaskCompleteAttachment/task.description</v>
      </c>
      <c r="O63" s="6" t="str">
        <f ca="1">IF(IDNMaps[[#This Row],[Name]]="","","("&amp;IDNMaps[[#This Row],[Type]]&amp;") "&amp;IDNMaps[[#This Row],[Name]])</f>
        <v>(Fields) PartnerTask/TaskCompleteAttachment/task.description</v>
      </c>
      <c r="P63" s="6">
        <f ca="1">IFERROR(VLOOKUP(IDNMaps[[#This Row],[Primary]],INDIRECT(VLOOKUP(IDNMaps[[#This Row],[Type]],RecordCount[],2,0)),VLOOKUP(IDNMaps[[#This Row],[Type]],RecordCount[],8,0),0),"")</f>
        <v>801016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17</v>
      </c>
      <c r="M64" s="6" t="str">
        <f ca="1">IFERROR(VLOOKUP(IDNMaps[[#This Row],[Type]],RecordCount[],6,0)&amp;"-"&amp;IDNMaps[[#This Row],[Type Count]],"")</f>
        <v>Form Fields-17</v>
      </c>
      <c r="N64" s="6" t="str">
        <f ca="1">IFERROR(VLOOKUP(IDNMaps[[#This Row],[Primary]],INDIRECT(VLOOKUP(IDNMaps[[#This Row],[Type]],RecordCount[],2,0)),VLOOKUP(IDNMaps[[#This Row],[Type]],RecordCount[],7,0),0),"")</f>
        <v>PartnerTask/TaskCompleteAttachment/progress</v>
      </c>
      <c r="O64" s="6" t="str">
        <f ca="1">IF(IDNMaps[[#This Row],[Name]]="","","("&amp;IDNMaps[[#This Row],[Type]]&amp;") "&amp;IDNMaps[[#This Row],[Name]])</f>
        <v>(Fields) PartnerTask/TaskCompleteAttachment/progress</v>
      </c>
      <c r="P64" s="6">
        <f ca="1">IFERROR(VLOOKUP(IDNMaps[[#This Row],[Primary]],INDIRECT(VLOOKUP(IDNMaps[[#This Row],[Type]],RecordCount[],2,0)),VLOOKUP(IDNMaps[[#This Row],[Type]],RecordCount[],8,0),0),"")</f>
        <v>801017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18</v>
      </c>
      <c r="M65" s="6" t="str">
        <f ca="1">IFERROR(VLOOKUP(IDNMaps[[#This Row],[Type]],RecordCount[],6,0)&amp;"-"&amp;IDNMaps[[#This Row],[Type Count]],"")</f>
        <v>Form Fields-18</v>
      </c>
      <c r="N65" s="6" t="str">
        <f ca="1">IFERROR(VLOOKUP(IDNMaps[[#This Row],[Primary]],INDIRECT(VLOOKUP(IDNMaps[[#This Row],[Type]],RecordCount[],2,0)),VLOOKUP(IDNMaps[[#This Row],[Type]],RecordCount[],7,0),0),"")</f>
        <v>PartnerTask/TaskCompleteAttachment/remarks</v>
      </c>
      <c r="O65" s="6" t="str">
        <f ca="1">IF(IDNMaps[[#This Row],[Name]]="","","("&amp;IDNMaps[[#This Row],[Type]]&amp;") "&amp;IDNMaps[[#This Row],[Name]])</f>
        <v>(Fields) PartnerTask/TaskCompleteAttachment/remarks</v>
      </c>
      <c r="P65" s="6">
        <f ca="1">IFERROR(VLOOKUP(IDNMaps[[#This Row],[Primary]],INDIRECT(VLOOKUP(IDNMaps[[#This Row],[Type]],RecordCount[],2,0)),VLOOKUP(IDNMaps[[#This Row],[Type]],RecordCount[],8,0),0),"")</f>
        <v>801018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19</v>
      </c>
      <c r="M66" s="6" t="str">
        <f ca="1">IFERROR(VLOOKUP(IDNMaps[[#This Row],[Type]],RecordCount[],6,0)&amp;"-"&amp;IDNMaps[[#This Row],[Type Count]],"")</f>
        <v>Form Fields-19</v>
      </c>
      <c r="N66" s="6" t="str">
        <f ca="1">IFERROR(VLOOKUP(IDNMaps[[#This Row],[Primary]],INDIRECT(VLOOKUP(IDNMaps[[#This Row],[Type]],RecordCount[],2,0)),VLOOKUP(IDNMaps[[#This Row],[Type]],RecordCount[],7,0),0),"")</f>
        <v>PartnerTask/TaskCompleteAttachment/attachment1</v>
      </c>
      <c r="O66" s="6" t="str">
        <f ca="1">IF(IDNMaps[[#This Row],[Name]]="","","("&amp;IDNMaps[[#This Row],[Type]]&amp;") "&amp;IDNMaps[[#This Row],[Name]])</f>
        <v>(Fields) PartnerTask/TaskCompleteAttachment/attachment1</v>
      </c>
      <c r="P66" s="6">
        <f ca="1">IFERROR(VLOOKUP(IDNMaps[[#This Row],[Primary]],INDIRECT(VLOOKUP(IDNMaps[[#This Row],[Type]],RecordCount[],2,0)),VLOOKUP(IDNMaps[[#This Row],[Type]],RecordCount[],8,0),0),"")</f>
        <v>801019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20</v>
      </c>
      <c r="M67" s="6" t="str">
        <f ca="1">IFERROR(VLOOKUP(IDNMaps[[#This Row],[Type]],RecordCount[],6,0)&amp;"-"&amp;IDNMaps[[#This Row],[Type Count]],"")</f>
        <v>Form Fields-20</v>
      </c>
      <c r="N67" s="6" t="str">
        <f ca="1">IFERROR(VLOOKUP(IDNMaps[[#This Row],[Primary]],INDIRECT(VLOOKUP(IDNMaps[[#This Row],[Type]],RecordCount[],2,0)),VLOOKUP(IDNMaps[[#This Row],[Type]],RecordCount[],7,0),0),"")</f>
        <v>PartnerTask/TaskCompleteAttachment/attachment2</v>
      </c>
      <c r="O67" s="6" t="str">
        <f ca="1">IF(IDNMaps[[#This Row],[Name]]="","","("&amp;IDNMaps[[#This Row],[Type]]&amp;") "&amp;IDNMaps[[#This Row],[Name]])</f>
        <v>(Fields) PartnerTask/TaskCompleteAttachment/attachment2</v>
      </c>
      <c r="P67" s="6">
        <f ca="1">IFERROR(VLOOKUP(IDNMaps[[#This Row],[Primary]],INDIRECT(VLOOKUP(IDNMaps[[#This Row],[Type]],RecordCount[],2,0)),VLOOKUP(IDNMaps[[#This Row],[Type]],RecordCount[],8,0),0),"")</f>
        <v>801020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21</v>
      </c>
      <c r="M68" s="6" t="str">
        <f ca="1">IFERROR(VLOOKUP(IDNMaps[[#This Row],[Type]],RecordCount[],6,0)&amp;"-"&amp;IDNMaps[[#This Row],[Type Count]],"")</f>
        <v>Form Fields-21</v>
      </c>
      <c r="N68" s="6" t="str">
        <f ca="1">IFERROR(VLOOKUP(IDNMaps[[#This Row],[Primary]],INDIRECT(VLOOKUP(IDNMaps[[#This Row],[Type]],RecordCount[],2,0)),VLOOKUP(IDNMaps[[#This Row],[Type]],RecordCount[],7,0),0),"")</f>
        <v>PartnerTask/TaskCompleteAttachment/attachment3</v>
      </c>
      <c r="O68" s="6" t="str">
        <f ca="1">IF(IDNMaps[[#This Row],[Name]]="","","("&amp;IDNMaps[[#This Row],[Type]]&amp;") "&amp;IDNMaps[[#This Row],[Name]])</f>
        <v>(Fields) PartnerTask/TaskCompleteAttachment/attachment3</v>
      </c>
      <c r="P68" s="6">
        <f ca="1">IFERROR(VLOOKUP(IDNMaps[[#This Row],[Primary]],INDIRECT(VLOOKUP(IDNMaps[[#This Row],[Type]],RecordCount[],2,0)),VLOOKUP(IDNMaps[[#This Row],[Type]],RecordCount[],8,0),0),"")</f>
        <v>801021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22</v>
      </c>
      <c r="M69" s="6" t="str">
        <f ca="1">IFERROR(VLOOKUP(IDNMaps[[#This Row],[Type]],RecordCount[],6,0)&amp;"-"&amp;IDNMaps[[#This Row],[Type Count]],"")</f>
        <v>Form Fields-22</v>
      </c>
      <c r="N69" s="6" t="str">
        <f ca="1">IFERROR(VLOOKUP(IDNMaps[[#This Row],[Primary]],INDIRECT(VLOOKUP(IDNMaps[[#This Row],[Type]],RecordCount[],2,0)),VLOOKUP(IDNMaps[[#This Row],[Type]],RecordCount[],7,0),0),"")</f>
        <v>PartnerTask/TaskDismissForm/task.name</v>
      </c>
      <c r="O69" s="6" t="str">
        <f ca="1">IF(IDNMaps[[#This Row],[Name]]="","","("&amp;IDNMaps[[#This Row],[Type]]&amp;") "&amp;IDNMaps[[#This Row],[Name]])</f>
        <v>(Fields) PartnerTask/TaskDismissForm/task.name</v>
      </c>
      <c r="P69" s="6">
        <f ca="1">IFERROR(VLOOKUP(IDNMaps[[#This Row],[Primary]],INDIRECT(VLOOKUP(IDNMaps[[#This Row],[Type]],RecordCount[],2,0)),VLOOKUP(IDNMaps[[#This Row],[Type]],RecordCount[],8,0),0),"")</f>
        <v>801022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23</v>
      </c>
      <c r="M70" s="6" t="str">
        <f ca="1">IFERROR(VLOOKUP(IDNMaps[[#This Row],[Type]],RecordCount[],6,0)&amp;"-"&amp;IDNMaps[[#This Row],[Type Count]],"")</f>
        <v>Form Fields-23</v>
      </c>
      <c r="N70" s="6" t="str">
        <f ca="1">IFERROR(VLOOKUP(IDNMaps[[#This Row],[Primary]],INDIRECT(VLOOKUP(IDNMaps[[#This Row],[Type]],RecordCount[],2,0)),VLOOKUP(IDNMaps[[#This Row],[Type]],RecordCount[],7,0),0),"")</f>
        <v>PartnerTask/TaskDismissForm/task.description</v>
      </c>
      <c r="O70" s="6" t="str">
        <f ca="1">IF(IDNMaps[[#This Row],[Name]]="","","("&amp;IDNMaps[[#This Row],[Type]]&amp;") "&amp;IDNMaps[[#This Row],[Name]])</f>
        <v>(Fields) PartnerTask/TaskDismissForm/task.description</v>
      </c>
      <c r="P70" s="6">
        <f ca="1">IFERROR(VLOOKUP(IDNMaps[[#This Row],[Primary]],INDIRECT(VLOOKUP(IDNMaps[[#This Row],[Type]],RecordCount[],2,0)),VLOOKUP(IDNMaps[[#This Row],[Type]],RecordCount[],8,0),0),"")</f>
        <v>801023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24</v>
      </c>
      <c r="M71" s="6" t="str">
        <f ca="1">IFERROR(VLOOKUP(IDNMaps[[#This Row],[Type]],RecordCount[],6,0)&amp;"-"&amp;IDNMaps[[#This Row],[Type Count]],"")</f>
        <v>Form Fields-24</v>
      </c>
      <c r="N71" s="6" t="str">
        <f ca="1">IFERROR(VLOOKUP(IDNMaps[[#This Row],[Primary]],INDIRECT(VLOOKUP(IDNMaps[[#This Row],[Type]],RecordCount[],2,0)),VLOOKUP(IDNMaps[[#This Row],[Type]],RecordCount[],7,0),0),"")</f>
        <v>PartnerTask/TaskDismissForm/progress</v>
      </c>
      <c r="O71" s="6" t="str">
        <f ca="1">IF(IDNMaps[[#This Row],[Name]]="","","("&amp;IDNMaps[[#This Row],[Type]]&amp;") "&amp;IDNMaps[[#This Row],[Name]])</f>
        <v>(Fields) PartnerTask/TaskDismissForm/progress</v>
      </c>
      <c r="P71" s="6">
        <f ca="1">IFERROR(VLOOKUP(IDNMaps[[#This Row],[Primary]],INDIRECT(VLOOKUP(IDNMaps[[#This Row],[Type]],RecordCount[],2,0)),VLOOKUP(IDNMaps[[#This Row],[Type]],RecordCount[],8,0),0),"")</f>
        <v>801024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25</v>
      </c>
      <c r="M72" s="6" t="str">
        <f ca="1">IFERROR(VLOOKUP(IDNMaps[[#This Row],[Type]],RecordCount[],6,0)&amp;"-"&amp;IDNMaps[[#This Row],[Type Count]],"")</f>
        <v>Form Fields-25</v>
      </c>
      <c r="N72" s="6" t="str">
        <f ca="1">IFERROR(VLOOKUP(IDNMaps[[#This Row],[Primary]],INDIRECT(VLOOKUP(IDNMaps[[#This Row],[Type]],RecordCount[],2,0)),VLOOKUP(IDNMaps[[#This Row],[Type]],RecordCount[],7,0),0),"")</f>
        <v>PartnerTask/TaskDismissForm/remarks</v>
      </c>
      <c r="O72" s="6" t="str">
        <f ca="1">IF(IDNMaps[[#This Row],[Name]]="","","("&amp;IDNMaps[[#This Row],[Type]]&amp;") "&amp;IDNMaps[[#This Row],[Name]])</f>
        <v>(Fields) PartnerTask/TaskDismissForm/remarks</v>
      </c>
      <c r="P72" s="6">
        <f ca="1">IFERROR(VLOOKUP(IDNMaps[[#This Row],[Primary]],INDIRECT(VLOOKUP(IDNMaps[[#This Row],[Type]],RecordCount[],2,0)),VLOOKUP(IDNMaps[[#This Row],[Type]],RecordCount[],8,0),0),"")</f>
        <v>801025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26</v>
      </c>
      <c r="M73" s="6" t="str">
        <f ca="1">IFERROR(VLOOKUP(IDNMaps[[#This Row],[Type]],RecordCount[],6,0)&amp;"-"&amp;IDNMaps[[#This Row],[Type Count]],"")</f>
        <v>Form Fields-26</v>
      </c>
      <c r="N73" s="6" t="str">
        <f ca="1">IFERROR(VLOOKUP(IDNMaps[[#This Row],[Primary]],INDIRECT(VLOOKUP(IDNMaps[[#This Row],[Type]],RecordCount[],2,0)),VLOOKUP(IDNMaps[[#This Row],[Type]],RecordCount[],7,0),0),"")</f>
        <v>Category/CreateCategory/name</v>
      </c>
      <c r="O73" s="6" t="str">
        <f ca="1">IF(IDNMaps[[#This Row],[Name]]="","","("&amp;IDNMaps[[#This Row],[Type]]&amp;") "&amp;IDNMaps[[#This Row],[Name]])</f>
        <v>(Fields) Category/CreateCategory/name</v>
      </c>
      <c r="P73" s="6">
        <f ca="1">IFERROR(VLOOKUP(IDNMaps[[#This Row],[Primary]],INDIRECT(VLOOKUP(IDNMaps[[#This Row],[Type]],RecordCount[],2,0)),VLOOKUP(IDNMaps[[#This Row],[Type]],RecordCount[],8,0),0),"")</f>
        <v>801026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27</v>
      </c>
      <c r="M74" s="6" t="str">
        <f ca="1">IFERROR(VLOOKUP(IDNMaps[[#This Row],[Type]],RecordCount[],6,0)&amp;"-"&amp;IDNMaps[[#This Row],[Type Count]],"")</f>
        <v>Form Fields-27</v>
      </c>
      <c r="N74" s="6" t="str">
        <f ca="1">IFERROR(VLOOKUP(IDNMaps[[#This Row],[Primary]],INDIRECT(VLOOKUP(IDNMaps[[#This Row],[Type]],RecordCount[],2,0)),VLOOKUP(IDNMaps[[#This Row],[Type]],RecordCount[],7,0),0),"")</f>
        <v>Category/CreateCategory/status</v>
      </c>
      <c r="O74" s="6" t="str">
        <f ca="1">IF(IDNMaps[[#This Row],[Name]]="","","("&amp;IDNMaps[[#This Row],[Type]]&amp;") "&amp;IDNMaps[[#This Row],[Name]])</f>
        <v>(Fields) Category/CreateCategory/status</v>
      </c>
      <c r="P74" s="6">
        <f ca="1">IFERROR(VLOOKUP(IDNMaps[[#This Row],[Primary]],INDIRECT(VLOOKUP(IDNMaps[[#This Row],[Type]],RecordCount[],2,0)),VLOOKUP(IDNMaps[[#This Row],[Type]],RecordCount[],8,0),0),"")</f>
        <v>801027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28</v>
      </c>
      <c r="M75" s="6" t="str">
        <f ca="1">IFERROR(VLOOKUP(IDNMaps[[#This Row],[Type]],RecordCount[],6,0)&amp;"-"&amp;IDNMaps[[#This Row],[Type Count]],"")</f>
        <v>Form Fields-28</v>
      </c>
      <c r="N75" s="6" t="str">
        <f ca="1">IFERROR(VLOOKUP(IDNMaps[[#This Row],[Primary]],INDIRECT(VLOOKUP(IDNMaps[[#This Row],[Type]],RecordCount[],2,0)),VLOOKUP(IDNMaps[[#This Row],[Type]],RecordCount[],7,0),0),"")</f>
        <v>Profile/CreateProfile/name</v>
      </c>
      <c r="O75" s="6" t="str">
        <f ca="1">IF(IDNMaps[[#This Row],[Name]]="","","("&amp;IDNMaps[[#This Row],[Type]]&amp;") "&amp;IDNMaps[[#This Row],[Name]])</f>
        <v>(Fields) Profile/CreateProfile/name</v>
      </c>
      <c r="P75" s="6">
        <f ca="1">IFERROR(VLOOKUP(IDNMaps[[#This Row],[Primary]],INDIRECT(VLOOKUP(IDNMaps[[#This Row],[Type]],RecordCount[],2,0)),VLOOKUP(IDNMaps[[#This Row],[Type]],RecordCount[],8,0),0),"")</f>
        <v>801028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29</v>
      </c>
      <c r="M76" s="6" t="str">
        <f ca="1">IFERROR(VLOOKUP(IDNMaps[[#This Row],[Type]],RecordCount[],6,0)&amp;"-"&amp;IDNMaps[[#This Row],[Type Count]],"")</f>
        <v>Form Fields-29</v>
      </c>
      <c r="N76" s="6" t="str">
        <f ca="1">IFERROR(VLOOKUP(IDNMaps[[#This Row],[Primary]],INDIRECT(VLOOKUP(IDNMaps[[#This Row],[Type]],RecordCount[],2,0)),VLOOKUP(IDNMaps[[#This Row],[Type]],RecordCount[],7,0),0),"")</f>
        <v>Profile/CreateProfile/email</v>
      </c>
      <c r="O76" s="6" t="str">
        <f ca="1">IF(IDNMaps[[#This Row],[Name]]="","","("&amp;IDNMaps[[#This Row],[Type]]&amp;") "&amp;IDNMaps[[#This Row],[Name]])</f>
        <v>(Fields) Profile/CreateProfile/email</v>
      </c>
      <c r="P76" s="6">
        <f ca="1">IFERROR(VLOOKUP(IDNMaps[[#This Row],[Primary]],INDIRECT(VLOOKUP(IDNMaps[[#This Row],[Type]],RecordCount[],2,0)),VLOOKUP(IDNMaps[[#This Row],[Type]],RecordCount[],8,0),0),"")</f>
        <v>801029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30</v>
      </c>
      <c r="M77" s="6" t="str">
        <f ca="1">IFERROR(VLOOKUP(IDNMaps[[#This Row],[Type]],RecordCount[],6,0)&amp;"-"&amp;IDNMaps[[#This Row],[Type Count]],"")</f>
        <v>Form Fields-30</v>
      </c>
      <c r="N77" s="6" t="str">
        <f ca="1">IFERROR(VLOOKUP(IDNMaps[[#This Row],[Primary]],INDIRECT(VLOOKUP(IDNMaps[[#This Row],[Type]],RecordCount[],2,0)),VLOOKUP(IDNMaps[[#This Row],[Type]],RecordCount[],7,0),0),"")</f>
        <v>Profile/CreateProfile/password</v>
      </c>
      <c r="O77" s="6" t="str">
        <f ca="1">IF(IDNMaps[[#This Row],[Name]]="","","("&amp;IDNMaps[[#This Row],[Type]]&amp;") "&amp;IDNMaps[[#This Row],[Name]])</f>
        <v>(Fields) Profile/CreateProfile/password</v>
      </c>
      <c r="P77" s="6">
        <f ca="1">IFERROR(VLOOKUP(IDNMaps[[#This Row],[Primary]],INDIRECT(VLOOKUP(IDNMaps[[#This Row],[Type]],RecordCount[],2,0)),VLOOKUP(IDNMaps[[#This Row],[Type]],RecordCount[],8,0),0),"")</f>
        <v>801030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31</v>
      </c>
      <c r="M78" s="6" t="str">
        <f ca="1">IFERROR(VLOOKUP(IDNMaps[[#This Row],[Type]],RecordCount[],6,0)&amp;"-"&amp;IDNMaps[[#This Row],[Type Count]],"")</f>
        <v>Form Fields-31</v>
      </c>
      <c r="N78" s="6" t="str">
        <f ca="1">IFERROR(VLOOKUP(IDNMaps[[#This Row],[Primary]],INDIRECT(VLOOKUP(IDNMaps[[#This Row],[Type]],RecordCount[],2,0)),VLOOKUP(IDNMaps[[#This Row],[Type]],RecordCount[],7,0),0),"")</f>
        <v>PartnerTask/TaskUpdateForm/task.name</v>
      </c>
      <c r="O78" s="6" t="str">
        <f ca="1">IF(IDNMaps[[#This Row],[Name]]="","","("&amp;IDNMaps[[#This Row],[Type]]&amp;") "&amp;IDNMaps[[#This Row],[Name]])</f>
        <v>(Fields) PartnerTask/TaskUpdateForm/task.name</v>
      </c>
      <c r="P78" s="6">
        <f ca="1">IFERROR(VLOOKUP(IDNMaps[[#This Row],[Primary]],INDIRECT(VLOOKUP(IDNMaps[[#This Row],[Type]],RecordCount[],2,0)),VLOOKUP(IDNMaps[[#This Row],[Type]],RecordCount[],8,0),0),"")</f>
        <v>801031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32</v>
      </c>
      <c r="M79" s="6" t="str">
        <f ca="1">IFERROR(VLOOKUP(IDNMaps[[#This Row],[Type]],RecordCount[],6,0)&amp;"-"&amp;IDNMaps[[#This Row],[Type Count]],"")</f>
        <v>Form Fields-32</v>
      </c>
      <c r="N79" s="6" t="str">
        <f ca="1">IFERROR(VLOOKUP(IDNMaps[[#This Row],[Primary]],INDIRECT(VLOOKUP(IDNMaps[[#This Row],[Type]],RecordCount[],2,0)),VLOOKUP(IDNMaps[[#This Row],[Type]],RecordCount[],7,0),0),"")</f>
        <v>PartnerTask/TaskUpdateForm/progress</v>
      </c>
      <c r="O79" s="6" t="str">
        <f ca="1">IF(IDNMaps[[#This Row],[Name]]="","","("&amp;IDNMaps[[#This Row],[Type]]&amp;") "&amp;IDNMaps[[#This Row],[Name]])</f>
        <v>(Fields) PartnerTask/TaskUpdateForm/progress</v>
      </c>
      <c r="P79" s="6">
        <f ca="1">IFERROR(VLOOKUP(IDNMaps[[#This Row],[Primary]],INDIRECT(VLOOKUP(IDNMaps[[#This Row],[Type]],RecordCount[],2,0)),VLOOKUP(IDNMaps[[#This Row],[Type]],RecordCount[],8,0),0),"")</f>
        <v>801032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33</v>
      </c>
      <c r="M80" s="6" t="str">
        <f ca="1">IFERROR(VLOOKUP(IDNMaps[[#This Row],[Type]],RecordCount[],6,0)&amp;"-"&amp;IDNMaps[[#This Row],[Type Count]],"")</f>
        <v>Form Fields-33</v>
      </c>
      <c r="N80" s="6" t="str">
        <f ca="1">IFERROR(VLOOKUP(IDNMaps[[#This Row],[Primary]],INDIRECT(VLOOKUP(IDNMaps[[#This Row],[Type]],RecordCount[],2,0)),VLOOKUP(IDNMaps[[#This Row],[Type]],RecordCount[],7,0),0),"")</f>
        <v>PartnerTask/TaskUpdateForm/remarks</v>
      </c>
      <c r="O80" s="6" t="str">
        <f ca="1">IF(IDNMaps[[#This Row],[Name]]="","","("&amp;IDNMaps[[#This Row],[Type]]&amp;") "&amp;IDNMaps[[#This Row],[Name]])</f>
        <v>(Fields) PartnerTask/TaskUpdateForm/remarks</v>
      </c>
      <c r="P80" s="6">
        <f ca="1">IFERROR(VLOOKUP(IDNMaps[[#This Row],[Primary]],INDIRECT(VLOOKUP(IDNMaps[[#This Row],[Type]],RecordCount[],2,0)),VLOOKUP(IDNMaps[[#This Row],[Type]],RecordCount[],8,0),0),"")</f>
        <v>801033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workbookViewId="0">
      <selection activeCell="B24" sqref="B24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796</v>
      </c>
    </row>
    <row r="2" spans="1:10" x14ac:dyDescent="0.25">
      <c r="A2" s="1" t="s">
        <v>21</v>
      </c>
      <c r="B2" s="1" t="s">
        <v>842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5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5</v>
      </c>
    </row>
    <row r="5" spans="1:10" x14ac:dyDescent="0.25">
      <c r="A5" s="63" t="s">
        <v>23</v>
      </c>
      <c r="B5" s="63" t="s">
        <v>806</v>
      </c>
      <c r="C5" s="63" t="s">
        <v>23</v>
      </c>
      <c r="D5" s="63">
        <v>128</v>
      </c>
      <c r="E5" s="63" t="s">
        <v>807</v>
      </c>
      <c r="F5" s="63" t="s">
        <v>808</v>
      </c>
      <c r="G5" s="63"/>
      <c r="H5" s="63"/>
      <c r="I5" s="63"/>
      <c r="J5" s="64">
        <f>COUNTIF(TableFields[Field],Columns[[#This Row],[Column]])</f>
        <v>3</v>
      </c>
    </row>
    <row r="6" spans="1:10" x14ac:dyDescent="0.25">
      <c r="A6" s="63" t="s">
        <v>24</v>
      </c>
      <c r="B6" s="63" t="s">
        <v>806</v>
      </c>
      <c r="C6" s="63" t="s">
        <v>24</v>
      </c>
      <c r="D6" s="63">
        <v>1024</v>
      </c>
      <c r="E6" s="63" t="s">
        <v>808</v>
      </c>
      <c r="F6" s="63"/>
      <c r="G6" s="63"/>
      <c r="H6" s="63"/>
      <c r="I6" s="63"/>
      <c r="J6" s="64">
        <f>COUNTIF(TableFields[Field],Columns[[#This Row],[Column]])</f>
        <v>2</v>
      </c>
    </row>
    <row r="7" spans="1:10" x14ac:dyDescent="0.25">
      <c r="A7" s="63" t="s">
        <v>809</v>
      </c>
      <c r="B7" s="63" t="s">
        <v>810</v>
      </c>
      <c r="C7" s="63" t="s">
        <v>809</v>
      </c>
      <c r="D7" s="63" t="s">
        <v>811</v>
      </c>
      <c r="E7" s="63" t="s">
        <v>808</v>
      </c>
      <c r="F7" s="63" t="s">
        <v>812</v>
      </c>
      <c r="G7" s="63"/>
      <c r="H7" s="63"/>
      <c r="I7" s="63"/>
      <c r="J7" s="64">
        <f>COUNTIF(TableFields[Field],Columns[[#This Row],[Column]])</f>
        <v>3</v>
      </c>
    </row>
    <row r="8" spans="1:10" x14ac:dyDescent="0.25">
      <c r="A8" s="63" t="s">
        <v>816</v>
      </c>
      <c r="B8" s="63" t="s">
        <v>813</v>
      </c>
      <c r="C8" s="63" t="s">
        <v>63</v>
      </c>
      <c r="D8" s="63" t="s">
        <v>59</v>
      </c>
      <c r="E8" s="63"/>
      <c r="F8" s="63"/>
      <c r="G8" s="63"/>
      <c r="H8" s="63"/>
      <c r="I8" s="63"/>
      <c r="J8" s="64">
        <f>COUNTIF(TableFields[Field],Columns[[#This Row],[Column]])</f>
        <v>1</v>
      </c>
    </row>
    <row r="9" spans="1:10" x14ac:dyDescent="0.25">
      <c r="A9" s="63" t="s">
        <v>815</v>
      </c>
      <c r="B9" s="63" t="s">
        <v>813</v>
      </c>
      <c r="C9" s="63" t="s">
        <v>814</v>
      </c>
      <c r="D9" s="63" t="s">
        <v>75</v>
      </c>
      <c r="E9" s="63"/>
      <c r="F9" s="63"/>
      <c r="G9" s="63"/>
      <c r="H9" s="63"/>
      <c r="I9" s="63"/>
      <c r="J9" s="64">
        <f>COUNTIF(TableFields[Field],Columns[[#This Row],[Column]])</f>
        <v>2</v>
      </c>
    </row>
    <row r="10" spans="1:10" x14ac:dyDescent="0.25">
      <c r="A10" s="63" t="s">
        <v>817</v>
      </c>
      <c r="B10" s="63" t="s">
        <v>818</v>
      </c>
      <c r="C10" s="63" t="s">
        <v>819</v>
      </c>
      <c r="D10" s="63" t="s">
        <v>802</v>
      </c>
      <c r="E10" s="63"/>
      <c r="F10" s="63"/>
      <c r="G10" s="63"/>
      <c r="H10" s="63"/>
      <c r="I10" s="63"/>
      <c r="J10" s="64">
        <f>COUNTIF(TableFields[Field],Columns[[#This Row],[Column]])</f>
        <v>1</v>
      </c>
    </row>
    <row r="11" spans="1:10" x14ac:dyDescent="0.25">
      <c r="A11" s="63" t="s">
        <v>825</v>
      </c>
      <c r="B11" s="63" t="s">
        <v>810</v>
      </c>
      <c r="C11" s="63" t="s">
        <v>825</v>
      </c>
      <c r="D11" s="63" t="s">
        <v>824</v>
      </c>
      <c r="E11" s="63" t="s">
        <v>808</v>
      </c>
      <c r="F11" s="63" t="s">
        <v>828</v>
      </c>
      <c r="G11" s="63"/>
      <c r="H11" s="63"/>
      <c r="I11" s="63"/>
      <c r="J11" s="64">
        <f>COUNTIF(TableFields[Field],Columns[[#This Row],[Column]])</f>
        <v>1</v>
      </c>
    </row>
    <row r="12" spans="1:10" x14ac:dyDescent="0.25">
      <c r="A12" s="63" t="s">
        <v>826</v>
      </c>
      <c r="B12" s="63" t="s">
        <v>810</v>
      </c>
      <c r="C12" s="63" t="s">
        <v>826</v>
      </c>
      <c r="D12" s="63" t="s">
        <v>824</v>
      </c>
      <c r="E12" s="63" t="s">
        <v>808</v>
      </c>
      <c r="F12" s="63" t="s">
        <v>828</v>
      </c>
      <c r="G12" s="63"/>
      <c r="H12" s="63"/>
      <c r="I12" s="63"/>
      <c r="J12" s="64">
        <f>COUNTIF(TableFields[Field],Columns[[#This Row],[Column]])</f>
        <v>1</v>
      </c>
    </row>
    <row r="13" spans="1:10" x14ac:dyDescent="0.25">
      <c r="A13" s="63" t="s">
        <v>827</v>
      </c>
      <c r="B13" s="63" t="s">
        <v>810</v>
      </c>
      <c r="C13" s="63" t="s">
        <v>827</v>
      </c>
      <c r="D13" s="63" t="s">
        <v>824</v>
      </c>
      <c r="E13" s="63" t="s">
        <v>808</v>
      </c>
      <c r="F13" s="63" t="s">
        <v>828</v>
      </c>
      <c r="G13" s="63"/>
      <c r="H13" s="63"/>
      <c r="I13" s="63"/>
      <c r="J13" s="64">
        <f>COUNTIF(TableFields[Field],Columns[[#This Row],[Column]])</f>
        <v>1</v>
      </c>
    </row>
    <row r="14" spans="1:10" x14ac:dyDescent="0.25">
      <c r="A14" s="63" t="s">
        <v>829</v>
      </c>
      <c r="B14" s="63" t="s">
        <v>830</v>
      </c>
      <c r="C14" s="63" t="s">
        <v>829</v>
      </c>
      <c r="D14" s="63"/>
      <c r="E14" s="63" t="s">
        <v>831</v>
      </c>
      <c r="F14" s="63"/>
      <c r="G14" s="63"/>
      <c r="H14" s="63"/>
      <c r="I14" s="63"/>
      <c r="J14" s="64">
        <f>COUNTIF(TableFields[Field],Columns[[#This Row],[Column]])</f>
        <v>1</v>
      </c>
    </row>
    <row r="15" spans="1:10" x14ac:dyDescent="0.25">
      <c r="A15" s="63" t="s">
        <v>832</v>
      </c>
      <c r="B15" s="63" t="s">
        <v>810</v>
      </c>
      <c r="C15" s="63" t="s">
        <v>832</v>
      </c>
      <c r="D15" s="63" t="s">
        <v>833</v>
      </c>
      <c r="E15" s="63" t="s">
        <v>1198</v>
      </c>
      <c r="F15" s="63"/>
      <c r="G15" s="63"/>
      <c r="H15" s="63"/>
      <c r="I15" s="63"/>
      <c r="J15" s="64">
        <f>COUNTIF(TableFields[Field],Columns[[#This Row],[Column]])</f>
        <v>1</v>
      </c>
    </row>
    <row r="16" spans="1:10" x14ac:dyDescent="0.25">
      <c r="A16" s="63" t="s">
        <v>841</v>
      </c>
      <c r="B16" s="63" t="s">
        <v>818</v>
      </c>
      <c r="C16" s="63" t="s">
        <v>834</v>
      </c>
      <c r="D16" s="63" t="s">
        <v>59</v>
      </c>
      <c r="E16" s="63"/>
      <c r="F16" s="63"/>
      <c r="G16" s="63"/>
      <c r="H16" s="63"/>
      <c r="I16" s="63"/>
      <c r="J16" s="64">
        <f>COUNTIF(TableFields[Field],Columns[[#This Row],[Column]])</f>
        <v>1</v>
      </c>
    </row>
    <row r="17" spans="1:10" x14ac:dyDescent="0.25">
      <c r="A17" s="63" t="s">
        <v>835</v>
      </c>
      <c r="B17" s="63" t="s">
        <v>813</v>
      </c>
      <c r="C17" s="63" t="s">
        <v>836</v>
      </c>
      <c r="D17" s="63" t="s">
        <v>802</v>
      </c>
      <c r="E17" s="63"/>
      <c r="F17" s="63"/>
      <c r="G17" s="63"/>
      <c r="H17" s="63"/>
      <c r="I17" s="63"/>
      <c r="J17" s="64">
        <f>COUNTIF(TableFields[Field],Columns[[#This Row],[Column]])</f>
        <v>1</v>
      </c>
    </row>
    <row r="18" spans="1:10" x14ac:dyDescent="0.25">
      <c r="A18" s="63" t="s">
        <v>1107</v>
      </c>
      <c r="B18" s="63" t="s">
        <v>810</v>
      </c>
      <c r="C18" s="63" t="s">
        <v>35</v>
      </c>
      <c r="D18" s="63" t="s">
        <v>1108</v>
      </c>
      <c r="E18" s="63" t="s">
        <v>808</v>
      </c>
      <c r="F18" s="63" t="s">
        <v>1109</v>
      </c>
      <c r="G18" s="63"/>
      <c r="H18" s="63"/>
      <c r="I18" s="63"/>
      <c r="J18" s="64">
        <f>COUNTIF(TableFields[Field],Columns[[#This Row],[Column]])</f>
        <v>1</v>
      </c>
    </row>
    <row r="19" spans="1:10" x14ac:dyDescent="0.25">
      <c r="A19" s="63" t="s">
        <v>1111</v>
      </c>
      <c r="B19" s="63" t="s">
        <v>806</v>
      </c>
      <c r="C19" s="63" t="s">
        <v>1111</v>
      </c>
      <c r="D19" s="63">
        <v>1024</v>
      </c>
      <c r="E19" s="63" t="s">
        <v>808</v>
      </c>
      <c r="F19" s="63"/>
      <c r="G19" s="63"/>
      <c r="H19" s="63"/>
      <c r="I19" s="63"/>
      <c r="J19" s="64">
        <f>COUNTIF(TableFields[Field],Columns[[#This Row],[Column]])</f>
        <v>1</v>
      </c>
    </row>
    <row r="20" spans="1:10" x14ac:dyDescent="0.25">
      <c r="A20" s="63" t="s">
        <v>837</v>
      </c>
      <c r="B20" s="63" t="s">
        <v>838</v>
      </c>
      <c r="C20" s="63" t="s">
        <v>837</v>
      </c>
      <c r="D20" s="63"/>
      <c r="E20" s="63" t="s">
        <v>808</v>
      </c>
      <c r="F20" s="63"/>
      <c r="G20" s="63"/>
      <c r="H20" s="63"/>
      <c r="I20" s="63"/>
      <c r="J20" s="64">
        <f>COUNTIF(TableFields[Field],Columns[[#This Row],[Column]])</f>
        <v>1</v>
      </c>
    </row>
    <row r="21" spans="1:10" x14ac:dyDescent="0.25">
      <c r="A21" s="63" t="s">
        <v>839</v>
      </c>
      <c r="B21" s="63" t="s">
        <v>838</v>
      </c>
      <c r="C21" s="63" t="s">
        <v>839</v>
      </c>
      <c r="D21" s="63"/>
      <c r="E21" s="63" t="s">
        <v>808</v>
      </c>
      <c r="F21" s="63"/>
      <c r="G21" s="63"/>
      <c r="H21" s="63"/>
      <c r="I21" s="63"/>
      <c r="J21" s="64">
        <f>COUNTIF(TableFields[Field],Columns[[#This Row],[Column]])</f>
        <v>1</v>
      </c>
    </row>
    <row r="22" spans="1:10" x14ac:dyDescent="0.25">
      <c r="A22" s="63" t="s">
        <v>840</v>
      </c>
      <c r="B22" s="63" t="s">
        <v>838</v>
      </c>
      <c r="C22" s="63" t="s">
        <v>840</v>
      </c>
      <c r="D22" s="63"/>
      <c r="E22" s="63" t="s">
        <v>808</v>
      </c>
      <c r="F22" s="63"/>
      <c r="G22" s="63"/>
      <c r="H22" s="63"/>
      <c r="I22" s="63"/>
      <c r="J22" s="64">
        <f>COUNTIF(TableFields[Field],Columns[[#This Row],[Column]])</f>
        <v>1</v>
      </c>
    </row>
    <row r="23" spans="1:10" x14ac:dyDescent="0.25">
      <c r="A23" s="63" t="s">
        <v>823</v>
      </c>
      <c r="B23" s="63" t="s">
        <v>810</v>
      </c>
      <c r="C23" s="63" t="s">
        <v>823</v>
      </c>
      <c r="D23" s="63" t="s">
        <v>1106</v>
      </c>
      <c r="E23" s="63" t="s">
        <v>808</v>
      </c>
      <c r="F23" s="63" t="s">
        <v>883</v>
      </c>
      <c r="G23" s="63"/>
      <c r="H23" s="63"/>
      <c r="I23" s="63"/>
      <c r="J23" s="64">
        <f>COUNTIF(TableFields[Field],Columns[[#This Row],[Column]])</f>
        <v>1</v>
      </c>
    </row>
    <row r="24" spans="1:10" x14ac:dyDescent="0.25">
      <c r="A24" s="63" t="s">
        <v>1124</v>
      </c>
      <c r="B24" s="1" t="s">
        <v>818</v>
      </c>
      <c r="C24" s="63" t="s">
        <v>1125</v>
      </c>
      <c r="D24" s="63" t="s">
        <v>1123</v>
      </c>
      <c r="E24" s="63"/>
      <c r="F24" s="63"/>
      <c r="G24" s="63"/>
      <c r="H24" s="63"/>
      <c r="I24" s="63"/>
      <c r="J24" s="64">
        <f>COUNTIF(TableFields[Field],Columns[[#This Row],[Column]])</f>
        <v>2</v>
      </c>
    </row>
  </sheetData>
  <conditionalFormatting sqref="C20:C22">
    <cfRule type="duplicateValues" dxfId="462" priority="3"/>
  </conditionalFormatting>
  <conditionalFormatting sqref="C11:C13">
    <cfRule type="duplicateValues" dxfId="461" priority="1"/>
  </conditionalFormatting>
  <conditionalFormatting sqref="C19">
    <cfRule type="duplicateValues" dxfId="460" priority="49"/>
  </conditionalFormatting>
  <conditionalFormatting sqref="A2:A24">
    <cfRule type="duplicateValues" dxfId="459" priority="50"/>
  </conditionalFormatting>
  <pageMargins left="0.7" right="0.7" top="0.75" bottom="0.75" header="0.3" footer="0.3"/>
  <pageSetup paperSize="9" orientation="portrait" horizontalDpi="4294967293" verticalDpi="30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22" workbookViewId="0">
      <selection activeCell="K24" sqref="K24:K34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59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59</v>
      </c>
      <c r="B3" s="63" t="s">
        <v>23</v>
      </c>
      <c r="C3" s="63" t="str">
        <f>VLOOKUP(TableFields[Field],Columns[],2,0)&amp;"("</f>
        <v>string(</v>
      </c>
      <c r="D3" s="63" t="str">
        <f>IF(VLOOKUP(TableFields[Field],Columns[],3,0)&lt;&gt;"","'"&amp;VLOOKUP(TableFields[Field],Columns[],3,0)&amp;"'","")</f>
        <v>'name'</v>
      </c>
      <c r="E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" s="63" t="str">
        <f>IF(VLOOKUP(TableFields[Field],Columns[],5,0)=0,"","-&gt;"&amp;VLOOKUP(TableFields[Field],Columns[],5,0))</f>
        <v>-&gt;index()</v>
      </c>
      <c r="G3" s="63" t="str">
        <f>IF(VLOOKUP(TableFields[Field],Columns[],6,0)=0,"","-&gt;"&amp;VLOOKUP(TableFields[Field],Columns[],6,0))</f>
        <v>-&gt;nullable()</v>
      </c>
      <c r="H3" s="63" t="str">
        <f>IF(VLOOKUP(TableFields[Field],Columns[],7,0)=0,"","-&gt;"&amp;VLOOKUP(TableFields[Field],Columns[],7,0))</f>
        <v/>
      </c>
      <c r="I3" s="63" t="str">
        <f>IF(VLOOKUP(TableFields[Field],Columns[],8,0)=0,"","-&gt;"&amp;VLOOKUP(TableFields[Field],Columns[],8,0))</f>
        <v/>
      </c>
      <c r="J3" s="63" t="str">
        <f>IF(VLOOKUP(TableFields[Field],Columns[],9,0)=0,"","-&gt;"&amp;VLOOKUP(TableFields[Field],Columns[],9,0))</f>
        <v/>
      </c>
      <c r="K3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4" spans="1:11" x14ac:dyDescent="0.25">
      <c r="A4" s="1" t="s">
        <v>59</v>
      </c>
      <c r="B4" s="63" t="s">
        <v>24</v>
      </c>
      <c r="C4" s="63" t="str">
        <f>VLOOKUP(TableFields[Field],Columns[],2,0)&amp;"("</f>
        <v>string(</v>
      </c>
      <c r="D4" s="63" t="str">
        <f>IF(VLOOKUP(TableFields[Field],Columns[],3,0)&lt;&gt;"","'"&amp;VLOOKUP(TableFields[Field],Columns[],3,0)&amp;"'","")</f>
        <v>'description'</v>
      </c>
      <c r="E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4" s="63" t="str">
        <f>IF(VLOOKUP(TableFields[Field],Columns[],5,0)=0,"","-&gt;"&amp;VLOOKUP(TableFields[Field],Columns[],5,0))</f>
        <v>-&gt;nullable()</v>
      </c>
      <c r="G4" s="63" t="str">
        <f>IF(VLOOKUP(TableFields[Field],Columns[],6,0)=0,"","-&gt;"&amp;VLOOKUP(TableFields[Field],Columns[],6,0))</f>
        <v/>
      </c>
      <c r="H4" s="63" t="str">
        <f>IF(VLOOKUP(TableFields[Field],Columns[],7,0)=0,"","-&gt;"&amp;VLOOKUP(TableFields[Field],Columns[],7,0))</f>
        <v/>
      </c>
      <c r="I4" s="63" t="str">
        <f>IF(VLOOKUP(TableFields[Field],Columns[],8,0)=0,"","-&gt;"&amp;VLOOKUP(TableFields[Field],Columns[],8,0))</f>
        <v/>
      </c>
      <c r="J4" s="63" t="str">
        <f>IF(VLOOKUP(TableFields[Field],Columns[],9,0)=0,"","-&gt;"&amp;VLOOKUP(TableFields[Field],Columns[],9,0))</f>
        <v/>
      </c>
      <c r="K4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5" spans="1:11" x14ac:dyDescent="0.25">
      <c r="A5" s="1" t="s">
        <v>59</v>
      </c>
      <c r="B5" s="63" t="s">
        <v>809</v>
      </c>
      <c r="C5" s="63" t="str">
        <f>VLOOKUP(TableFields[Field],Columns[],2,0)&amp;"("</f>
        <v>enum(</v>
      </c>
      <c r="D5" s="63" t="str">
        <f>IF(VLOOKUP(TableFields[Field],Columns[],3,0)&lt;&gt;"","'"&amp;VLOOKUP(TableFields[Field],Columns[],3,0)&amp;"'","")</f>
        <v>'status'</v>
      </c>
      <c r="E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5" s="63" t="str">
        <f>IF(VLOOKUP(TableFields[Field],Columns[],5,0)=0,"","-&gt;"&amp;VLOOKUP(TableFields[Field],Columns[],5,0))</f>
        <v>-&gt;nullable()</v>
      </c>
      <c r="G5" s="63" t="str">
        <f>IF(VLOOKUP(TableFields[Field],Columns[],6,0)=0,"","-&gt;"&amp;VLOOKUP(TableFields[Field],Columns[],6,0))</f>
        <v>-&gt;default('Active')</v>
      </c>
      <c r="H5" s="63" t="str">
        <f>IF(VLOOKUP(TableFields[Field],Columns[],7,0)=0,"","-&gt;"&amp;VLOOKUP(TableFields[Field],Columns[],7,0))</f>
        <v/>
      </c>
      <c r="I5" s="63" t="str">
        <f>IF(VLOOKUP(TableFields[Field],Columns[],8,0)=0,"","-&gt;"&amp;VLOOKUP(TableFields[Field],Columns[],8,0))</f>
        <v/>
      </c>
      <c r="J5" s="63" t="str">
        <f>IF(VLOOKUP(TableFields[Field],Columns[],9,0)=0,"","-&gt;"&amp;VLOOKUP(TableFields[Field],Columns[],9,0))</f>
        <v/>
      </c>
      <c r="K5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6" spans="1:11" x14ac:dyDescent="0.25">
      <c r="A6" s="1" t="s">
        <v>59</v>
      </c>
      <c r="B6" s="63" t="s">
        <v>288</v>
      </c>
      <c r="C6" s="63" t="str">
        <f>VLOOKUP(TableFields[Field],Columns[],2,0)&amp;"("</f>
        <v>audit(</v>
      </c>
      <c r="D6" s="63" t="str">
        <f>IF(VLOOKUP(TableFields[Field],Columns[],3,0)&lt;&gt;"","'"&amp;VLOOKUP(TableFields[Field],Columns[],3,0)&amp;"'","")</f>
        <v/>
      </c>
      <c r="E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6" s="63" t="str">
        <f>IF(VLOOKUP(TableFields[Field],Columns[],5,0)=0,"","-&gt;"&amp;VLOOKUP(TableFields[Field],Columns[],5,0))</f>
        <v/>
      </c>
      <c r="G6" s="63" t="str">
        <f>IF(VLOOKUP(TableFields[Field],Columns[],6,0)=0,"","-&gt;"&amp;VLOOKUP(TableFields[Field],Columns[],6,0))</f>
        <v/>
      </c>
      <c r="H6" s="63" t="str">
        <f>IF(VLOOKUP(TableFields[Field],Columns[],7,0)=0,"","-&gt;"&amp;VLOOKUP(TableFields[Field],Columns[],7,0))</f>
        <v/>
      </c>
      <c r="I6" s="63" t="str">
        <f>IF(VLOOKUP(TableFields[Field],Columns[],8,0)=0,"","-&gt;"&amp;VLOOKUP(TableFields[Field],Columns[],8,0))</f>
        <v/>
      </c>
      <c r="J6" s="63" t="str">
        <f>IF(VLOOKUP(TableFields[Field],Columns[],9,0)=0,"","-&gt;"&amp;VLOOKUP(TableFields[Field],Columns[],9,0))</f>
        <v/>
      </c>
      <c r="K6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" spans="1:11" x14ac:dyDescent="0.25">
      <c r="A7" s="63" t="s">
        <v>804</v>
      </c>
      <c r="B7" s="63" t="s">
        <v>21</v>
      </c>
      <c r="C7" s="63" t="str">
        <f>VLOOKUP(TableFields[Field],Columns[],2,0)&amp;"("</f>
        <v>bigIncrements(</v>
      </c>
      <c r="D7" s="63" t="str">
        <f>IF(VLOOKUP(TableFields[Field],Columns[],3,0)&lt;&gt;"","'"&amp;VLOOKUP(TableFields[Field],Columns[],3,0)&amp;"'","")</f>
        <v>'id'</v>
      </c>
      <c r="E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" s="63" t="str">
        <f>IF(VLOOKUP(TableFields[Field],Columns[],5,0)=0,"","-&gt;"&amp;VLOOKUP(TableFields[Field],Columns[],5,0))</f>
        <v/>
      </c>
      <c r="G7" s="63" t="str">
        <f>IF(VLOOKUP(TableFields[Field],Columns[],6,0)=0,"","-&gt;"&amp;VLOOKUP(TableFields[Field],Columns[],6,0))</f>
        <v/>
      </c>
      <c r="H7" s="63" t="str">
        <f>IF(VLOOKUP(TableFields[Field],Columns[],7,0)=0,"","-&gt;"&amp;VLOOKUP(TableFields[Field],Columns[],7,0))</f>
        <v/>
      </c>
      <c r="I7" s="63" t="str">
        <f>IF(VLOOKUP(TableFields[Field],Columns[],8,0)=0,"","-&gt;"&amp;VLOOKUP(TableFields[Field],Columns[],8,0))</f>
        <v/>
      </c>
      <c r="J7" s="63" t="str">
        <f>IF(VLOOKUP(TableFields[Field],Columns[],9,0)=0,"","-&gt;"&amp;VLOOKUP(TableFields[Field],Columns[],9,0))</f>
        <v/>
      </c>
      <c r="K7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" spans="1:11" x14ac:dyDescent="0.25">
      <c r="A8" s="63" t="s">
        <v>804</v>
      </c>
      <c r="B8" s="63" t="s">
        <v>816</v>
      </c>
      <c r="C8" s="63" t="str">
        <f>VLOOKUP(TableFields[Field],Columns[],2,0)&amp;"("</f>
        <v>foreignCascade(</v>
      </c>
      <c r="D8" s="63" t="str">
        <f>IF(VLOOKUP(TableFields[Field],Columns[],3,0)&lt;&gt;"","'"&amp;VLOOKUP(TableFields[Field],Columns[],3,0)&amp;"'","")</f>
        <v>'group'</v>
      </c>
      <c r="E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8" s="63" t="str">
        <f>IF(VLOOKUP(TableFields[Field],Columns[],5,0)=0,"","-&gt;"&amp;VLOOKUP(TableFields[Field],Columns[],5,0))</f>
        <v/>
      </c>
      <c r="G8" s="63" t="str">
        <f>IF(VLOOKUP(TableFields[Field],Columns[],6,0)=0,"","-&gt;"&amp;VLOOKUP(TableFields[Field],Columns[],6,0))</f>
        <v/>
      </c>
      <c r="H8" s="63" t="str">
        <f>IF(VLOOKUP(TableFields[Field],Columns[],7,0)=0,"","-&gt;"&amp;VLOOKUP(TableFields[Field],Columns[],7,0))</f>
        <v/>
      </c>
      <c r="I8" s="63" t="str">
        <f>IF(VLOOKUP(TableFields[Field],Columns[],8,0)=0,"","-&gt;"&amp;VLOOKUP(TableFields[Field],Columns[],8,0))</f>
        <v/>
      </c>
      <c r="J8" s="63" t="str">
        <f>IF(VLOOKUP(TableFields[Field],Columns[],9,0)=0,"","-&gt;"&amp;VLOOKUP(TableFields[Field],Columns[],9,0))</f>
        <v/>
      </c>
      <c r="K8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$table-&gt;foreignCascade('group', 'groups');</v>
      </c>
    </row>
    <row r="9" spans="1:11" x14ac:dyDescent="0.25">
      <c r="A9" s="63" t="s">
        <v>804</v>
      </c>
      <c r="B9" s="63" t="s">
        <v>815</v>
      </c>
      <c r="C9" s="63" t="str">
        <f>VLOOKUP(TableFields[Field],Columns[],2,0)&amp;"("</f>
        <v>foreignCascade(</v>
      </c>
      <c r="D9" s="63" t="str">
        <f>IF(VLOOKUP(TableFields[Field],Columns[],3,0)&lt;&gt;"","'"&amp;VLOOKUP(TableFields[Field],Columns[],3,0)&amp;"'","")</f>
        <v>'partner'</v>
      </c>
      <c r="E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9" s="63" t="str">
        <f>IF(VLOOKUP(TableFields[Field],Columns[],5,0)=0,"","-&gt;"&amp;VLOOKUP(TableFields[Field],Columns[],5,0))</f>
        <v/>
      </c>
      <c r="G9" s="63" t="str">
        <f>IF(VLOOKUP(TableFields[Field],Columns[],6,0)=0,"","-&gt;"&amp;VLOOKUP(TableFields[Field],Columns[],6,0))</f>
        <v/>
      </c>
      <c r="H9" s="63" t="str">
        <f>IF(VLOOKUP(TableFields[Field],Columns[],7,0)=0,"","-&gt;"&amp;VLOOKUP(TableFields[Field],Columns[],7,0))</f>
        <v/>
      </c>
      <c r="I9" s="63" t="str">
        <f>IF(VLOOKUP(TableFields[Field],Columns[],8,0)=0,"","-&gt;"&amp;VLOOKUP(TableFields[Field],Columns[],8,0))</f>
        <v/>
      </c>
      <c r="J9" s="63" t="str">
        <f>IF(VLOOKUP(TableFields[Field],Columns[],9,0)=0,"","-&gt;"&amp;VLOOKUP(TableFields[Field],Columns[],9,0))</f>
        <v/>
      </c>
      <c r="K9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10" spans="1:11" x14ac:dyDescent="0.25">
      <c r="A10" s="63" t="s">
        <v>804</v>
      </c>
      <c r="B10" s="63" t="s">
        <v>288</v>
      </c>
      <c r="C10" s="63" t="str">
        <f>VLOOKUP(TableFields[Field],Columns[],2,0)&amp;"("</f>
        <v>audit(</v>
      </c>
      <c r="D10" s="63" t="str">
        <f>IF(VLOOKUP(TableFields[Field],Columns[],3,0)&lt;&gt;"","'"&amp;VLOOKUP(TableFields[Field],Columns[],3,0)&amp;"'","")</f>
        <v/>
      </c>
      <c r="E1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" s="63" t="str">
        <f>IF(VLOOKUP(TableFields[Field],Columns[],5,0)=0,"","-&gt;"&amp;VLOOKUP(TableFields[Field],Columns[],5,0))</f>
        <v/>
      </c>
      <c r="G10" s="63" t="str">
        <f>IF(VLOOKUP(TableFields[Field],Columns[],6,0)=0,"","-&gt;"&amp;VLOOKUP(TableFields[Field],Columns[],6,0))</f>
        <v/>
      </c>
      <c r="H10" s="63" t="str">
        <f>IF(VLOOKUP(TableFields[Field],Columns[],7,0)=0,"","-&gt;"&amp;VLOOKUP(TableFields[Field],Columns[],7,0))</f>
        <v/>
      </c>
      <c r="I10" s="63" t="str">
        <f>IF(VLOOKUP(TableFields[Field],Columns[],8,0)=0,"","-&gt;"&amp;VLOOKUP(TableFields[Field],Columns[],8,0))</f>
        <v/>
      </c>
      <c r="J10" s="63" t="str">
        <f>IF(VLOOKUP(TableFields[Field],Columns[],9,0)=0,"","-&gt;"&amp;VLOOKUP(TableFields[Field],Columns[],9,0))</f>
        <v/>
      </c>
      <c r="K10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" spans="1:11" x14ac:dyDescent="0.25">
      <c r="A11" s="63" t="s">
        <v>802</v>
      </c>
      <c r="B11" s="63" t="s">
        <v>21</v>
      </c>
      <c r="C11" s="63" t="str">
        <f>VLOOKUP(TableFields[Field],Columns[],2,0)&amp;"("</f>
        <v>bigIncrements(</v>
      </c>
      <c r="D11" s="63" t="str">
        <f>IF(VLOOKUP(TableFields[Field],Columns[],3,0)&lt;&gt;"","'"&amp;VLOOKUP(TableFields[Field],Columns[],3,0)&amp;"'","")</f>
        <v>'id'</v>
      </c>
      <c r="E1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" s="63" t="str">
        <f>IF(VLOOKUP(TableFields[Field],Columns[],5,0)=0,"","-&gt;"&amp;VLOOKUP(TableFields[Field],Columns[],5,0))</f>
        <v/>
      </c>
      <c r="G11" s="63" t="str">
        <f>IF(VLOOKUP(TableFields[Field],Columns[],6,0)=0,"","-&gt;"&amp;VLOOKUP(TableFields[Field],Columns[],6,0))</f>
        <v/>
      </c>
      <c r="H11" s="63" t="str">
        <f>IF(VLOOKUP(TableFields[Field],Columns[],7,0)=0,"","-&gt;"&amp;VLOOKUP(TableFields[Field],Columns[],7,0))</f>
        <v/>
      </c>
      <c r="I11" s="63" t="str">
        <f>IF(VLOOKUP(TableFields[Field],Columns[],8,0)=0,"","-&gt;"&amp;VLOOKUP(TableFields[Field],Columns[],8,0))</f>
        <v/>
      </c>
      <c r="J11" s="63" t="str">
        <f>IF(VLOOKUP(TableFields[Field],Columns[],9,0)=0,"","-&gt;"&amp;VLOOKUP(TableFields[Field],Columns[],9,0))</f>
        <v/>
      </c>
      <c r="K11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" spans="1:11" x14ac:dyDescent="0.25">
      <c r="A12" s="63" t="s">
        <v>802</v>
      </c>
      <c r="B12" s="63" t="s">
        <v>23</v>
      </c>
      <c r="C12" s="63" t="str">
        <f>VLOOKUP(TableFields[Field],Columns[],2,0)&amp;"("</f>
        <v>string(</v>
      </c>
      <c r="D12" s="63" t="str">
        <f>IF(VLOOKUP(TableFields[Field],Columns[],3,0)&lt;&gt;"","'"&amp;VLOOKUP(TableFields[Field],Columns[],3,0)&amp;"'","")</f>
        <v>'name'</v>
      </c>
      <c r="E1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2" s="63" t="str">
        <f>IF(VLOOKUP(TableFields[Field],Columns[],5,0)=0,"","-&gt;"&amp;VLOOKUP(TableFields[Field],Columns[],5,0))</f>
        <v>-&gt;index()</v>
      </c>
      <c r="G12" s="63" t="str">
        <f>IF(VLOOKUP(TableFields[Field],Columns[],6,0)=0,"","-&gt;"&amp;VLOOKUP(TableFields[Field],Columns[],6,0))</f>
        <v>-&gt;nullable()</v>
      </c>
      <c r="H12" s="63" t="str">
        <f>IF(VLOOKUP(TableFields[Field],Columns[],7,0)=0,"","-&gt;"&amp;VLOOKUP(TableFields[Field],Columns[],7,0))</f>
        <v/>
      </c>
      <c r="I12" s="63" t="str">
        <f>IF(VLOOKUP(TableFields[Field],Columns[],8,0)=0,"","-&gt;"&amp;VLOOKUP(TableFields[Field],Columns[],8,0))</f>
        <v/>
      </c>
      <c r="J12" s="63" t="str">
        <f>IF(VLOOKUP(TableFields[Field],Columns[],9,0)=0,"","-&gt;"&amp;VLOOKUP(TableFields[Field],Columns[],9,0))</f>
        <v/>
      </c>
      <c r="K12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13" spans="1:11" x14ac:dyDescent="0.25">
      <c r="A13" s="63" t="s">
        <v>802</v>
      </c>
      <c r="B13" s="63" t="s">
        <v>24</v>
      </c>
      <c r="C13" s="63" t="str">
        <f>VLOOKUP(TableFields[Field],Columns[],2,0)&amp;"("</f>
        <v>string(</v>
      </c>
      <c r="D13" s="63" t="str">
        <f>IF(VLOOKUP(TableFields[Field],Columns[],3,0)&lt;&gt;"","'"&amp;VLOOKUP(TableFields[Field],Columns[],3,0)&amp;"'","")</f>
        <v>'description'</v>
      </c>
      <c r="E1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" s="63" t="str">
        <f>IF(VLOOKUP(TableFields[Field],Columns[],5,0)=0,"","-&gt;"&amp;VLOOKUP(TableFields[Field],Columns[],5,0))</f>
        <v>-&gt;nullable()</v>
      </c>
      <c r="G13" s="63" t="str">
        <f>IF(VLOOKUP(TableFields[Field],Columns[],6,0)=0,"","-&gt;"&amp;VLOOKUP(TableFields[Field],Columns[],6,0))</f>
        <v/>
      </c>
      <c r="H13" s="63" t="str">
        <f>IF(VLOOKUP(TableFields[Field],Columns[],7,0)=0,"","-&gt;"&amp;VLOOKUP(TableFields[Field],Columns[],7,0))</f>
        <v/>
      </c>
      <c r="I13" s="63" t="str">
        <f>IF(VLOOKUP(TableFields[Field],Columns[],8,0)=0,"","-&gt;"&amp;VLOOKUP(TableFields[Field],Columns[],8,0))</f>
        <v/>
      </c>
      <c r="J13" s="63" t="str">
        <f>IF(VLOOKUP(TableFields[Field],Columns[],9,0)=0,"","-&gt;"&amp;VLOOKUP(TableFields[Field],Columns[],9,0))</f>
        <v/>
      </c>
      <c r="K13" s="63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14" spans="1:11" x14ac:dyDescent="0.25">
      <c r="A14" s="63" t="s">
        <v>802</v>
      </c>
      <c r="B14" s="63" t="s">
        <v>817</v>
      </c>
      <c r="C14" s="63" t="str">
        <f>VLOOKUP(TableFields[Field],Columns[],2,0)&amp;"("</f>
        <v>foreignNullable(</v>
      </c>
      <c r="D14" s="63" t="str">
        <f>IF(VLOOKUP(TableFields[Field],Columns[],3,0)&lt;&gt;"","'"&amp;VLOOKUP(TableFields[Field],Columns[],3,0)&amp;"'","")</f>
        <v>'parent'</v>
      </c>
      <c r="E1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14" s="63" t="str">
        <f>IF(VLOOKUP(TableFields[Field],Columns[],5,0)=0,"","-&gt;"&amp;VLOOKUP(TableFields[Field],Columns[],5,0))</f>
        <v/>
      </c>
      <c r="G14" s="63" t="str">
        <f>IF(VLOOKUP(TableFields[Field],Columns[],6,0)=0,"","-&gt;"&amp;VLOOKUP(TableFields[Field],Columns[],6,0))</f>
        <v/>
      </c>
      <c r="H14" s="63" t="str">
        <f>IF(VLOOKUP(TableFields[Field],Columns[],7,0)=0,"","-&gt;"&amp;VLOOKUP(TableFields[Field],Columns[],7,0))</f>
        <v/>
      </c>
      <c r="I14" s="63" t="str">
        <f>IF(VLOOKUP(TableFields[Field],Columns[],8,0)=0,"","-&gt;"&amp;VLOOKUP(TableFields[Field],Columns[],8,0))</f>
        <v/>
      </c>
      <c r="J14" s="63" t="str">
        <f>IF(VLOOKUP(TableFields[Field],Columns[],9,0)=0,"","-&gt;"&amp;VLOOKUP(TableFields[Field],Columns[],9,0))</f>
        <v/>
      </c>
      <c r="K14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$table-&gt;foreignNullable('parent', 'tasks');</v>
      </c>
    </row>
    <row r="15" spans="1:11" x14ac:dyDescent="0.25">
      <c r="A15" s="63" t="s">
        <v>802</v>
      </c>
      <c r="B15" s="63" t="s">
        <v>825</v>
      </c>
      <c r="C15" s="63" t="str">
        <f>VLOOKUP(TableFields[Field],Columns[],2,0)&amp;"("</f>
        <v>enum(</v>
      </c>
      <c r="D15" s="63" t="str">
        <f>IF(VLOOKUP(TableFields[Field],Columns[],3,0)&lt;&gt;"","'"&amp;VLOOKUP(TableFields[Field],Columns[],3,0)&amp;"'","")</f>
        <v>'returnable'</v>
      </c>
      <c r="E1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5" s="63" t="str">
        <f>IF(VLOOKUP(TableFields[Field],Columns[],5,0)=0,"","-&gt;"&amp;VLOOKUP(TableFields[Field],Columns[],5,0))</f>
        <v>-&gt;nullable()</v>
      </c>
      <c r="G15" s="63" t="str">
        <f>IF(VLOOKUP(TableFields[Field],Columns[],6,0)=0,"","-&gt;"&amp;VLOOKUP(TableFields[Field],Columns[],6,0))</f>
        <v>-&gt;default('No')</v>
      </c>
      <c r="H15" s="63" t="str">
        <f>IF(VLOOKUP(TableFields[Field],Columns[],7,0)=0,"","-&gt;"&amp;VLOOKUP(TableFields[Field],Columns[],7,0))</f>
        <v/>
      </c>
      <c r="I15" s="63" t="str">
        <f>IF(VLOOKUP(TableFields[Field],Columns[],8,0)=0,"","-&gt;"&amp;VLOOKUP(TableFields[Field],Columns[],8,0))</f>
        <v/>
      </c>
      <c r="J15" s="63" t="str">
        <f>IF(VLOOKUP(TableFields[Field],Columns[],9,0)=0,"","-&gt;"&amp;VLOOKUP(TableFields[Field],Columns[],9,0))</f>
        <v/>
      </c>
      <c r="K15" s="63" t="str">
        <f>"$table-&gt;"&amp;TableFields[Type]&amp;TableFields[Name]&amp;TableFields[Arg2]&amp;TableFields[Method1]&amp;TableFields[Method2]&amp;TableFields[Method3]&amp;TableFields[Method4]&amp;TableFields[Method5]&amp;";"</f>
        <v>$table-&gt;enum('returnable', ['No','Yes'])-&gt;nullable()-&gt;default('No');</v>
      </c>
    </row>
    <row r="16" spans="1:11" x14ac:dyDescent="0.25">
      <c r="A16" s="63" t="s">
        <v>802</v>
      </c>
      <c r="B16" s="63" t="s">
        <v>826</v>
      </c>
      <c r="C16" s="63" t="str">
        <f>VLOOKUP(TableFields[Field],Columns[],2,0)&amp;"("</f>
        <v>enum(</v>
      </c>
      <c r="D16" s="63" t="str">
        <f>IF(VLOOKUP(TableFields[Field],Columns[],3,0)&lt;&gt;"","'"&amp;VLOOKUP(TableFields[Field],Columns[],3,0)&amp;"'","")</f>
        <v>'dismissable'</v>
      </c>
      <c r="E1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6" s="63" t="str">
        <f>IF(VLOOKUP(TableFields[Field],Columns[],5,0)=0,"","-&gt;"&amp;VLOOKUP(TableFields[Field],Columns[],5,0))</f>
        <v>-&gt;nullable()</v>
      </c>
      <c r="G16" s="63" t="str">
        <f>IF(VLOOKUP(TableFields[Field],Columns[],6,0)=0,"","-&gt;"&amp;VLOOKUP(TableFields[Field],Columns[],6,0))</f>
        <v>-&gt;default('No')</v>
      </c>
      <c r="H16" s="63" t="str">
        <f>IF(VLOOKUP(TableFields[Field],Columns[],7,0)=0,"","-&gt;"&amp;VLOOKUP(TableFields[Field],Columns[],7,0))</f>
        <v/>
      </c>
      <c r="I16" s="63" t="str">
        <f>IF(VLOOKUP(TableFields[Field],Columns[],8,0)=0,"","-&gt;"&amp;VLOOKUP(TableFields[Field],Columns[],8,0))</f>
        <v/>
      </c>
      <c r="J16" s="63" t="str">
        <f>IF(VLOOKUP(TableFields[Field],Columns[],9,0)=0,"","-&gt;"&amp;VLOOKUP(TableFields[Field],Columns[],9,0))</f>
        <v/>
      </c>
      <c r="K16" s="63" t="str">
        <f>"$table-&gt;"&amp;TableFields[Type]&amp;TableFields[Name]&amp;TableFields[Arg2]&amp;TableFields[Method1]&amp;TableFields[Method2]&amp;TableFields[Method3]&amp;TableFields[Method4]&amp;TableFields[Method5]&amp;";"</f>
        <v>$table-&gt;enum('dismissable', ['No','Yes'])-&gt;nullable()-&gt;default('No');</v>
      </c>
    </row>
    <row r="17" spans="1:11" x14ac:dyDescent="0.25">
      <c r="A17" s="63" t="s">
        <v>802</v>
      </c>
      <c r="B17" s="63" t="s">
        <v>827</v>
      </c>
      <c r="C17" s="63" t="str">
        <f>VLOOKUP(TableFields[Field],Columns[],2,0)&amp;"("</f>
        <v>enum(</v>
      </c>
      <c r="D17" s="63" t="str">
        <f>IF(VLOOKUP(TableFields[Field],Columns[],3,0)&lt;&gt;"","'"&amp;VLOOKUP(TableFields[Field],Columns[],3,0)&amp;"'","")</f>
        <v>'editable'</v>
      </c>
      <c r="E1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7" s="63" t="str">
        <f>IF(VLOOKUP(TableFields[Field],Columns[],5,0)=0,"","-&gt;"&amp;VLOOKUP(TableFields[Field],Columns[],5,0))</f>
        <v>-&gt;nullable()</v>
      </c>
      <c r="G17" s="63" t="str">
        <f>IF(VLOOKUP(TableFields[Field],Columns[],6,0)=0,"","-&gt;"&amp;VLOOKUP(TableFields[Field],Columns[],6,0))</f>
        <v>-&gt;default('No')</v>
      </c>
      <c r="H17" s="63" t="str">
        <f>IF(VLOOKUP(TableFields[Field],Columns[],7,0)=0,"","-&gt;"&amp;VLOOKUP(TableFields[Field],Columns[],7,0))</f>
        <v/>
      </c>
      <c r="I17" s="63" t="str">
        <f>IF(VLOOKUP(TableFields[Field],Columns[],8,0)=0,"","-&gt;"&amp;VLOOKUP(TableFields[Field],Columns[],8,0))</f>
        <v/>
      </c>
      <c r="J17" s="63" t="str">
        <f>IF(VLOOKUP(TableFields[Field],Columns[],9,0)=0,"","-&gt;"&amp;VLOOKUP(TableFields[Field],Columns[],9,0))</f>
        <v/>
      </c>
      <c r="K17" s="63" t="str">
        <f>"$table-&gt;"&amp;TableFields[Type]&amp;TableFields[Name]&amp;TableFields[Arg2]&amp;TableFields[Method1]&amp;TableFields[Method2]&amp;TableFields[Method3]&amp;TableFields[Method4]&amp;TableFields[Method5]&amp;";"</f>
        <v>$table-&gt;enum('editable', ['No','Yes'])-&gt;nullable()-&gt;default('No');</v>
      </c>
    </row>
    <row r="18" spans="1:11" x14ac:dyDescent="0.25">
      <c r="A18" s="63" t="s">
        <v>802</v>
      </c>
      <c r="B18" s="63" t="s">
        <v>829</v>
      </c>
      <c r="C18" s="63" t="str">
        <f>VLOOKUP(TableFields[Field],Columns[],2,0)&amp;"("</f>
        <v>tinyInteger(</v>
      </c>
      <c r="D18" s="63" t="str">
        <f>IF(VLOOKUP(TableFields[Field],Columns[],3,0)&lt;&gt;"","'"&amp;VLOOKUP(TableFields[Field],Columns[],3,0)&amp;"'","")</f>
        <v>'weightage'</v>
      </c>
      <c r="E1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" s="63" t="str">
        <f>IF(VLOOKUP(TableFields[Field],Columns[],5,0)=0,"","-&gt;"&amp;VLOOKUP(TableFields[Field],Columns[],5,0))</f>
        <v>-&gt;default('100')</v>
      </c>
      <c r="G18" s="63" t="str">
        <f>IF(VLOOKUP(TableFields[Field],Columns[],6,0)=0,"","-&gt;"&amp;VLOOKUP(TableFields[Field],Columns[],6,0))</f>
        <v/>
      </c>
      <c r="H18" s="63" t="str">
        <f>IF(VLOOKUP(TableFields[Field],Columns[],7,0)=0,"","-&gt;"&amp;VLOOKUP(TableFields[Field],Columns[],7,0))</f>
        <v/>
      </c>
      <c r="I18" s="63" t="str">
        <f>IF(VLOOKUP(TableFields[Field],Columns[],8,0)=0,"","-&gt;"&amp;VLOOKUP(TableFields[Field],Columns[],8,0))</f>
        <v/>
      </c>
      <c r="J18" s="63" t="str">
        <f>IF(VLOOKUP(TableFields[Field],Columns[],9,0)=0,"","-&gt;"&amp;VLOOKUP(TableFields[Field],Columns[],9,0))</f>
        <v/>
      </c>
      <c r="K18" s="63" t="str">
        <f>"$table-&gt;"&amp;TableFields[Type]&amp;TableFields[Name]&amp;TableFields[Arg2]&amp;TableFields[Method1]&amp;TableFields[Method2]&amp;TableFields[Method3]&amp;TableFields[Method4]&amp;TableFields[Method5]&amp;";"</f>
        <v>$table-&gt;tinyInteger('weightage')-&gt;default('100');</v>
      </c>
    </row>
    <row r="19" spans="1:11" x14ac:dyDescent="0.25">
      <c r="A19" s="63" t="s">
        <v>802</v>
      </c>
      <c r="B19" s="63" t="s">
        <v>832</v>
      </c>
      <c r="C19" s="63" t="str">
        <f>VLOOKUP(TableFields[Field],Columns[],2,0)&amp;"("</f>
        <v>enum(</v>
      </c>
      <c r="D19" s="63" t="str">
        <f>IF(VLOOKUP(TableFields[Field],Columns[],3,0)&lt;&gt;"","'"&amp;VLOOKUP(TableFields[Field],Columns[],3,0)&amp;"'","")</f>
        <v>'completion'</v>
      </c>
      <c r="E1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['Description','Attachment','Sub Task'])</v>
      </c>
      <c r="F19" s="63" t="str">
        <f>IF(VLOOKUP(TableFields[Field],Columns[],5,0)=0,"","-&gt;"&amp;VLOOKUP(TableFields[Field],Columns[],5,0))</f>
        <v>-&gt;default('Attachment')</v>
      </c>
      <c r="G19" s="63" t="str">
        <f>IF(VLOOKUP(TableFields[Field],Columns[],6,0)=0,"","-&gt;"&amp;VLOOKUP(TableFields[Field],Columns[],6,0))</f>
        <v/>
      </c>
      <c r="H19" s="63" t="str">
        <f>IF(VLOOKUP(TableFields[Field],Columns[],7,0)=0,"","-&gt;"&amp;VLOOKUP(TableFields[Field],Columns[],7,0))</f>
        <v/>
      </c>
      <c r="I19" s="63" t="str">
        <f>IF(VLOOKUP(TableFields[Field],Columns[],8,0)=0,"","-&gt;"&amp;VLOOKUP(TableFields[Field],Columns[],8,0))</f>
        <v/>
      </c>
      <c r="J19" s="63" t="str">
        <f>IF(VLOOKUP(TableFields[Field],Columns[],9,0)=0,"","-&gt;"&amp;VLOOKUP(TableFields[Field],Columns[],9,0))</f>
        <v/>
      </c>
      <c r="K19" s="63" t="str">
        <f>"$table-&gt;"&amp;TableFields[Type]&amp;TableFields[Name]&amp;TableFields[Arg2]&amp;TableFields[Method1]&amp;TableFields[Method2]&amp;TableFields[Method3]&amp;TableFields[Method4]&amp;TableFields[Method5]&amp;";"</f>
        <v>$table-&gt;enum('completion', ['Description','Attachment','Sub Task'])-&gt;default('Attachment');</v>
      </c>
    </row>
    <row r="20" spans="1:11" x14ac:dyDescent="0.25">
      <c r="A20" s="63" t="s">
        <v>802</v>
      </c>
      <c r="B20" s="63" t="s">
        <v>841</v>
      </c>
      <c r="C20" s="63" t="str">
        <f>VLOOKUP(TableFields[Field],Columns[],2,0)&amp;"("</f>
        <v>foreignNullable(</v>
      </c>
      <c r="D20" s="63" t="str">
        <f>IF(VLOOKUP(TableFields[Field],Columns[],3,0)&lt;&gt;"","'"&amp;VLOOKUP(TableFields[Field],Columns[],3,0)&amp;"'","")</f>
        <v>'assign'</v>
      </c>
      <c r="E2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'groups')</v>
      </c>
      <c r="F20" s="63" t="str">
        <f>IF(VLOOKUP(TableFields[Field],Columns[],5,0)=0,"","-&gt;"&amp;VLOOKUP(TableFields[Field],Columns[],5,0))</f>
        <v/>
      </c>
      <c r="G20" s="63" t="str">
        <f>IF(VLOOKUP(TableFields[Field],Columns[],6,0)=0,"","-&gt;"&amp;VLOOKUP(TableFields[Field],Columns[],6,0))</f>
        <v/>
      </c>
      <c r="H20" s="63" t="str">
        <f>IF(VLOOKUP(TableFields[Field],Columns[],7,0)=0,"","-&gt;"&amp;VLOOKUP(TableFields[Field],Columns[],7,0))</f>
        <v/>
      </c>
      <c r="I20" s="63" t="str">
        <f>IF(VLOOKUP(TableFields[Field],Columns[],8,0)=0,"","-&gt;"&amp;VLOOKUP(TableFields[Field],Columns[],8,0))</f>
        <v/>
      </c>
      <c r="J20" s="63" t="str">
        <f>IF(VLOOKUP(TableFields[Field],Columns[],9,0)=0,"","-&gt;"&amp;VLOOKUP(TableFields[Field],Columns[],9,0))</f>
        <v/>
      </c>
      <c r="K20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$table-&gt;foreignNullable('assign', 'groups');</v>
      </c>
    </row>
    <row r="21" spans="1:11" x14ac:dyDescent="0.25">
      <c r="A21" s="63" t="s">
        <v>802</v>
      </c>
      <c r="B21" s="63" t="s">
        <v>809</v>
      </c>
      <c r="C21" s="63" t="str">
        <f>VLOOKUP(TableFields[Field],Columns[],2,0)&amp;"("</f>
        <v>enum(</v>
      </c>
      <c r="D21" s="63" t="str">
        <f>IF(VLOOKUP(TableFields[Field],Columns[],3,0)&lt;&gt;"","'"&amp;VLOOKUP(TableFields[Field],Columns[],3,0)&amp;"'","")</f>
        <v>'status'</v>
      </c>
      <c r="E2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1" s="63" t="str">
        <f>IF(VLOOKUP(TableFields[Field],Columns[],5,0)=0,"","-&gt;"&amp;VLOOKUP(TableFields[Field],Columns[],5,0))</f>
        <v>-&gt;nullable()</v>
      </c>
      <c r="G21" s="63" t="str">
        <f>IF(VLOOKUP(TableFields[Field],Columns[],6,0)=0,"","-&gt;"&amp;VLOOKUP(TableFields[Field],Columns[],6,0))</f>
        <v>-&gt;default('Active')</v>
      </c>
      <c r="H21" s="63" t="str">
        <f>IF(VLOOKUP(TableFields[Field],Columns[],7,0)=0,"","-&gt;"&amp;VLOOKUP(TableFields[Field],Columns[],7,0))</f>
        <v/>
      </c>
      <c r="I21" s="63" t="str">
        <f>IF(VLOOKUP(TableFields[Field],Columns[],8,0)=0,"","-&gt;"&amp;VLOOKUP(TableFields[Field],Columns[],8,0))</f>
        <v/>
      </c>
      <c r="J21" s="63" t="str">
        <f>IF(VLOOKUP(TableFields[Field],Columns[],9,0)=0,"","-&gt;"&amp;VLOOKUP(TableFields[Field],Columns[],9,0))</f>
        <v/>
      </c>
      <c r="K21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" spans="1:11" s="20" customFormat="1" x14ac:dyDescent="0.25">
      <c r="A22" s="63" t="s">
        <v>802</v>
      </c>
      <c r="B22" s="63" t="s">
        <v>1124</v>
      </c>
      <c r="C22" s="63" t="str">
        <f>VLOOKUP(TableFields[Field],Columns[],2,0)&amp;"("</f>
        <v>foreignNullable(</v>
      </c>
      <c r="D22" s="63" t="str">
        <f>IF(VLOOKUP(TableFields[Field],Columns[],3,0)&lt;&gt;"","'"&amp;VLOOKUP(TableFields[Field],Columns[],3,0)&amp;"'","")</f>
        <v>'category'</v>
      </c>
      <c r="E2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22" s="63" t="str">
        <f>IF(VLOOKUP(TableFields[Field],Columns[],5,0)=0,"","-&gt;"&amp;VLOOKUP(TableFields[Field],Columns[],5,0))</f>
        <v/>
      </c>
      <c r="G22" s="63" t="str">
        <f>IF(VLOOKUP(TableFields[Field],Columns[],6,0)=0,"","-&gt;"&amp;VLOOKUP(TableFields[Field],Columns[],6,0))</f>
        <v/>
      </c>
      <c r="H22" s="63" t="str">
        <f>IF(VLOOKUP(TableFields[Field],Columns[],7,0)=0,"","-&gt;"&amp;VLOOKUP(TableFields[Field],Columns[],7,0))</f>
        <v/>
      </c>
      <c r="I22" s="63" t="str">
        <f>IF(VLOOKUP(TableFields[Field],Columns[],8,0)=0,"","-&gt;"&amp;VLOOKUP(TableFields[Field],Columns[],8,0))</f>
        <v/>
      </c>
      <c r="J22" s="63" t="str">
        <f>IF(VLOOKUP(TableFields[Field],Columns[],9,0)=0,"","-&gt;"&amp;VLOOKUP(TableFields[Field],Columns[],9,0))</f>
        <v/>
      </c>
      <c r="K2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23" spans="1:11" x14ac:dyDescent="0.25">
      <c r="A23" s="63" t="s">
        <v>802</v>
      </c>
      <c r="B23" s="63" t="s">
        <v>288</v>
      </c>
      <c r="C23" s="63" t="str">
        <f>VLOOKUP(TableFields[Field],Columns[],2,0)&amp;"("</f>
        <v>audit(</v>
      </c>
      <c r="D23" s="63" t="str">
        <f>IF(VLOOKUP(TableFields[Field],Columns[],3,0)&lt;&gt;"","'"&amp;VLOOKUP(TableFields[Field],Columns[],3,0)&amp;"'","")</f>
        <v/>
      </c>
      <c r="E2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" s="63" t="str">
        <f>IF(VLOOKUP(TableFields[Field],Columns[],5,0)=0,"","-&gt;"&amp;VLOOKUP(TableFields[Field],Columns[],5,0))</f>
        <v/>
      </c>
      <c r="G23" s="63" t="str">
        <f>IF(VLOOKUP(TableFields[Field],Columns[],6,0)=0,"","-&gt;"&amp;VLOOKUP(TableFields[Field],Columns[],6,0))</f>
        <v/>
      </c>
      <c r="H23" s="63" t="str">
        <f>IF(VLOOKUP(TableFields[Field],Columns[],7,0)=0,"","-&gt;"&amp;VLOOKUP(TableFields[Field],Columns[],7,0))</f>
        <v/>
      </c>
      <c r="I23" s="63" t="str">
        <f>IF(VLOOKUP(TableFields[Field],Columns[],8,0)=0,"","-&gt;"&amp;VLOOKUP(TableFields[Field],Columns[],8,0))</f>
        <v/>
      </c>
      <c r="J23" s="63" t="str">
        <f>IF(VLOOKUP(TableFields[Field],Columns[],9,0)=0,"","-&gt;"&amp;VLOOKUP(TableFields[Field],Columns[],9,0))</f>
        <v/>
      </c>
      <c r="K23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" spans="1:11" x14ac:dyDescent="0.25">
      <c r="A24" s="63" t="s">
        <v>805</v>
      </c>
      <c r="B24" s="63" t="s">
        <v>21</v>
      </c>
      <c r="C24" s="63" t="str">
        <f>VLOOKUP(TableFields[Field],Columns[],2,0)&amp;"("</f>
        <v>bigIncrements(</v>
      </c>
      <c r="D24" s="63" t="str">
        <f>IF(VLOOKUP(TableFields[Field],Columns[],3,0)&lt;&gt;"","'"&amp;VLOOKUP(TableFields[Field],Columns[],3,0)&amp;"'","")</f>
        <v>'id'</v>
      </c>
      <c r="E2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" s="63" t="str">
        <f>IF(VLOOKUP(TableFields[Field],Columns[],5,0)=0,"","-&gt;"&amp;VLOOKUP(TableFields[Field],Columns[],5,0))</f>
        <v/>
      </c>
      <c r="G24" s="63" t="str">
        <f>IF(VLOOKUP(TableFields[Field],Columns[],6,0)=0,"","-&gt;"&amp;VLOOKUP(TableFields[Field],Columns[],6,0))</f>
        <v/>
      </c>
      <c r="H24" s="63" t="str">
        <f>IF(VLOOKUP(TableFields[Field],Columns[],7,0)=0,"","-&gt;"&amp;VLOOKUP(TableFields[Field],Columns[],7,0))</f>
        <v/>
      </c>
      <c r="I24" s="63" t="str">
        <f>IF(VLOOKUP(TableFields[Field],Columns[],8,0)=0,"","-&gt;"&amp;VLOOKUP(TableFields[Field],Columns[],8,0))</f>
        <v/>
      </c>
      <c r="J24" s="63" t="str">
        <f>IF(VLOOKUP(TableFields[Field],Columns[],9,0)=0,"","-&gt;"&amp;VLOOKUP(TableFields[Field],Columns[],9,0))</f>
        <v/>
      </c>
      <c r="K24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" spans="1:11" x14ac:dyDescent="0.25">
      <c r="A25" s="63" t="s">
        <v>805</v>
      </c>
      <c r="B25" s="63" t="s">
        <v>815</v>
      </c>
      <c r="C25" s="63" t="str">
        <f>VLOOKUP(TableFields[Field],Columns[],2,0)&amp;"("</f>
        <v>foreignCascade(</v>
      </c>
      <c r="D25" s="63" t="str">
        <f>IF(VLOOKUP(TableFields[Field],Columns[],3,0)&lt;&gt;"","'"&amp;VLOOKUP(TableFields[Field],Columns[],3,0)&amp;"'","")</f>
        <v>'partner'</v>
      </c>
      <c r="E2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5" s="63" t="str">
        <f>IF(VLOOKUP(TableFields[Field],Columns[],5,0)=0,"","-&gt;"&amp;VLOOKUP(TableFields[Field],Columns[],5,0))</f>
        <v/>
      </c>
      <c r="G25" s="63" t="str">
        <f>IF(VLOOKUP(TableFields[Field],Columns[],6,0)=0,"","-&gt;"&amp;VLOOKUP(TableFields[Field],Columns[],6,0))</f>
        <v/>
      </c>
      <c r="H25" s="63" t="str">
        <f>IF(VLOOKUP(TableFields[Field],Columns[],7,0)=0,"","-&gt;"&amp;VLOOKUP(TableFields[Field],Columns[],7,0))</f>
        <v/>
      </c>
      <c r="I25" s="63" t="str">
        <f>IF(VLOOKUP(TableFields[Field],Columns[],8,0)=0,"","-&gt;"&amp;VLOOKUP(TableFields[Field],Columns[],8,0))</f>
        <v/>
      </c>
      <c r="J25" s="63" t="str">
        <f>IF(VLOOKUP(TableFields[Field],Columns[],9,0)=0,"","-&gt;"&amp;VLOOKUP(TableFields[Field],Columns[],9,0))</f>
        <v/>
      </c>
      <c r="K25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$table-&gt;foreignCascade('partner', 'users');</v>
      </c>
    </row>
    <row r="26" spans="1:11" x14ac:dyDescent="0.25">
      <c r="A26" s="63" t="s">
        <v>805</v>
      </c>
      <c r="B26" s="63" t="s">
        <v>835</v>
      </c>
      <c r="C26" s="63" t="str">
        <f>VLOOKUP(TableFields[Field],Columns[],2,0)&amp;"("</f>
        <v>foreignCascade(</v>
      </c>
      <c r="D26" s="63" t="str">
        <f>IF(VLOOKUP(TableFields[Field],Columns[],3,0)&lt;&gt;"","'"&amp;VLOOKUP(TableFields[Field],Columns[],3,0)&amp;"'","")</f>
        <v>'task'</v>
      </c>
      <c r="E2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'tasks')</v>
      </c>
      <c r="F26" s="63" t="str">
        <f>IF(VLOOKUP(TableFields[Field],Columns[],5,0)=0,"","-&gt;"&amp;VLOOKUP(TableFields[Field],Columns[],5,0))</f>
        <v/>
      </c>
      <c r="G26" s="63" t="str">
        <f>IF(VLOOKUP(TableFields[Field],Columns[],6,0)=0,"","-&gt;"&amp;VLOOKUP(TableFields[Field],Columns[],6,0))</f>
        <v/>
      </c>
      <c r="H26" s="63" t="str">
        <f>IF(VLOOKUP(TableFields[Field],Columns[],7,0)=0,"","-&gt;"&amp;VLOOKUP(TableFields[Field],Columns[],7,0))</f>
        <v/>
      </c>
      <c r="I26" s="63" t="str">
        <f>IF(VLOOKUP(TableFields[Field],Columns[],8,0)=0,"","-&gt;"&amp;VLOOKUP(TableFields[Field],Columns[],8,0))</f>
        <v/>
      </c>
      <c r="J26" s="63" t="str">
        <f>IF(VLOOKUP(TableFields[Field],Columns[],9,0)=0,"","-&gt;"&amp;VLOOKUP(TableFields[Field],Columns[],9,0))</f>
        <v/>
      </c>
      <c r="K26" s="63" t="str">
        <f>"$table-&gt;"&amp;TableFields[Type]&amp;TableFields[Name]&amp;TableFields[Arg2]&amp;TableFields[Method1]&amp;TableFields[Method2]&amp;TableFields[Method3]&amp;TableFields[Method4]&amp;TableFields[Method5]&amp;";"</f>
        <v>$table-&gt;foreignCascade('task', 'tasks');</v>
      </c>
    </row>
    <row r="27" spans="1:11" x14ac:dyDescent="0.25">
      <c r="A27" s="63" t="s">
        <v>805</v>
      </c>
      <c r="B27" s="63" t="s">
        <v>1107</v>
      </c>
      <c r="C27" s="63" t="str">
        <f>VLOOKUP(TableFields[Field],Columns[],2,0)&amp;"("</f>
        <v>enum(</v>
      </c>
      <c r="D27" s="63" t="str">
        <f>IF(VLOOKUP(TableFields[Field],Columns[],3,0)&lt;&gt;"","'"&amp;VLOOKUP(TableFields[Field],Columns[],3,0)&amp;"'","")</f>
        <v>'type'</v>
      </c>
      <c r="E2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['Main','Sub'])</v>
      </c>
      <c r="F27" s="63" t="str">
        <f>IF(VLOOKUP(TableFields[Field],Columns[],5,0)=0,"","-&gt;"&amp;VLOOKUP(TableFields[Field],Columns[],5,0))</f>
        <v>-&gt;nullable()</v>
      </c>
      <c r="G27" s="63" t="str">
        <f>IF(VLOOKUP(TableFields[Field],Columns[],6,0)=0,"","-&gt;"&amp;VLOOKUP(TableFields[Field],Columns[],6,0))</f>
        <v>-&gt;default('Main')</v>
      </c>
      <c r="H27" s="63" t="str">
        <f>IF(VLOOKUP(TableFields[Field],Columns[],7,0)=0,"","-&gt;"&amp;VLOOKUP(TableFields[Field],Columns[],7,0))</f>
        <v/>
      </c>
      <c r="I27" s="63" t="str">
        <f>IF(VLOOKUP(TableFields[Field],Columns[],8,0)=0,"","-&gt;"&amp;VLOOKUP(TableFields[Field],Columns[],8,0))</f>
        <v/>
      </c>
      <c r="J27" s="63" t="str">
        <f>IF(VLOOKUP(TableFields[Field],Columns[],9,0)=0,"","-&gt;"&amp;VLOOKUP(TableFields[Field],Columns[],9,0))</f>
        <v/>
      </c>
      <c r="K27" s="63" t="str">
        <f>"$table-&gt;"&amp;TableFields[Type]&amp;TableFields[Name]&amp;TableFields[Arg2]&amp;TableFields[Method1]&amp;TableFields[Method2]&amp;TableFields[Method3]&amp;TableFields[Method4]&amp;TableFields[Method5]&amp;";"</f>
        <v>$table-&gt;enum('type', ['Main','Sub'])-&gt;nullable()-&gt;default('Main');</v>
      </c>
    </row>
    <row r="28" spans="1:11" x14ac:dyDescent="0.25">
      <c r="A28" s="63" t="s">
        <v>805</v>
      </c>
      <c r="B28" s="63" t="s">
        <v>1111</v>
      </c>
      <c r="C28" s="63" t="str">
        <f>VLOOKUP(TableFields[Field],Columns[],2,0)&amp;"("</f>
        <v>string(</v>
      </c>
      <c r="D28" s="63" t="str">
        <f>IF(VLOOKUP(TableFields[Field],Columns[],3,0)&lt;&gt;"","'"&amp;VLOOKUP(TableFields[Field],Columns[],3,0)&amp;"'","")</f>
        <v>'remarks'</v>
      </c>
      <c r="E2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8" s="63" t="str">
        <f>IF(VLOOKUP(TableFields[Field],Columns[],5,0)=0,"","-&gt;"&amp;VLOOKUP(TableFields[Field],Columns[],5,0))</f>
        <v>-&gt;nullable()</v>
      </c>
      <c r="G28" s="63" t="str">
        <f>IF(VLOOKUP(TableFields[Field],Columns[],6,0)=0,"","-&gt;"&amp;VLOOKUP(TableFields[Field],Columns[],6,0))</f>
        <v/>
      </c>
      <c r="H28" s="63" t="str">
        <f>IF(VLOOKUP(TableFields[Field],Columns[],7,0)=0,"","-&gt;"&amp;VLOOKUP(TableFields[Field],Columns[],7,0))</f>
        <v/>
      </c>
      <c r="I28" s="63" t="str">
        <f>IF(VLOOKUP(TableFields[Field],Columns[],8,0)=0,"","-&gt;"&amp;VLOOKUP(TableFields[Field],Columns[],8,0))</f>
        <v/>
      </c>
      <c r="J28" s="63" t="str">
        <f>IF(VLOOKUP(TableFields[Field],Columns[],9,0)=0,"","-&gt;"&amp;VLOOKUP(TableFields[Field],Columns[],9,0))</f>
        <v/>
      </c>
      <c r="K28" s="63" t="str">
        <f>"$table-&gt;"&amp;TableFields[Type]&amp;TableFields[Name]&amp;TableFields[Arg2]&amp;TableFields[Method1]&amp;TableFields[Method2]&amp;TableFields[Method3]&amp;TableFields[Method4]&amp;TableFields[Method5]&amp;";"</f>
        <v>$table-&gt;string('remarks', '1024')-&gt;nullable();</v>
      </c>
    </row>
    <row r="29" spans="1:11" x14ac:dyDescent="0.25">
      <c r="A29" s="63" t="s">
        <v>805</v>
      </c>
      <c r="B29" s="63" t="s">
        <v>837</v>
      </c>
      <c r="C29" s="63" t="str">
        <f>VLOOKUP(TableFields[Field],Columns[],2,0)&amp;"("</f>
        <v>bigInteger(</v>
      </c>
      <c r="D29" s="63" t="str">
        <f>IF(VLOOKUP(TableFields[Field],Columns[],3,0)&lt;&gt;"","'"&amp;VLOOKUP(TableFields[Field],Columns[],3,0)&amp;"'","")</f>
        <v>'attachment1'</v>
      </c>
      <c r="E29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" s="63" t="str">
        <f>IF(VLOOKUP(TableFields[Field],Columns[],5,0)=0,"","-&gt;"&amp;VLOOKUP(TableFields[Field],Columns[],5,0))</f>
        <v>-&gt;nullable()</v>
      </c>
      <c r="G29" s="63" t="str">
        <f>IF(VLOOKUP(TableFields[Field],Columns[],6,0)=0,"","-&gt;"&amp;VLOOKUP(TableFields[Field],Columns[],6,0))</f>
        <v/>
      </c>
      <c r="H29" s="63" t="str">
        <f>IF(VLOOKUP(TableFields[Field],Columns[],7,0)=0,"","-&gt;"&amp;VLOOKUP(TableFields[Field],Columns[],7,0))</f>
        <v/>
      </c>
      <c r="I29" s="63" t="str">
        <f>IF(VLOOKUP(TableFields[Field],Columns[],8,0)=0,"","-&gt;"&amp;VLOOKUP(TableFields[Field],Columns[],8,0))</f>
        <v/>
      </c>
      <c r="J29" s="63" t="str">
        <f>IF(VLOOKUP(TableFields[Field],Columns[],9,0)=0,"","-&gt;"&amp;VLOOKUP(TableFields[Field],Columns[],9,0))</f>
        <v/>
      </c>
      <c r="K29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$table-&gt;bigInteger('attachment1')-&gt;nullable();</v>
      </c>
    </row>
    <row r="30" spans="1:11" x14ac:dyDescent="0.25">
      <c r="A30" s="63" t="s">
        <v>805</v>
      </c>
      <c r="B30" s="63" t="s">
        <v>839</v>
      </c>
      <c r="C30" s="63" t="str">
        <f>VLOOKUP(TableFields[Field],Columns[],2,0)&amp;"("</f>
        <v>bigInteger(</v>
      </c>
      <c r="D30" s="63" t="str">
        <f>IF(VLOOKUP(TableFields[Field],Columns[],3,0)&lt;&gt;"","'"&amp;VLOOKUP(TableFields[Field],Columns[],3,0)&amp;"'","")</f>
        <v>'attachment2'</v>
      </c>
      <c r="E30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" s="63" t="str">
        <f>IF(VLOOKUP(TableFields[Field],Columns[],5,0)=0,"","-&gt;"&amp;VLOOKUP(TableFields[Field],Columns[],5,0))</f>
        <v>-&gt;nullable()</v>
      </c>
      <c r="G30" s="63" t="str">
        <f>IF(VLOOKUP(TableFields[Field],Columns[],6,0)=0,"","-&gt;"&amp;VLOOKUP(TableFields[Field],Columns[],6,0))</f>
        <v/>
      </c>
      <c r="H30" s="63" t="str">
        <f>IF(VLOOKUP(TableFields[Field],Columns[],7,0)=0,"","-&gt;"&amp;VLOOKUP(TableFields[Field],Columns[],7,0))</f>
        <v/>
      </c>
      <c r="I30" s="63" t="str">
        <f>IF(VLOOKUP(TableFields[Field],Columns[],8,0)=0,"","-&gt;"&amp;VLOOKUP(TableFields[Field],Columns[],8,0))</f>
        <v/>
      </c>
      <c r="J30" s="63" t="str">
        <f>IF(VLOOKUP(TableFields[Field],Columns[],9,0)=0,"","-&gt;"&amp;VLOOKUP(TableFields[Field],Columns[],9,0))</f>
        <v/>
      </c>
      <c r="K30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$table-&gt;bigInteger('attachment2')-&gt;nullable();</v>
      </c>
    </row>
    <row r="31" spans="1:11" x14ac:dyDescent="0.25">
      <c r="A31" s="63" t="s">
        <v>805</v>
      </c>
      <c r="B31" s="63" t="s">
        <v>840</v>
      </c>
      <c r="C31" s="63" t="str">
        <f>VLOOKUP(TableFields[Field],Columns[],2,0)&amp;"("</f>
        <v>bigInteger(</v>
      </c>
      <c r="D31" s="63" t="str">
        <f>IF(VLOOKUP(TableFields[Field],Columns[],3,0)&lt;&gt;"","'"&amp;VLOOKUP(TableFields[Field],Columns[],3,0)&amp;"'","")</f>
        <v>'attachment3'</v>
      </c>
      <c r="E31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" s="63" t="str">
        <f>IF(VLOOKUP(TableFields[Field],Columns[],5,0)=0,"","-&gt;"&amp;VLOOKUP(TableFields[Field],Columns[],5,0))</f>
        <v>-&gt;nullable()</v>
      </c>
      <c r="G31" s="63" t="str">
        <f>IF(VLOOKUP(TableFields[Field],Columns[],6,0)=0,"","-&gt;"&amp;VLOOKUP(TableFields[Field],Columns[],6,0))</f>
        <v/>
      </c>
      <c r="H31" s="63" t="str">
        <f>IF(VLOOKUP(TableFields[Field],Columns[],7,0)=0,"","-&gt;"&amp;VLOOKUP(TableFields[Field],Columns[],7,0))</f>
        <v/>
      </c>
      <c r="I31" s="63" t="str">
        <f>IF(VLOOKUP(TableFields[Field],Columns[],8,0)=0,"","-&gt;"&amp;VLOOKUP(TableFields[Field],Columns[],8,0))</f>
        <v/>
      </c>
      <c r="J31" s="63" t="str">
        <f>IF(VLOOKUP(TableFields[Field],Columns[],9,0)=0,"","-&gt;"&amp;VLOOKUP(TableFields[Field],Columns[],9,0))</f>
        <v/>
      </c>
      <c r="K31" s="63" t="str">
        <f>"$table-&gt;"&amp;TableFields[Type]&amp;TableFields[Name]&amp;TableFields[Arg2]&amp;TableFields[Method1]&amp;TableFields[Method2]&amp;TableFields[Method3]&amp;TableFields[Method4]&amp;TableFields[Method5]&amp;";"</f>
        <v>$table-&gt;bigInteger('attachment3')-&gt;nullable();</v>
      </c>
    </row>
    <row r="32" spans="1:11" s="20" customFormat="1" x14ac:dyDescent="0.25">
      <c r="A32" s="63" t="s">
        <v>805</v>
      </c>
      <c r="B32" s="63" t="s">
        <v>1124</v>
      </c>
      <c r="C32" s="63" t="str">
        <f>VLOOKUP(TableFields[Field],Columns[],2,0)&amp;"("</f>
        <v>foreignNullable(</v>
      </c>
      <c r="D32" s="63" t="str">
        <f>IF(VLOOKUP(TableFields[Field],Columns[],3,0)&lt;&gt;"","'"&amp;VLOOKUP(TableFields[Field],Columns[],3,0)&amp;"'","")</f>
        <v>'category'</v>
      </c>
      <c r="E32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'categories')</v>
      </c>
      <c r="F32" s="63" t="str">
        <f>IF(VLOOKUP(TableFields[Field],Columns[],5,0)=0,"","-&gt;"&amp;VLOOKUP(TableFields[Field],Columns[],5,0))</f>
        <v/>
      </c>
      <c r="G32" s="63" t="str">
        <f>IF(VLOOKUP(TableFields[Field],Columns[],6,0)=0,"","-&gt;"&amp;VLOOKUP(TableFields[Field],Columns[],6,0))</f>
        <v/>
      </c>
      <c r="H32" s="63" t="str">
        <f>IF(VLOOKUP(TableFields[Field],Columns[],7,0)=0,"","-&gt;"&amp;VLOOKUP(TableFields[Field],Columns[],7,0))</f>
        <v/>
      </c>
      <c r="I32" s="63" t="str">
        <f>IF(VLOOKUP(TableFields[Field],Columns[],8,0)=0,"","-&gt;"&amp;VLOOKUP(TableFields[Field],Columns[],8,0))</f>
        <v/>
      </c>
      <c r="J32" s="63" t="str">
        <f>IF(VLOOKUP(TableFields[Field],Columns[],9,0)=0,"","-&gt;"&amp;VLOOKUP(TableFields[Field],Columns[],9,0))</f>
        <v/>
      </c>
      <c r="K32" s="63" t="str">
        <f>"$table-&gt;"&amp;TableFields[Type]&amp;TableFields[Name]&amp;TableFields[Arg2]&amp;TableFields[Method1]&amp;TableFields[Method2]&amp;TableFields[Method3]&amp;TableFields[Method4]&amp;TableFields[Method5]&amp;";"</f>
        <v>$table-&gt;foreignNullable('category', 'categories');</v>
      </c>
    </row>
    <row r="33" spans="1:11" x14ac:dyDescent="0.25">
      <c r="A33" s="63" t="s">
        <v>805</v>
      </c>
      <c r="B33" s="63" t="s">
        <v>823</v>
      </c>
      <c r="C33" s="63" t="str">
        <f>VLOOKUP(TableFields[Field],Columns[],2,0)&amp;"("</f>
        <v>enum(</v>
      </c>
      <c r="D33" s="63" t="str">
        <f>IF(VLOOKUP(TableFields[Field],Columns[],3,0)&lt;&gt;"","'"&amp;VLOOKUP(TableFields[Field],Columns[],3,0)&amp;"'","")</f>
        <v>'progress'</v>
      </c>
      <c r="E33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['New','Dismissed','Returned','Completed'])</v>
      </c>
      <c r="F33" s="63" t="str">
        <f>IF(VLOOKUP(TableFields[Field],Columns[],5,0)=0,"","-&gt;"&amp;VLOOKUP(TableFields[Field],Columns[],5,0))</f>
        <v>-&gt;nullable()</v>
      </c>
      <c r="G33" s="63" t="str">
        <f>IF(VLOOKUP(TableFields[Field],Columns[],6,0)=0,"","-&gt;"&amp;VLOOKUP(TableFields[Field],Columns[],6,0))</f>
        <v>-&gt;default('New')</v>
      </c>
      <c r="H33" s="63" t="str">
        <f>IF(VLOOKUP(TableFields[Field],Columns[],7,0)=0,"","-&gt;"&amp;VLOOKUP(TableFields[Field],Columns[],7,0))</f>
        <v/>
      </c>
      <c r="I33" s="63" t="str">
        <f>IF(VLOOKUP(TableFields[Field],Columns[],8,0)=0,"","-&gt;"&amp;VLOOKUP(TableFields[Field],Columns[],8,0))</f>
        <v/>
      </c>
      <c r="J33" s="63" t="str">
        <f>IF(VLOOKUP(TableFields[Field],Columns[],9,0)=0,"","-&gt;"&amp;VLOOKUP(TableFields[Field],Columns[],9,0))</f>
        <v/>
      </c>
      <c r="K33" s="63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['New','Dismissed','Returned','Completed'])-&gt;nullable()-&gt;default('New');</v>
      </c>
    </row>
    <row r="34" spans="1:11" x14ac:dyDescent="0.25">
      <c r="A34" s="63" t="s">
        <v>805</v>
      </c>
      <c r="B34" s="63" t="s">
        <v>288</v>
      </c>
      <c r="C34" s="63" t="str">
        <f>VLOOKUP(TableFields[Field],Columns[],2,0)&amp;"("</f>
        <v>audit(</v>
      </c>
      <c r="D34" s="63" t="str">
        <f>IF(VLOOKUP(TableFields[Field],Columns[],3,0)&lt;&gt;"","'"&amp;VLOOKUP(TableFields[Field],Columns[],3,0)&amp;"'","")</f>
        <v/>
      </c>
      <c r="E34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" s="63" t="str">
        <f>IF(VLOOKUP(TableFields[Field],Columns[],5,0)=0,"","-&gt;"&amp;VLOOKUP(TableFields[Field],Columns[],5,0))</f>
        <v/>
      </c>
      <c r="G34" s="63" t="str">
        <f>IF(VLOOKUP(TableFields[Field],Columns[],6,0)=0,"","-&gt;"&amp;VLOOKUP(TableFields[Field],Columns[],6,0))</f>
        <v/>
      </c>
      <c r="H34" s="63" t="str">
        <f>IF(VLOOKUP(TableFields[Field],Columns[],7,0)=0,"","-&gt;"&amp;VLOOKUP(TableFields[Field],Columns[],7,0))</f>
        <v/>
      </c>
      <c r="I34" s="63" t="str">
        <f>IF(VLOOKUP(TableFields[Field],Columns[],8,0)=0,"","-&gt;"&amp;VLOOKUP(TableFields[Field],Columns[],8,0))</f>
        <v/>
      </c>
      <c r="J34" s="63" t="str">
        <f>IF(VLOOKUP(TableFields[Field],Columns[],9,0)=0,"","-&gt;"&amp;VLOOKUP(TableFields[Field],Columns[],9,0))</f>
        <v/>
      </c>
      <c r="K34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" spans="1:11" s="20" customFormat="1" x14ac:dyDescent="0.25">
      <c r="A35" s="63" t="s">
        <v>1123</v>
      </c>
      <c r="B35" s="63" t="s">
        <v>21</v>
      </c>
      <c r="C35" s="63" t="str">
        <f>VLOOKUP(TableFields[Field],Columns[],2,0)&amp;"("</f>
        <v>bigIncrements(</v>
      </c>
      <c r="D35" s="63" t="str">
        <f>IF(VLOOKUP(TableFields[Field],Columns[],3,0)&lt;&gt;"","'"&amp;VLOOKUP(TableFields[Field],Columns[],3,0)&amp;"'","")</f>
        <v>'id'</v>
      </c>
      <c r="E35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" s="63" t="str">
        <f>IF(VLOOKUP(TableFields[Field],Columns[],5,0)=0,"","-&gt;"&amp;VLOOKUP(TableFields[Field],Columns[],5,0))</f>
        <v/>
      </c>
      <c r="G35" s="63" t="str">
        <f>IF(VLOOKUP(TableFields[Field],Columns[],6,0)=0,"","-&gt;"&amp;VLOOKUP(TableFields[Field],Columns[],6,0))</f>
        <v/>
      </c>
      <c r="H35" s="63" t="str">
        <f>IF(VLOOKUP(TableFields[Field],Columns[],7,0)=0,"","-&gt;"&amp;VLOOKUP(TableFields[Field],Columns[],7,0))</f>
        <v/>
      </c>
      <c r="I35" s="63" t="str">
        <f>IF(VLOOKUP(TableFields[Field],Columns[],8,0)=0,"","-&gt;"&amp;VLOOKUP(TableFields[Field],Columns[],8,0))</f>
        <v/>
      </c>
      <c r="J35" s="63" t="str">
        <f>IF(VLOOKUP(TableFields[Field],Columns[],9,0)=0,"","-&gt;"&amp;VLOOKUP(TableFields[Field],Columns[],9,0))</f>
        <v/>
      </c>
      <c r="K35" s="63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6" spans="1:11" x14ac:dyDescent="0.25">
      <c r="A36" s="63" t="s">
        <v>1123</v>
      </c>
      <c r="B36" s="63" t="s">
        <v>23</v>
      </c>
      <c r="C36" s="63" t="str">
        <f>VLOOKUP(TableFields[Field],Columns[],2,0)&amp;"("</f>
        <v>string(</v>
      </c>
      <c r="D36" s="63" t="str">
        <f>IF(VLOOKUP(TableFields[Field],Columns[],3,0)&lt;&gt;"","'"&amp;VLOOKUP(TableFields[Field],Columns[],3,0)&amp;"'","")</f>
        <v>'name'</v>
      </c>
      <c r="E36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36" s="63" t="str">
        <f>IF(VLOOKUP(TableFields[Field],Columns[],5,0)=0,"","-&gt;"&amp;VLOOKUP(TableFields[Field],Columns[],5,0))</f>
        <v>-&gt;index()</v>
      </c>
      <c r="G36" s="63" t="str">
        <f>IF(VLOOKUP(TableFields[Field],Columns[],6,0)=0,"","-&gt;"&amp;VLOOKUP(TableFields[Field],Columns[],6,0))</f>
        <v>-&gt;nullable()</v>
      </c>
      <c r="H36" s="63" t="str">
        <f>IF(VLOOKUP(TableFields[Field],Columns[],7,0)=0,"","-&gt;"&amp;VLOOKUP(TableFields[Field],Columns[],7,0))</f>
        <v/>
      </c>
      <c r="I36" s="63" t="str">
        <f>IF(VLOOKUP(TableFields[Field],Columns[],8,0)=0,"","-&gt;"&amp;VLOOKUP(TableFields[Field],Columns[],8,0))</f>
        <v/>
      </c>
      <c r="J36" s="63" t="str">
        <f>IF(VLOOKUP(TableFields[Field],Columns[],9,0)=0,"","-&gt;"&amp;VLOOKUP(TableFields[Field],Columns[],9,0))</f>
        <v/>
      </c>
      <c r="K36" s="63" t="str">
        <f>"$table-&gt;"&amp;TableFields[Type]&amp;TableFields[Name]&amp;TableFields[Arg2]&amp;TableFields[Method1]&amp;TableFields[Method2]&amp;TableFields[Method3]&amp;TableFields[Method4]&amp;TableFields[Method5]&amp;";"</f>
        <v>$table-&gt;string('name', '128')-&gt;index()-&gt;nullable();</v>
      </c>
    </row>
    <row r="37" spans="1:11" x14ac:dyDescent="0.25">
      <c r="A37" s="63" t="s">
        <v>1123</v>
      </c>
      <c r="B37" s="63" t="s">
        <v>809</v>
      </c>
      <c r="C37" s="63" t="str">
        <f>VLOOKUP(TableFields[Field],Columns[],2,0)&amp;"("</f>
        <v>enum(</v>
      </c>
      <c r="D37" s="63" t="str">
        <f>IF(VLOOKUP(TableFields[Field],Columns[],3,0)&lt;&gt;"","'"&amp;VLOOKUP(TableFields[Field],Columns[],3,0)&amp;"'","")</f>
        <v>'status'</v>
      </c>
      <c r="E37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" s="63" t="str">
        <f>IF(VLOOKUP(TableFields[Field],Columns[],5,0)=0,"","-&gt;"&amp;VLOOKUP(TableFields[Field],Columns[],5,0))</f>
        <v>-&gt;nullable()</v>
      </c>
      <c r="G37" s="63" t="str">
        <f>IF(VLOOKUP(TableFields[Field],Columns[],6,0)=0,"","-&gt;"&amp;VLOOKUP(TableFields[Field],Columns[],6,0))</f>
        <v>-&gt;default('Active')</v>
      </c>
      <c r="H37" s="63" t="str">
        <f>IF(VLOOKUP(TableFields[Field],Columns[],7,0)=0,"","-&gt;"&amp;VLOOKUP(TableFields[Field],Columns[],7,0))</f>
        <v/>
      </c>
      <c r="I37" s="63" t="str">
        <f>IF(VLOOKUP(TableFields[Field],Columns[],8,0)=0,"","-&gt;"&amp;VLOOKUP(TableFields[Field],Columns[],8,0))</f>
        <v/>
      </c>
      <c r="J37" s="63" t="str">
        <f>IF(VLOOKUP(TableFields[Field],Columns[],9,0)=0,"","-&gt;"&amp;VLOOKUP(TableFields[Field],Columns[],9,0))</f>
        <v/>
      </c>
      <c r="K37" s="63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8" spans="1:11" x14ac:dyDescent="0.25">
      <c r="A38" s="63" t="s">
        <v>1123</v>
      </c>
      <c r="B38" s="63" t="s">
        <v>288</v>
      </c>
      <c r="C38" s="63" t="str">
        <f>VLOOKUP(TableFields[Field],Columns[],2,0)&amp;"("</f>
        <v>audit(</v>
      </c>
      <c r="D38" s="63" t="str">
        <f>IF(VLOOKUP(TableFields[Field],Columns[],3,0)&lt;&gt;"","'"&amp;VLOOKUP(TableFields[Field],Columns[],3,0)&amp;"'","")</f>
        <v/>
      </c>
      <c r="E38" s="62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" s="63" t="str">
        <f>IF(VLOOKUP(TableFields[Field],Columns[],5,0)=0,"","-&gt;"&amp;VLOOKUP(TableFields[Field],Columns[],5,0))</f>
        <v/>
      </c>
      <c r="G38" s="63" t="str">
        <f>IF(VLOOKUP(TableFields[Field],Columns[],6,0)=0,"","-&gt;"&amp;VLOOKUP(TableFields[Field],Columns[],6,0))</f>
        <v/>
      </c>
      <c r="H38" s="63" t="str">
        <f>IF(VLOOKUP(TableFields[Field],Columns[],7,0)=0,"","-&gt;"&amp;VLOOKUP(TableFields[Field],Columns[],7,0))</f>
        <v/>
      </c>
      <c r="I38" s="63" t="str">
        <f>IF(VLOOKUP(TableFields[Field],Columns[],8,0)=0,"","-&gt;"&amp;VLOOKUP(TableFields[Field],Columns[],8,0))</f>
        <v/>
      </c>
      <c r="J38" s="63" t="str">
        <f>IF(VLOOKUP(TableFields[Field],Columns[],9,0)=0,"","-&gt;"&amp;VLOOKUP(TableFields[Field],Columns[],9,0))</f>
        <v/>
      </c>
      <c r="K38" s="63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64" spans="1:11" s="20" customFormat="1" x14ac:dyDescent="0.25">
      <c r="A64"/>
      <c r="B64"/>
      <c r="C64"/>
      <c r="D64"/>
      <c r="E64"/>
      <c r="F64"/>
      <c r="G64"/>
      <c r="H64"/>
      <c r="I64"/>
      <c r="J64"/>
      <c r="K64"/>
    </row>
    <row r="309" spans="1:11" s="20" customFormat="1" x14ac:dyDescent="0.25">
      <c r="A309"/>
      <c r="B309"/>
      <c r="C309"/>
      <c r="D309"/>
      <c r="E309"/>
      <c r="F309"/>
      <c r="G309"/>
      <c r="H309"/>
      <c r="I309"/>
      <c r="J309"/>
      <c r="K309"/>
    </row>
    <row r="335" spans="1:11" s="20" customFormat="1" x14ac:dyDescent="0.25">
      <c r="A335"/>
      <c r="B335"/>
      <c r="C335"/>
      <c r="D335"/>
      <c r="E335"/>
      <c r="F335"/>
      <c r="G335"/>
      <c r="H335"/>
      <c r="I335"/>
      <c r="J335"/>
      <c r="K335"/>
    </row>
    <row r="336" spans="1:11" s="20" customFormat="1" x14ac:dyDescent="0.25">
      <c r="A336"/>
      <c r="B336"/>
      <c r="C336"/>
      <c r="D336"/>
      <c r="E336"/>
      <c r="F336"/>
      <c r="G336"/>
      <c r="H336"/>
      <c r="I336"/>
      <c r="J336"/>
      <c r="K336"/>
    </row>
    <row r="342" spans="1:11" s="20" customFormat="1" x14ac:dyDescent="0.25">
      <c r="A342"/>
      <c r="B342"/>
      <c r="C342"/>
      <c r="D342"/>
      <c r="E342"/>
      <c r="F342"/>
      <c r="G342"/>
      <c r="H342"/>
      <c r="I342"/>
      <c r="J342"/>
      <c r="K342"/>
    </row>
    <row r="350" spans="1:11" s="20" customFormat="1" x14ac:dyDescent="0.25">
      <c r="A350"/>
      <c r="B350"/>
      <c r="C350"/>
      <c r="D350"/>
      <c r="E350"/>
      <c r="F350"/>
      <c r="G350"/>
      <c r="H350"/>
      <c r="I350"/>
      <c r="J350"/>
      <c r="K350"/>
    </row>
    <row r="363" spans="1:11" s="20" customFormat="1" x14ac:dyDescent="0.25">
      <c r="A363"/>
      <c r="B363"/>
      <c r="C363"/>
      <c r="D363"/>
      <c r="E363"/>
      <c r="F363"/>
      <c r="G363"/>
      <c r="H363"/>
      <c r="I363"/>
      <c r="J363"/>
      <c r="K363"/>
    </row>
  </sheetData>
  <dataConsolidate/>
  <dataValidations count="2">
    <dataValidation type="list" allowBlank="1" showInputMessage="1" showErrorMessage="1" sqref="B2:B38">
      <formula1>AvailableFields</formula1>
    </dataValidation>
    <dataValidation type="list" allowBlank="1" showInputMessage="1" showErrorMessage="1" sqref="A2:A38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B1" workbookViewId="0">
      <selection activeCell="F21" sqref="F21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customWidth="1"/>
    <col min="4" max="6" width="32.5703125" customWidth="1"/>
    <col min="7" max="7" width="38.28515625" customWidth="1"/>
    <col min="8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hidden="1" x14ac:dyDescent="0.25">
      <c r="A2" s="60" t="str">
        <f>TableData[Table Name]&amp;"-"&amp;(COUNTIF($B$1:TableData[[#This Row],[Table Name]],TableData[[#This Row],[Table Name]])-1)</f>
        <v>Groups-0</v>
      </c>
      <c r="B2" s="65" t="s">
        <v>76</v>
      </c>
      <c r="C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65" t="s">
        <v>23</v>
      </c>
      <c r="E2" s="65" t="s">
        <v>24</v>
      </c>
      <c r="F2" s="65" t="s">
        <v>25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</row>
    <row r="3" spans="1:18" hidden="1" x14ac:dyDescent="0.25">
      <c r="A3" s="60" t="str">
        <f>TableData[Table Name]&amp;"-"&amp;(COUNTIF($B$1:TableData[[#This Row],[Table Name]],TableData[[#This Row],[Table Name]])-1)</f>
        <v>Roles-0</v>
      </c>
      <c r="B3" s="65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" s="65" t="s">
        <v>23</v>
      </c>
      <c r="E3" s="65" t="s">
        <v>24</v>
      </c>
      <c r="F3" s="65" t="s">
        <v>25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</row>
    <row r="4" spans="1:18" hidden="1" x14ac:dyDescent="0.25">
      <c r="A4" s="60" t="str">
        <f>TableData[Table Name]&amp;"-"&amp;(COUNTIF($B$1:TableData[[#This Row],[Table Name]],TableData[[#This Row],[Table Name]])-1)</f>
        <v>Group Roles-0</v>
      </c>
      <c r="B4" s="65" t="s">
        <v>93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" s="65" t="s">
        <v>63</v>
      </c>
      <c r="E4" s="65" t="s">
        <v>65</v>
      </c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</row>
    <row r="5" spans="1:18" hidden="1" x14ac:dyDescent="0.25">
      <c r="A5" s="60" t="str">
        <f>TableData[Table Name]&amp;"-"&amp;(COUNTIF($B$1:TableData[[#This Row],[Table Name]],TableData[[#This Row],[Table Name]])-1)</f>
        <v>Users-0</v>
      </c>
      <c r="B5" s="65" t="s">
        <v>78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" s="65" t="s">
        <v>23</v>
      </c>
      <c r="E5" s="65" t="s">
        <v>854</v>
      </c>
      <c r="F5" s="65" t="s">
        <v>855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idden="1" x14ac:dyDescent="0.25">
      <c r="A6" s="60" t="str">
        <f>TableData[Table Name]&amp;"-"&amp;(COUNTIF($B$1:TableData[[#This Row],[Table Name]],TableData[[#This Row],[Table Name]])-1)</f>
        <v>Group Users-0</v>
      </c>
      <c r="B6" s="65" t="s">
        <v>798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5" t="s">
        <v>63</v>
      </c>
      <c r="E6" s="65" t="s">
        <v>64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</row>
    <row r="7" spans="1:18" x14ac:dyDescent="0.25">
      <c r="A7" s="60" t="str">
        <f>TableData[Table Name]&amp;"-"&amp;(COUNTIF($B$1:TableData[[#This Row],[Table Name]],TableData[[#This Row],[Table Name]])-1)</f>
        <v>Resource Roles-0</v>
      </c>
      <c r="B7" s="65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7" s="65" t="s">
        <v>22</v>
      </c>
      <c r="E7" s="65" t="s">
        <v>65</v>
      </c>
      <c r="F7" s="65" t="s">
        <v>856</v>
      </c>
      <c r="G7" s="65" t="s">
        <v>857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</row>
    <row r="8" spans="1:18" hidden="1" x14ac:dyDescent="0.25">
      <c r="A8" s="60" t="str">
        <f>TableData[Table Name]&amp;"-"&amp;(COUNTIF($B$1:TableData[[#This Row],[Table Name]],TableData[[#This Row],[Table Name]])-1)</f>
        <v>Groups-1</v>
      </c>
      <c r="B8" s="65" t="s">
        <v>76</v>
      </c>
      <c r="C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800101</v>
      </c>
      <c r="D8" s="65" t="s">
        <v>865</v>
      </c>
      <c r="E8" s="65" t="s">
        <v>861</v>
      </c>
      <c r="F8" s="65" t="s">
        <v>866</v>
      </c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hidden="1" x14ac:dyDescent="0.25">
      <c r="A9" s="60" t="str">
        <f>TableData[Table Name]&amp;"-"&amp;(COUNTIF($B$1:TableData[[#This Row],[Table Name]],TableData[[#This Row],[Table Name]])-1)</f>
        <v>Groups-2</v>
      </c>
      <c r="B9" s="65" t="s">
        <v>76</v>
      </c>
      <c r="C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800102</v>
      </c>
      <c r="D9" s="65" t="s">
        <v>803</v>
      </c>
      <c r="E9" s="65" t="s">
        <v>862</v>
      </c>
      <c r="F9" s="65" t="s">
        <v>852</v>
      </c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</row>
    <row r="10" spans="1:18" hidden="1" x14ac:dyDescent="0.25">
      <c r="A10" s="60" t="str">
        <f>TableData[Table Name]&amp;"-"&amp;(COUNTIF($B$1:TableData[[#This Row],[Table Name]],TableData[[#This Row],[Table Name]])-1)</f>
        <v>Roles-1</v>
      </c>
      <c r="B10" s="65" t="s">
        <v>79</v>
      </c>
      <c r="C1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800301</v>
      </c>
      <c r="D10" s="65" t="s">
        <v>860</v>
      </c>
      <c r="E10" s="65" t="s">
        <v>861</v>
      </c>
      <c r="F10" s="65" t="s">
        <v>859</v>
      </c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</row>
    <row r="11" spans="1:18" hidden="1" x14ac:dyDescent="0.25">
      <c r="A11" s="60" t="str">
        <f>TableData[Table Name]&amp;"-"&amp;(COUNTIF($B$1:TableData[[#This Row],[Table Name]],TableData[[#This Row],[Table Name]])-1)</f>
        <v>Roles-2</v>
      </c>
      <c r="B11" s="65" t="s">
        <v>79</v>
      </c>
      <c r="C1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800302</v>
      </c>
      <c r="D11" s="65" t="s">
        <v>814</v>
      </c>
      <c r="E11" s="65" t="s">
        <v>862</v>
      </c>
      <c r="F11" s="65" t="s">
        <v>843</v>
      </c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</row>
    <row r="12" spans="1:18" hidden="1" x14ac:dyDescent="0.25">
      <c r="A12" s="60" t="str">
        <f>TableData[Table Name]&amp;"-"&amp;(COUNTIF($B$1:TableData[[#This Row],[Table Name]],TableData[[#This Row],[Table Name]])-1)</f>
        <v>Group Roles-1</v>
      </c>
      <c r="B12" s="65" t="s">
        <v>93</v>
      </c>
      <c r="C1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800401</v>
      </c>
      <c r="D12" s="65">
        <v>800101</v>
      </c>
      <c r="E12" s="65">
        <v>800301</v>
      </c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1:18" hidden="1" x14ac:dyDescent="0.25">
      <c r="A13" s="60" t="str">
        <f>TableData[Table Name]&amp;"-"&amp;(COUNTIF($B$1:TableData[[#This Row],[Table Name]],TableData[[#This Row],[Table Name]])-1)</f>
        <v>Group Roles-2</v>
      </c>
      <c r="B13" s="65" t="s">
        <v>93</v>
      </c>
      <c r="C1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800402</v>
      </c>
      <c r="D13" s="65">
        <v>800102</v>
      </c>
      <c r="E13" s="65">
        <v>800302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r="14" spans="1:18" x14ac:dyDescent="0.25">
      <c r="A14" s="60" t="str">
        <f>TableData[Table Name]&amp;"-"&amp;(COUNTIF($B$1:TableData[[#This Row],[Table Name]],TableData[[#This Row],[Table Name]])-1)</f>
        <v>Resource Roles-1</v>
      </c>
      <c r="B14" s="65" t="s">
        <v>94</v>
      </c>
      <c r="C1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800601</v>
      </c>
      <c r="D14" s="65">
        <v>800501</v>
      </c>
      <c r="E14" s="65">
        <v>800301</v>
      </c>
      <c r="F14" s="65" t="s">
        <v>863</v>
      </c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r="15" spans="1:18" x14ac:dyDescent="0.25">
      <c r="A15" s="60" t="str">
        <f>TableData[Table Name]&amp;"-"&amp;(COUNTIF($B$1:TableData[[#This Row],[Table Name]],TableData[[#This Row],[Table Name]])-1)</f>
        <v>Resource Roles-2</v>
      </c>
      <c r="B15" s="65" t="s">
        <v>94</v>
      </c>
      <c r="C1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800602</v>
      </c>
      <c r="D15" s="65">
        <v>800502</v>
      </c>
      <c r="E15" s="65">
        <v>800301</v>
      </c>
      <c r="F15" s="65" t="s">
        <v>863</v>
      </c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</row>
    <row r="16" spans="1:18" x14ac:dyDescent="0.25">
      <c r="A16" s="60" t="str">
        <f>TableData[Table Name]&amp;"-"&amp;(COUNTIF($B$1:TableData[[#This Row],[Table Name]],TableData[[#This Row],[Table Name]])-1)</f>
        <v>Resource Roles-3</v>
      </c>
      <c r="B16" s="65" t="s">
        <v>94</v>
      </c>
      <c r="C1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800603</v>
      </c>
      <c r="D16" s="65">
        <v>800503</v>
      </c>
      <c r="E16" s="65">
        <v>800301</v>
      </c>
      <c r="F16" s="65" t="s">
        <v>863</v>
      </c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</row>
    <row r="17" spans="1:18" x14ac:dyDescent="0.25">
      <c r="A17" s="60" t="str">
        <f>TableData[Table Name]&amp;"-"&amp;(COUNTIF($B$1:TableData[[#This Row],[Table Name]],TableData[[#This Row],[Table Name]])-1)</f>
        <v>Resource Roles-4</v>
      </c>
      <c r="B17" s="65" t="s">
        <v>94</v>
      </c>
      <c r="C1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800604</v>
      </c>
      <c r="D17" s="65">
        <v>800504</v>
      </c>
      <c r="E17" s="65">
        <v>800302</v>
      </c>
      <c r="F17" s="65" t="s">
        <v>863</v>
      </c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</row>
    <row r="18" spans="1:18" x14ac:dyDescent="0.25">
      <c r="A18" s="60" t="str">
        <f>TableData[Table Name]&amp;"-"&amp;(COUNTIF($B$1:TableData[[#This Row],[Table Name]],TableData[[#This Row],[Table Name]])-1)</f>
        <v>Resource Roles-5</v>
      </c>
      <c r="B18" s="65" t="s">
        <v>94</v>
      </c>
      <c r="C1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800605</v>
      </c>
      <c r="D18" s="65">
        <v>800505</v>
      </c>
      <c r="E18" s="65">
        <v>800301</v>
      </c>
      <c r="F18" s="65" t="s">
        <v>863</v>
      </c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</row>
    <row r="19" spans="1:18" x14ac:dyDescent="0.25">
      <c r="A19" s="60" t="str">
        <f>TableData[Table Name]&amp;"-"&amp;(COUNTIF($B$1:TableData[[#This Row],[Table Name]],TableData[[#This Row],[Table Name]])-1)</f>
        <v>Resource Roles-6</v>
      </c>
      <c r="B19" s="65" t="s">
        <v>94</v>
      </c>
      <c r="C1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800606</v>
      </c>
      <c r="D19" s="65">
        <v>800506</v>
      </c>
      <c r="E19" s="65">
        <v>800301</v>
      </c>
      <c r="F19" s="65" t="s">
        <v>863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</row>
    <row r="20" spans="1:18" x14ac:dyDescent="0.25">
      <c r="A20" s="60" t="str">
        <f>TableData[Table Name]&amp;"-"&amp;(COUNTIF($B$1:TableData[[#This Row],[Table Name]],TableData[[#This Row],[Table Name]])-1)</f>
        <v>Resource Roles-7</v>
      </c>
      <c r="B20" s="65" t="s">
        <v>94</v>
      </c>
      <c r="C2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800607</v>
      </c>
      <c r="D20" s="65">
        <v>800507</v>
      </c>
      <c r="E20" s="65">
        <v>800302</v>
      </c>
      <c r="F20" s="65" t="s">
        <v>1199</v>
      </c>
      <c r="G20" s="85" t="s">
        <v>1200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</row>
    <row r="21" spans="1:18" x14ac:dyDescent="0.25">
      <c r="A21" s="60" t="str">
        <f>TableData[Table Name]&amp;"-"&amp;(COUNTIF($B$1:TableData[[#This Row],[Table Name]],TableData[[#This Row],[Table Name]])-1)</f>
        <v>Resource Roles-8</v>
      </c>
      <c r="B21" s="65" t="s">
        <v>94</v>
      </c>
      <c r="C2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800608</v>
      </c>
      <c r="D21" s="65">
        <v>800507</v>
      </c>
      <c r="E21" s="65">
        <v>800301</v>
      </c>
      <c r="F21" s="65" t="s">
        <v>1189</v>
      </c>
      <c r="G21" s="86" t="s">
        <v>1282</v>
      </c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</row>
    <row r="22" spans="1:18" x14ac:dyDescent="0.25">
      <c r="A22" s="15" t="str">
        <f>TableData[Table Name]&amp;"-"&amp;(COUNTIF($B$1:TableData[[#This Row],[Table Name]],TableData[[#This Row],[Table Name]])-1)</f>
        <v>Resource Roles-9</v>
      </c>
      <c r="B22" s="13" t="s">
        <v>94</v>
      </c>
      <c r="C2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800609</v>
      </c>
      <c r="D22" s="13">
        <v>800508</v>
      </c>
      <c r="E22" s="13">
        <v>800302</v>
      </c>
      <c r="F22" s="13" t="s">
        <v>863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x14ac:dyDescent="0.25">
      <c r="A23" s="60" t="str">
        <f>TableData[Table Name]&amp;"-"&amp;(COUNTIF($B$1:TableData[[#This Row],[Table Name]],TableData[[#This Row],[Table Name]])-1)</f>
        <v>Resource Roles-10</v>
      </c>
      <c r="B23" s="65" t="s">
        <v>94</v>
      </c>
      <c r="C2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800610</v>
      </c>
      <c r="D23" s="13">
        <v>800508</v>
      </c>
      <c r="E23" s="65">
        <v>800301</v>
      </c>
      <c r="F23" s="13" t="s">
        <v>863</v>
      </c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28" workbookViewId="0">
      <selection activeCell="I34" sqref="I34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2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797</v>
      </c>
      <c r="L1" t="s">
        <v>864</v>
      </c>
    </row>
    <row r="2" spans="1:12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795</v>
      </c>
      <c r="I2" s="11">
        <v>800000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AUTO_INCREMENT=800001');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users WHERE id &gt; 800000');</v>
      </c>
      <c r="L2" s="63" t="str">
        <f>IF(SeedMap[[#This Row],[Query Method]]="truncate","","\DB::statement('ALTER TABLE `" &amp;VLOOKUP(SeedMap[[#This Row],[Table Name]],Tables[[Name]:[Table]],2,0) &amp; "` AUTO_INCREMENT=1');")</f>
        <v>\DB::statement('ALTER TABLE `users` AUTO_INCREMENT=1');</v>
      </c>
    </row>
    <row r="3" spans="1:12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795</v>
      </c>
      <c r="I3" s="11">
        <v>800100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AUTO_INCREMENT=800101');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__groups WHERE id &gt; 800100');</v>
      </c>
      <c r="L3" s="63" t="str">
        <f>IF(SeedMap[[#This Row],[Query Method]]="truncate","","\DB::statement('ALTER TABLE `" &amp;VLOOKUP(SeedMap[[#This Row],[Table Name]],Tables[[Name]:[Table]],2,0) &amp; "` AUTO_INCREMENT=1');")</f>
        <v>\DB::statement('ALTER TABLE `__groups` AUTO_INCREMENT=1');</v>
      </c>
    </row>
    <row r="4" spans="1:12" x14ac:dyDescent="0.25">
      <c r="A4" s="5" t="s">
        <v>798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795</v>
      </c>
      <c r="I4" s="11">
        <v>800200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AUTO_INCREMENT=800201');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__group_users WHERE id &gt; 800200');</v>
      </c>
      <c r="L4" s="63" t="str">
        <f>IF(SeedMap[[#This Row],[Query Method]]="truncate","","\DB::statement('ALTER TABLE `" &amp;VLOOKUP(SeedMap[[#This Row],[Table Name]],Tables[[Name]:[Table]],2,0) &amp; "` AUTO_INCREMENT=1');")</f>
        <v>\DB::statement('ALTER TABLE `__group_users` AUTO_INCREMENT=1');</v>
      </c>
    </row>
    <row r="5" spans="1:12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795</v>
      </c>
      <c r="I5" s="11">
        <v>800300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AUTO_INCREMENT=800301');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__roles WHERE id &gt; 800300');</v>
      </c>
      <c r="L5" s="63" t="str">
        <f>IF(SeedMap[[#This Row],[Query Method]]="truncate","","\DB::statement('ALTER TABLE `" &amp;VLOOKUP(SeedMap[[#This Row],[Table Name]],Tables[[Name]:[Table]],2,0) &amp; "` AUTO_INCREMENT=1');")</f>
        <v>\DB::statement('ALTER TABLE `__roles` AUTO_INCREMENT=1');</v>
      </c>
    </row>
    <row r="6" spans="1:12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795</v>
      </c>
      <c r="I6" s="11">
        <v>800400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AUTO_INCREMENT=800401');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__group_roles WHERE id &gt; 800400');</v>
      </c>
      <c r="L6" s="63" t="str">
        <f>IF(SeedMap[[#This Row],[Query Method]]="truncate","","\DB::statement('ALTER TABLE `" &amp;VLOOKUP(SeedMap[[#This Row],[Table Name]],Tables[[Name]:[Table]],2,0) &amp; "` AUTO_INCREMENT=1');")</f>
        <v>\DB::statement('ALTER TABLE `__group_roles` AUTO_INCREMENT=1');</v>
      </c>
    </row>
    <row r="7" spans="1:12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795</v>
      </c>
      <c r="I7" s="11">
        <v>800500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AUTO_INCREMENT=800501');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__resources WHERE id &gt; 800500');</v>
      </c>
      <c r="L7" s="63" t="str">
        <f>IF(SeedMap[[#This Row],[Query Method]]="truncate","","\DB::statement('ALTER TABLE `" &amp;VLOOKUP(SeedMap[[#This Row],[Table Name]],Tables[[Name]:[Table]],2,0) &amp; "` AUTO_INCREMENT=1');")</f>
        <v>\DB::statement('ALTER TABLE `__resources` AUTO_INCREMENT=1');</v>
      </c>
    </row>
    <row r="8" spans="1:12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795</v>
      </c>
      <c r="I8" s="11">
        <v>800600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AUTO_INCREMENT=800601');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__resource_roles WHERE id &gt; 800600');</v>
      </c>
      <c r="L8" s="63" t="str">
        <f>IF(SeedMap[[#This Row],[Query Method]]="truncate","","\DB::statement('ALTER TABLE `" &amp;VLOOKUP(SeedMap[[#This Row],[Table Name]],Tables[[Name]:[Table]],2,0) &amp; "` AUTO_INCREMENT=1');")</f>
        <v>\DB::statement('ALTER TABLE `__resource_roles` AUTO_INCREMENT=1');</v>
      </c>
    </row>
    <row r="9" spans="1:12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387</v>
      </c>
      <c r="F9" s="1" t="s">
        <v>388</v>
      </c>
      <c r="G9" s="11">
        <v>3</v>
      </c>
      <c r="H9" s="6" t="s">
        <v>795</v>
      </c>
      <c r="I9" s="11">
        <v>800700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AUTO_INCREMENT=800701');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__resource_scopes WHERE id &gt; 800700');</v>
      </c>
      <c r="L9" s="63" t="str">
        <f>IF(SeedMap[[#This Row],[Query Method]]="truncate","","\DB::statement('ALTER TABLE `" &amp;VLOOKUP(SeedMap[[#This Row],[Table Name]],Tables[[Name]:[Table]],2,0) &amp; "` AUTO_INCREMENT=1');")</f>
        <v>\DB::statement('ALTER TABLE `__resource_scopes` AUTO_INCREMENT=1');</v>
      </c>
    </row>
    <row r="10" spans="1:12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795</v>
      </c>
      <c r="I10" s="11">
        <v>800800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AUTO_INCREMENT=800801');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__resource_relations WHERE id &gt; 800800');</v>
      </c>
      <c r="L10" s="63" t="str">
        <f>IF(SeedMap[[#This Row],[Query Method]]="truncate","","\DB::statement('ALTER TABLE `" &amp;VLOOKUP(SeedMap[[#This Row],[Table Name]],Tables[[Name]:[Table]],2,0) &amp; "` AUTO_INCREMENT=1');")</f>
        <v>\DB::statement('ALTER TABLE `__resource_relations` AUTO_INCREMENT=1');</v>
      </c>
    </row>
    <row r="11" spans="1:12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795</v>
      </c>
      <c r="I11" s="11">
        <v>800900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AUTO_INCREMENT=800901');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__resource_forms WHERE id &gt; 800900');</v>
      </c>
      <c r="L1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`__resource_forms` AUTO_INCREMENT=1');</v>
      </c>
    </row>
    <row r="12" spans="1:12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795</v>
      </c>
      <c r="I12" s="11">
        <v>801000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AUTO_INCREMENT=801001');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__resource_form_fields WHERE id &gt; 801000');</v>
      </c>
      <c r="L1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`__resource_form_fields` AUTO_INCREMENT=1');</v>
      </c>
    </row>
    <row r="13" spans="1:12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795</v>
      </c>
      <c r="I13" s="11">
        <v>801100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AUTO_INCREMENT=801101');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__resource_form_field_data WHERE id &gt; 801100');</v>
      </c>
      <c r="L1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`__resource_form_field_data` AUTO_INCREMENT=1');</v>
      </c>
    </row>
    <row r="14" spans="1:12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795</v>
      </c>
      <c r="I14" s="11">
        <v>801200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AUTO_INCREMENT=801201');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__resource_form_field_options WHERE id &gt; 801200');</v>
      </c>
      <c r="L14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`__resource_form_field_options` AUTO_INCREMENT=1');</v>
      </c>
    </row>
    <row r="15" spans="1:12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795</v>
      </c>
      <c r="I15" s="11">
        <v>801300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AUTO_INCREMENT=801301');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__resource_form_field_attrs WHERE id &gt; 801300');</v>
      </c>
      <c r="L15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`__resource_form_field_attrs` AUTO_INCREMENT=1');</v>
      </c>
    </row>
    <row r="16" spans="1:12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478</v>
      </c>
      <c r="F16" s="1" t="s">
        <v>479</v>
      </c>
      <c r="G16" s="11">
        <v>1</v>
      </c>
      <c r="H16" s="6" t="s">
        <v>795</v>
      </c>
      <c r="I16" s="11">
        <v>801400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AUTO_INCREMENT=801401');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__resource_form_field_dynamic WHERE id &gt; 801400');</v>
      </c>
      <c r="L16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`__resource_form_field_dynamic` AUTO_INCREMENT=1');</v>
      </c>
    </row>
    <row r="17" spans="1:12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795</v>
      </c>
      <c r="I17" s="11">
        <v>801500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AUTO_INCREMENT=801501');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__resource_form_field_validations WHERE id &gt; 801500');</v>
      </c>
      <c r="L17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`__resource_form_field_validations` AUTO_INCREMENT=1');</v>
      </c>
    </row>
    <row r="18" spans="1:12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474</v>
      </c>
      <c r="F18" s="1" t="s">
        <v>475</v>
      </c>
      <c r="G18" s="11">
        <v>1</v>
      </c>
      <c r="H18" s="6" t="s">
        <v>795</v>
      </c>
      <c r="I18" s="11">
        <v>801600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AUTO_INCREMENT=801601');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__resource_form_field_depends WHERE id &gt; 801600');</v>
      </c>
      <c r="L18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`__resource_form_field_depends` AUTO_INCREMENT=1');</v>
      </c>
    </row>
    <row r="19" spans="1:12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795</v>
      </c>
      <c r="I19" s="11">
        <v>801700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AUTO_INCREMENT=801701');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__resource_form_layout WHERE id &gt; 801700');</v>
      </c>
      <c r="L19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`__resource_form_layout` AUTO_INCREMENT=1');</v>
      </c>
    </row>
    <row r="20" spans="1:12" x14ac:dyDescent="0.25">
      <c r="A20" s="4" t="s">
        <v>482</v>
      </c>
      <c r="B20" s="4" t="s">
        <v>481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490</v>
      </c>
      <c r="F20" s="1" t="s">
        <v>491</v>
      </c>
      <c r="G20" s="31">
        <v>1</v>
      </c>
      <c r="H20" s="6" t="s">
        <v>795</v>
      </c>
      <c r="I20" s="11">
        <v>801800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AUTO_INCREMENT=801801');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__resource_form_data_map WHERE id &gt; 801800');</v>
      </c>
      <c r="L20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`__resource_form_data_map` AUTO_INCREMENT=1');</v>
      </c>
    </row>
    <row r="21" spans="1:12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390</v>
      </c>
      <c r="F21" s="1" t="s">
        <v>388</v>
      </c>
      <c r="G21" s="11">
        <v>2</v>
      </c>
      <c r="H21" s="6" t="s">
        <v>795</v>
      </c>
      <c r="I21" s="11">
        <v>801900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AUTO_INCREMENT=801901');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__resource_form_defaults WHERE id &gt; 801900');</v>
      </c>
      <c r="L21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`__resource_form_defaults` AUTO_INCREMENT=1');</v>
      </c>
    </row>
    <row r="22" spans="1:12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403</v>
      </c>
      <c r="F22" s="1" t="s">
        <v>404</v>
      </c>
      <c r="G22" s="11">
        <v>5</v>
      </c>
      <c r="H22" s="6" t="s">
        <v>795</v>
      </c>
      <c r="I22" s="11">
        <v>802000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AUTO_INCREMENT=802001');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__resource_form_collection WHERE id &gt; 802000');</v>
      </c>
      <c r="L22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`__resource_form_collection` AUTO_INCREMENT=1');</v>
      </c>
    </row>
    <row r="23" spans="1:12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795</v>
      </c>
      <c r="I23" s="11">
        <v>802100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AUTO_INCREMENT=802101');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__resource_form_upload WHERE id &gt; 802100');</v>
      </c>
      <c r="L23" s="63" t="str">
        <f>IF(SeedMap[[#This Row],[Query Method]]="truncate","","\DB::statement('ALTER TABLE `" &amp;VLOOKUP(SeedMap[[#This Row],[Table Name]],Tables[[Name]:[Table]],2,0) &amp; "` AUTO_INCREMENT=1');")</f>
        <v>\DB::statement('ALTER TABLE `__resource_form_upload` AUTO_INCREMENT=1');</v>
      </c>
    </row>
    <row r="24" spans="1:12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453</v>
      </c>
      <c r="G24" s="11">
        <v>3</v>
      </c>
      <c r="H24" s="6" t="s">
        <v>795</v>
      </c>
      <c r="I24" s="11">
        <v>802200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AUTO_INCREMENT=802201');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__resource_lists WHERE id &gt; 802200');</v>
      </c>
      <c r="L24" s="63" t="str">
        <f>IF(SeedMap[[#This Row],[Query Method]]="truncate","","\DB::statement('ALTER TABLE `" &amp;VLOOKUP(SeedMap[[#This Row],[Table Name]],Tables[[Name]:[Table]],2,0) &amp; "` AUTO_INCREMENT=1');")</f>
        <v>\DB::statement('ALTER TABLE `__resource_lists` AUTO_INCREMENT=1');</v>
      </c>
    </row>
    <row r="25" spans="1:12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422</v>
      </c>
      <c r="F25" s="1" t="s">
        <v>423</v>
      </c>
      <c r="G25" s="11">
        <v>1</v>
      </c>
      <c r="H25" s="6" t="s">
        <v>795</v>
      </c>
      <c r="I25" s="11">
        <v>802300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AUTO_INCREMENT=802301');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__resource_list_scopes WHERE id &gt; 802300');</v>
      </c>
      <c r="L25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`__resource_list_scopes` AUTO_INCREMENT=1');</v>
      </c>
    </row>
    <row r="26" spans="1:12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422</v>
      </c>
      <c r="F26" s="1" t="s">
        <v>424</v>
      </c>
      <c r="G26" s="11">
        <v>1</v>
      </c>
      <c r="H26" s="6" t="s">
        <v>795</v>
      </c>
      <c r="I26" s="11">
        <v>802400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AUTO_INCREMENT=802401');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__resource_list_relations WHERE id &gt; 802400');</v>
      </c>
      <c r="L26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`__resource_list_relations` AUTO_INCREMENT=1');</v>
      </c>
    </row>
    <row r="27" spans="1:12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433</v>
      </c>
      <c r="F27" s="1" t="s">
        <v>434</v>
      </c>
      <c r="G27" s="11">
        <v>2</v>
      </c>
      <c r="H27" s="6" t="s">
        <v>795</v>
      </c>
      <c r="I27" s="11">
        <v>802500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AUTO_INCREMENT=802501');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__resource_list_layout WHERE id &gt; 802500');</v>
      </c>
      <c r="L27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`__resource_list_layout` AUTO_INCREMENT=1');</v>
      </c>
    </row>
    <row r="28" spans="1:12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430</v>
      </c>
      <c r="F28" s="1" t="s">
        <v>431</v>
      </c>
      <c r="G28" s="11">
        <v>2</v>
      </c>
      <c r="H28" s="6" t="s">
        <v>795</v>
      </c>
      <c r="I28" s="11">
        <v>802600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AUTO_INCREMENT=802601');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__resource_list_search WHERE id &gt; 802600');</v>
      </c>
      <c r="L28" s="63" t="str">
        <f>IF(SeedMap[[#This Row],[Query Method]]="truncate","","\DB::statement('ALTER TABLE `" &amp;VLOOKUP(SeedMap[[#This Row],[Table Name]],Tables[[Name]:[Table]],2,0) &amp; "` AUTO_INCREMENT=1');")</f>
        <v>\DB::statement('ALTER TABLE `__resource_list_search` AUTO_INCREMENT=1');</v>
      </c>
    </row>
    <row r="29" spans="1:12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388</v>
      </c>
      <c r="G29" s="11">
        <v>3</v>
      </c>
      <c r="H29" s="6" t="s">
        <v>795</v>
      </c>
      <c r="I29" s="11">
        <v>802700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AUTO_INCREMENT=802701');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 WHERE id &gt; 802700');</v>
      </c>
      <c r="L29" s="63" t="str">
        <f>IF(SeedMap[[#This Row],[Query Method]]="truncate","","\DB::statement('ALTER TABLE `" &amp;VLOOKUP(SeedMap[[#This Row],[Table Name]],Tables[[Name]:[Table]],2,0) &amp; "` AUTO_INCREMENT=1');")</f>
        <v>\DB::statement('ALTER TABLE `__resource_data` AUTO_INCREMENT=1');</v>
      </c>
    </row>
    <row r="30" spans="1:12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441</v>
      </c>
      <c r="F30" s="1" t="s">
        <v>423</v>
      </c>
      <c r="G30" s="11">
        <v>1</v>
      </c>
      <c r="H30" s="6" t="s">
        <v>795</v>
      </c>
      <c r="I30" s="11">
        <v>802800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AUTO_INCREMENT=802801');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__resource_data_scopes WHERE id &gt; 802800');</v>
      </c>
      <c r="L30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`__resource_data_scopes` AUTO_INCREMENT=1');</v>
      </c>
    </row>
    <row r="31" spans="1:12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441</v>
      </c>
      <c r="F31" s="1" t="s">
        <v>424</v>
      </c>
      <c r="G31" s="11">
        <v>1</v>
      </c>
      <c r="H31" s="6" t="s">
        <v>795</v>
      </c>
      <c r="I31" s="11">
        <v>802900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AUTO_INCREMENT=802901');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__resource_data_relations WHERE id &gt; 802900');</v>
      </c>
      <c r="L31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`__resource_data_relations` AUTO_INCREMENT=1');</v>
      </c>
    </row>
    <row r="32" spans="1:12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448</v>
      </c>
      <c r="F32" s="1" t="s">
        <v>544</v>
      </c>
      <c r="G32" s="11">
        <v>3</v>
      </c>
      <c r="H32" s="6" t="s">
        <v>795</v>
      </c>
      <c r="I32" s="11">
        <v>803000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AUTO_INCREMENT=803001');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__resource_data_view_sections WHERE id &gt; 803000');</v>
      </c>
      <c r="L32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`__resource_data_view_sections` AUTO_INCREMENT=1');</v>
      </c>
    </row>
    <row r="33" spans="1:12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446</v>
      </c>
      <c r="F33" s="1" t="s">
        <v>447</v>
      </c>
      <c r="G33" s="11">
        <v>2</v>
      </c>
      <c r="H33" s="6" t="s">
        <v>795</v>
      </c>
      <c r="I33" s="11">
        <v>803100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AUTO_INCREMENT=803101');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__resource_data_view_section_items WHERE id &gt; 803100');</v>
      </c>
      <c r="L33" s="63" t="str">
        <f>IF(SeedMap[[#This Row],[Query Method]]="truncate","","\DB::statement('ALTER TABLE `" &amp;VLOOKUP(SeedMap[[#This Row],[Table Name]],Tables[[Name]:[Table]],2,0) &amp; "` AUTO_INCREMENT=1');")</f>
        <v>\DB::statement('ALTER TABLE `__resource_data_view_section_items` AUTO_INCREMENT=1');</v>
      </c>
    </row>
    <row r="34" spans="1:12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1049</v>
      </c>
      <c r="G34" s="11">
        <v>3</v>
      </c>
      <c r="H34" s="6" t="s">
        <v>795</v>
      </c>
      <c r="I34" s="11">
        <v>803200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AUTO_INCREMENT=803201');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__resource_actions WHERE id &gt; 803200');</v>
      </c>
      <c r="L34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`__resource_actions` AUTO_INCREMENT=1');</v>
      </c>
    </row>
    <row r="35" spans="1:12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799</v>
      </c>
      <c r="G35" s="11">
        <v>1</v>
      </c>
      <c r="H35" s="6" t="s">
        <v>795</v>
      </c>
      <c r="I35" s="11">
        <v>803300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AUTO_INCREMENT=803301');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__resource_action_methods WHERE id &gt; 803300');</v>
      </c>
      <c r="L35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`__resource_action_methods` AUTO_INCREMENT=1');</v>
      </c>
    </row>
    <row r="36" spans="1:12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450</v>
      </c>
      <c r="F36" s="1" t="s">
        <v>371</v>
      </c>
      <c r="G36" s="11">
        <v>1</v>
      </c>
      <c r="H36" s="6" t="s">
        <v>795</v>
      </c>
      <c r="I36" s="11">
        <v>803400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AUTO_INCREMENT=803401');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__resource_action_attrs WHERE id &gt; 803400');</v>
      </c>
      <c r="L36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`__resource_action_attrs` AUTO_INCREMENT=1');</v>
      </c>
    </row>
    <row r="37" spans="1:12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383</v>
      </c>
      <c r="F37" s="1" t="s">
        <v>384</v>
      </c>
      <c r="G37" s="11">
        <v>1</v>
      </c>
      <c r="H37" s="6" t="s">
        <v>795</v>
      </c>
      <c r="I37" s="11">
        <v>803500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AUTO_INCREMENT=803501');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__resource_action_lists WHERE id &gt; 803500');</v>
      </c>
      <c r="L37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`__resource_action_lists` AUTO_INCREMENT=1');</v>
      </c>
    </row>
    <row r="38" spans="1:12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383</v>
      </c>
      <c r="F38" s="1" t="s">
        <v>385</v>
      </c>
      <c r="G38" s="11">
        <v>1</v>
      </c>
      <c r="H38" s="6" t="s">
        <v>795</v>
      </c>
      <c r="I38" s="11">
        <v>803600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AUTO_INCREMENT=803601');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__resource_action_data WHERE id &gt; 803600');</v>
      </c>
      <c r="L38" s="63" t="str">
        <f>IF(SeedMap[[#This Row],[Query Method]]="truncate","","\DB::statement('ALTER TABLE `" &amp;VLOOKUP(SeedMap[[#This Row],[Table Name]],Tables[[Name]:[Table]],2,0) &amp; "` AUTO_INCREMENT=1');")</f>
        <v>\DB::statement('ALTER TABLE `__resource_action_data` AUTO_INCREMENT=1');</v>
      </c>
    </row>
    <row r="39" spans="1:12" x14ac:dyDescent="0.25">
      <c r="A39" s="2" t="s">
        <v>537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542</v>
      </c>
      <c r="F39" s="1" t="s">
        <v>543</v>
      </c>
      <c r="G39" s="11">
        <v>1</v>
      </c>
      <c r="H39" s="6" t="s">
        <v>795</v>
      </c>
      <c r="I39" s="11">
        <v>803700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AUTO_INCREMENT=803701');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__resource_defaults WHERE id &gt; 803700');</v>
      </c>
      <c r="L39" s="63" t="str">
        <f>IF(SeedMap[[#This Row],[Query Method]]="truncate","","\DB::statement('ALTER TABLE `" &amp;VLOOKUP(SeedMap[[#This Row],[Table Name]],Tables[[Name]:[Table]],2,0) &amp; "` AUTO_INCREMENT=1');")</f>
        <v>\DB::statement('ALTER TABLE `__resource_defaults` AUTO_INCREMENT=1');</v>
      </c>
    </row>
    <row r="40" spans="1:12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795</v>
      </c>
      <c r="I40" s="11">
        <v>803800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AUTO_INCREMENT=803801');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__resource_metrics WHERE id &gt; 803800');</v>
      </c>
      <c r="L40" s="63" t="str">
        <f>IF(SeedMap[[#This Row],[Query Method]]="truncate","","\DB::statement('ALTER TABLE `" &amp;VLOOKUP(SeedMap[[#This Row],[Table Name]],Tables[[Name]:[Table]],2,0) &amp; "` AUTO_INCREMENT=1');")</f>
        <v>\DB::statement('ALTER TABLE `__resource_metrics` AUTO_INCREMENT=1');</v>
      </c>
    </row>
    <row r="41" spans="1:12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795</v>
      </c>
      <c r="I41" s="11">
        <v>803900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AUTO_INCREMENT=803901');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 WHERE id &gt; 803900');</v>
      </c>
      <c r="L41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`__resource_dashboard` AUTO_INCREMENT=1');</v>
      </c>
    </row>
    <row r="42" spans="1:12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795</v>
      </c>
      <c r="I42" s="11">
        <v>804000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AUTO_INCREMENT=804001');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__resource_dashboard_sections WHERE id &gt; 804000');</v>
      </c>
      <c r="L42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`__resource_dashboard_sections` AUTO_INCREMENT=1');</v>
      </c>
    </row>
    <row r="43" spans="1:12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795</v>
      </c>
      <c r="I43" s="11">
        <v>804100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AUTO_INCREMENT=804101');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ID]]&amp;"');")</f>
        <v>\DB::statement('DELETE FROM __resource_dashboard_section_items WHERE id &gt; 804100');</v>
      </c>
      <c r="L43" s="63" t="str">
        <f>IF(SeedMap[[#This Row],[Query Method]]="truncate","","\DB::statement('ALTER TABLE `" &amp;VLOOKUP(SeedMap[[#This Row],[Table Name]],Tables[[Name]:[Table]],2,0) &amp; "` AUTO_INCREMENT=1');")</f>
        <v>\DB::statement('ALTER TABLE `__resource_dashboard_section_items` AUTO_INCREMENT=1');</v>
      </c>
    </row>
    <row r="44" spans="1:12" x14ac:dyDescent="0.25">
      <c r="A44" s="63" t="s">
        <v>843</v>
      </c>
      <c r="B44" s="63" t="s">
        <v>803</v>
      </c>
      <c r="C44" s="63" t="str">
        <f>VLOOKUP(SeedMap[Table Name],Tables[],4,0)</f>
        <v>Milestone\Task\Model</v>
      </c>
      <c r="D44" s="63" t="str">
        <f>VLOOKUP(SeedMap[Table Name],Tables[],5,0)</f>
        <v>Partner</v>
      </c>
      <c r="E44" s="1" t="s">
        <v>161</v>
      </c>
      <c r="F44" s="1" t="s">
        <v>341</v>
      </c>
      <c r="G44" s="11">
        <v>2</v>
      </c>
      <c r="H44" s="6" t="s">
        <v>858</v>
      </c>
      <c r="I44" s="11"/>
      <c r="J44" s="62" t="str">
        <f>IF(ISNUMBER(SeedMap[Last ID]),"\DB::statement('ALTER TABLE `" &amp;VLOOKUP(SeedMap[[#This Row],[Table Name]],Tables[[Name]:[Table]],2,0) &amp; "`  AUTO_INCREMENT=" &amp; SeedMap[Last ID]+1&amp;"');","")</f>
        <v/>
      </c>
      <c r="K44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4" s="63" t="str">
        <f>IF(SeedMap[[#This Row],[Query Method]]="truncate","","\DB::statement('ALTER TABLE `" &amp;VLOOKUP(SeedMap[[#This Row],[Table Name]],Tables[[Name]:[Table]],2,0) &amp; "` AUTO_INCREMENT=1');")</f>
        <v/>
      </c>
    </row>
    <row r="45" spans="1:12" x14ac:dyDescent="0.25">
      <c r="A45" s="63" t="s">
        <v>96</v>
      </c>
      <c r="B45" s="63" t="s">
        <v>59</v>
      </c>
      <c r="C45" s="63" t="str">
        <f>VLOOKUP(SeedMap[Table Name],Tables[],4,0)</f>
        <v>Milestone\Appframe\Model</v>
      </c>
      <c r="D45" s="63" t="str">
        <f>VLOOKUP(SeedMap[Table Name],Tables[],5,0)</f>
        <v>Group</v>
      </c>
      <c r="E45" s="1" t="s">
        <v>161</v>
      </c>
      <c r="F45" s="1" t="s">
        <v>341</v>
      </c>
      <c r="G45" s="11">
        <v>2</v>
      </c>
      <c r="H45" s="6" t="s">
        <v>858</v>
      </c>
      <c r="I45" s="66"/>
      <c r="J45" s="62" t="str">
        <f>IF(ISNUMBER(SeedMap[Last ID]),"\DB::statement('ALTER TABLE `" &amp;VLOOKUP(SeedMap[[#This Row],[Table Name]],Tables[[Name]:[Table]],2,0) &amp; "`  AUTO_INCREMENT=" &amp; SeedMap[Last ID]+1&amp;"');","")</f>
        <v/>
      </c>
      <c r="K45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5" s="63" t="str">
        <f>IF(SeedMap[[#This Row],[Query Method]]="truncate","","\DB::statement('ALTER TABLE `" &amp;VLOOKUP(SeedMap[[#This Row],[Table Name]],Tables[[Name]:[Table]],2,0) &amp; "` AUTO_INCREMENT=1');")</f>
        <v/>
      </c>
    </row>
    <row r="46" spans="1:12" x14ac:dyDescent="0.25">
      <c r="A46" s="63" t="s">
        <v>844</v>
      </c>
      <c r="B46" s="63" t="s">
        <v>804</v>
      </c>
      <c r="C46" s="63" t="str">
        <f>VLOOKUP(SeedMap[Table Name],Tables[],4,0)</f>
        <v>Milestone\Task\Model</v>
      </c>
      <c r="D46" s="63" t="str">
        <f>VLOOKUP(SeedMap[Table Name],Tables[],5,0)</f>
        <v>GroupPartner</v>
      </c>
      <c r="E46" s="1" t="s">
        <v>161</v>
      </c>
      <c r="F46" s="1" t="s">
        <v>341</v>
      </c>
      <c r="G46" s="11">
        <v>2</v>
      </c>
      <c r="H46" s="6" t="s">
        <v>858</v>
      </c>
      <c r="I46" s="66"/>
      <c r="J46" s="62" t="str">
        <f>IF(ISNUMBER(SeedMap[Last ID]),"\DB::statement('ALTER TABLE `" &amp;VLOOKUP(SeedMap[[#This Row],[Table Name]],Tables[[Name]:[Table]],2,0) &amp; "`  AUTO_INCREMENT=" &amp; SeedMap[Last ID]+1&amp;"');","")</f>
        <v/>
      </c>
      <c r="K46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6" s="63" t="str">
        <f>IF(SeedMap[[#This Row],[Query Method]]="truncate","","\DB::statement('ALTER TABLE `" &amp;VLOOKUP(SeedMap[[#This Row],[Table Name]],Tables[[Name]:[Table]],2,0) &amp; "` AUTO_INCREMENT=1');")</f>
        <v/>
      </c>
    </row>
    <row r="47" spans="1:12" x14ac:dyDescent="0.25">
      <c r="A47" s="63" t="s">
        <v>845</v>
      </c>
      <c r="B47" s="63" t="s">
        <v>802</v>
      </c>
      <c r="C47" s="63" t="str">
        <f>VLOOKUP(SeedMap[Table Name],Tables[],4,0)</f>
        <v>Milestone\Task\Model</v>
      </c>
      <c r="D47" s="63" t="str">
        <f>VLOOKUP(SeedMap[Table Name],Tables[],5,0)</f>
        <v>Task</v>
      </c>
      <c r="E47" s="1" t="s">
        <v>161</v>
      </c>
      <c r="F47" s="1" t="s">
        <v>341</v>
      </c>
      <c r="G47" s="11">
        <v>2</v>
      </c>
      <c r="H47" s="6" t="s">
        <v>858</v>
      </c>
      <c r="I47" s="66"/>
      <c r="J47" s="62" t="str">
        <f>IF(ISNUMBER(SeedMap[Last ID]),"\DB::statement('ALTER TABLE `" &amp;VLOOKUP(SeedMap[[#This Row],[Table Name]],Tables[[Name]:[Table]],2,0) &amp; "`  AUTO_INCREMENT=" &amp; SeedMap[Last ID]+1&amp;"');","")</f>
        <v/>
      </c>
      <c r="K47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7" s="63" t="str">
        <f>IF(SeedMap[[#This Row],[Query Method]]="truncate","","\DB::statement('ALTER TABLE `" &amp;VLOOKUP(SeedMap[[#This Row],[Table Name]],Tables[[Name]:[Table]],2,0) &amp; "` AUTO_INCREMENT=1');")</f>
        <v/>
      </c>
    </row>
    <row r="48" spans="1:12" x14ac:dyDescent="0.25">
      <c r="A48" s="63" t="s">
        <v>846</v>
      </c>
      <c r="B48" s="63" t="s">
        <v>805</v>
      </c>
      <c r="C48" s="63" t="str">
        <f>VLOOKUP(SeedMap[Table Name],Tables[],4,0)</f>
        <v>Milestone\Task\Model</v>
      </c>
      <c r="D48" s="63" t="str">
        <f>VLOOKUP(SeedMap[Table Name],Tables[],5,0)</f>
        <v>PartnerTask</v>
      </c>
      <c r="E48" s="1" t="s">
        <v>161</v>
      </c>
      <c r="F48" s="1" t="s">
        <v>341</v>
      </c>
      <c r="G48" s="11">
        <v>2</v>
      </c>
      <c r="H48" s="6" t="s">
        <v>858</v>
      </c>
      <c r="I48" s="66"/>
      <c r="J48" s="62" t="str">
        <f>IF(ISNUMBER(SeedMap[Last ID]),"\DB::statement('ALTER TABLE `" &amp;VLOOKUP(SeedMap[[#This Row],[Table Name]],Tables[[Name]:[Table]],2,0) &amp; "`  AUTO_INCREMENT=" &amp; SeedMap[Last ID]+1&amp;"');","")</f>
        <v/>
      </c>
      <c r="K48" s="62" t="str">
        <f>IF(SeedMap[[#This Row],[Query Method]]="truncate","","\DB::statement('DELETE FROM "&amp;VLOOKUP(SeedMap[[#This Row],[Table Name]],Tables[[Name]:[Table]],2,0)&amp;" WHERE id &gt; "&amp;SeedMap[[#This Row],[Last ID]]&amp;"');")</f>
        <v/>
      </c>
      <c r="L48" s="63" t="str">
        <f>IF(SeedMap[[#This Row],[Query Method]]="truncate","","\DB::statement('ALTER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48">
      <formula1>TableNames</formula1>
    </dataValidation>
    <dataValidation type="list" allowBlank="1" showInputMessage="1" showErrorMessage="1" sqref="H2:H48">
      <formula1>"truncate,query"</formula1>
    </dataValidation>
  </dataValidations>
  <pageMargins left="0.7" right="0.7" top="0.75" bottom="0.75" header="0.3" footer="0.3"/>
  <pageSetup paperSize="9" orientation="portrait" horizontalDpi="4294967293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opLeftCell="A40" workbookViewId="0">
      <selection activeCell="B6" sqref="B6:R58"/>
    </sheetView>
  </sheetViews>
  <sheetFormatPr defaultColWidth="8.5703125" defaultRowHeight="15" x14ac:dyDescent="0.25"/>
  <cols>
    <col min="1" max="16384" width="8.5703125" style="20"/>
  </cols>
  <sheetData>
    <row r="1" spans="1:20" s="28" customFormat="1" ht="15" customHeight="1" x14ac:dyDescent="0.25">
      <c r="A1" s="90" t="s">
        <v>203</v>
      </c>
      <c r="B1" s="90"/>
      <c r="C1" s="90"/>
      <c r="D1" s="90"/>
      <c r="E1" s="91" t="str">
        <f>"\"&amp;VLOOKUP($A$1,SeedMap[],3,0)&amp;"\"&amp;VLOOKUP($A$1,SeedMap[],4,0)&amp;"::"&amp;VLOOKUP($A$1,SeedMap[],8,0)&amp;"()"</f>
        <v>\Milestone\Appframe\Model\ResourceListLayout::query()</v>
      </c>
      <c r="F1" s="91"/>
      <c r="G1" s="91"/>
      <c r="H1" s="91"/>
      <c r="I1" s="92" t="s">
        <v>73</v>
      </c>
      <c r="J1" s="92"/>
      <c r="K1" s="92"/>
      <c r="L1" s="92"/>
      <c r="M1" s="92"/>
      <c r="N1" s="92"/>
      <c r="O1" s="92"/>
      <c r="P1" s="92"/>
      <c r="Q1" s="92"/>
      <c r="R1" s="92"/>
      <c r="S1" s="23" t="str">
        <f>""</f>
        <v/>
      </c>
      <c r="T1" s="10"/>
    </row>
    <row r="2" spans="1:20" s="28" customFormat="1" ht="15" customHeight="1" x14ac:dyDescent="0.25">
      <c r="A2" s="90"/>
      <c r="B2" s="90"/>
      <c r="C2" s="90"/>
      <c r="D2" s="90"/>
      <c r="E2" s="91" t="str">
        <f>VLOOKUP($A$1,SeedMap[],5,0)</f>
        <v>ListLayout</v>
      </c>
      <c r="F2" s="91"/>
      <c r="G2" s="91"/>
      <c r="H2" s="91"/>
      <c r="I2" s="92" t="s">
        <v>72</v>
      </c>
      <c r="J2" s="92"/>
      <c r="K2" s="92"/>
      <c r="L2" s="92"/>
      <c r="M2" s="92"/>
      <c r="N2" s="92"/>
      <c r="O2" s="92"/>
      <c r="P2" s="92"/>
      <c r="Q2" s="92"/>
      <c r="R2" s="92"/>
      <c r="S2" s="23" t="str">
        <f>";"</f>
        <v>;</v>
      </c>
      <c r="T2" s="10"/>
    </row>
    <row r="3" spans="1:20" s="28" customFormat="1" ht="15" customHeight="1" x14ac:dyDescent="0.25">
      <c r="A3" s="90"/>
      <c r="B3" s="90"/>
      <c r="C3" s="90"/>
      <c r="D3" s="90"/>
      <c r="E3" s="91" t="str">
        <f>VLOOKUP($A$1,SeedMap[],6,0)</f>
        <v>[[Primary]:[R2]]</v>
      </c>
      <c r="F3" s="91"/>
      <c r="G3" s="91"/>
      <c r="H3" s="91"/>
      <c r="I3" s="92" t="s">
        <v>158</v>
      </c>
      <c r="J3" s="92"/>
      <c r="K3" s="92"/>
      <c r="L3" s="92"/>
      <c r="M3" s="92"/>
      <c r="N3" s="92"/>
      <c r="O3" s="92"/>
      <c r="P3" s="92"/>
      <c r="Q3" s="92"/>
      <c r="R3" s="9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resource_list</v>
      </c>
      <c r="E5" s="25" t="str">
        <f t="shared" ca="1" si="1"/>
        <v>label</v>
      </c>
      <c r="F5" s="25" t="str">
        <f t="shared" ca="1" si="1"/>
        <v>field</v>
      </c>
      <c r="G5" s="25" t="str">
        <f t="shared" ca="1" si="1"/>
        <v>relation</v>
      </c>
      <c r="H5" s="25" t="str">
        <f t="shared" ca="1" si="1"/>
        <v>nest_relation1</v>
      </c>
      <c r="I5" s="25" t="str">
        <f t="shared" ca="1" si="1"/>
        <v>nest_relation2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87" t="str">
        <f>$I$1</f>
        <v>$_ = \DB::statement('SELECT @@GLOBAL.foreign_key_checks');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10"/>
      <c r="T6" s="10"/>
    </row>
    <row r="7" spans="1:20" x14ac:dyDescent="0.25">
      <c r="A7" s="24"/>
      <c r="B7" s="88" t="str">
        <f>$I$2</f>
        <v>\DB::statement('set foreign_key_checks = 0');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</row>
    <row r="8" spans="1:20" x14ac:dyDescent="0.25">
      <c r="A8" s="24"/>
      <c r="B8" s="89" t="str">
        <f>$E$1</f>
        <v>\Milestone\Appframe\Model\ResourceListLayout::query()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'802501',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'resource_list' =&gt; '802201', </v>
      </c>
      <c r="E9" s="50" t="str">
        <f t="shared" ca="1" si="2"/>
        <v xml:space="preserve">'label' =&gt; 'Name', </v>
      </c>
      <c r="F9" s="50" t="str">
        <f t="shared" ca="1" si="2"/>
        <v xml:space="preserve">'field' =&gt; 'name', </v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'802502', </v>
      </c>
      <c r="D10" s="50" t="str">
        <f t="shared" ca="1" si="2"/>
        <v xml:space="preserve">'resource_list' =&gt; '802201', </v>
      </c>
      <c r="E10" s="50" t="str">
        <f t="shared" ca="1" si="2"/>
        <v xml:space="preserve">'label' =&gt; 'Status', </v>
      </c>
      <c r="F10" s="50" t="str">
        <f t="shared" ca="1" si="2"/>
        <v xml:space="preserve">'field' =&gt; 'status', </v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'802503', </v>
      </c>
      <c r="D11" s="50" t="str">
        <f t="shared" ca="1" si="2"/>
        <v xml:space="preserve">'resource_list' =&gt; '802202', </v>
      </c>
      <c r="E11" s="50" t="str">
        <f t="shared" ca="1" si="2"/>
        <v xml:space="preserve">'label' =&gt; 'Name', </v>
      </c>
      <c r="F11" s="50" t="str">
        <f t="shared" ca="1" si="2"/>
        <v xml:space="preserve">'field' =&gt; 'name', </v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'802504', </v>
      </c>
      <c r="D12" s="50" t="str">
        <f t="shared" ca="1" si="2"/>
        <v xml:space="preserve">'resource_list' =&gt; '802202', </v>
      </c>
      <c r="E12" s="50" t="str">
        <f t="shared" ca="1" si="2"/>
        <v xml:space="preserve">'label' =&gt; 'Email', </v>
      </c>
      <c r="F12" s="50" t="str">
        <f t="shared" ca="1" si="2"/>
        <v xml:space="preserve">'field' =&gt; 'email', </v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'802505', </v>
      </c>
      <c r="D13" s="50" t="str">
        <f t="shared" ca="1" si="2"/>
        <v xml:space="preserve">'resource_list' =&gt; '802203', </v>
      </c>
      <c r="E13" s="50" t="str">
        <f t="shared" ca="1" si="2"/>
        <v xml:space="preserve">'label' =&gt; 'Category', </v>
      </c>
      <c r="F13" s="50" t="str">
        <f t="shared" ca="1" si="2"/>
        <v xml:space="preserve">'field' =&gt; 'name', </v>
      </c>
      <c r="G13" s="50" t="str">
        <f t="shared" ca="1" si="2"/>
        <v xml:space="preserve">'relation' =&gt; '800813', </v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'802506', </v>
      </c>
      <c r="D14" s="50" t="str">
        <f t="shared" ca="1" si="2"/>
        <v xml:space="preserve">'resource_list' =&gt; '802203', </v>
      </c>
      <c r="E14" s="50" t="str">
        <f t="shared" ca="1" si="2"/>
        <v xml:space="preserve">'label' =&gt; 'Name', </v>
      </c>
      <c r="F14" s="50" t="str">
        <f t="shared" ca="1" si="2"/>
        <v xml:space="preserve">'field' =&gt; 'name', </v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'802507', </v>
      </c>
      <c r="D15" s="50" t="str">
        <f t="shared" ca="1" si="2"/>
        <v xml:space="preserve">'resource_list' =&gt; '802203', </v>
      </c>
      <c r="E15" s="50" t="str">
        <f t="shared" ca="1" si="2"/>
        <v xml:space="preserve">'label' =&gt; 'Status', </v>
      </c>
      <c r="F15" s="50" t="str">
        <f t="shared" ca="1" si="2"/>
        <v xml:space="preserve">'field' =&gt; 'status', </v>
      </c>
      <c r="G15" s="50" t="str">
        <f ca="1">IF(AND($B15=$S$4,G$5&lt;&gt;""),IF(VLOOKUP($A$1&amp;"-"&amp;$A15,INDIRECT($E$2&amp;$E$3),G$4+$B$4,0)="","","'"&amp;G$5&amp;"' =&gt; '"&amp;VLOOKUP($A$1&amp;"-"&amp;$A15,INDIRECT($E$2&amp;$E$3),G$4+$B$4,0)&amp;"', "),"")</f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'802508', </v>
      </c>
      <c r="D16" s="50" t="str">
        <f t="shared" ca="1" si="2"/>
        <v xml:space="preserve">'resource_list' =&gt; '802204', </v>
      </c>
      <c r="E16" s="50" t="str">
        <f t="shared" ca="1" si="2"/>
        <v xml:space="preserve">'label' =&gt; 'Name', </v>
      </c>
      <c r="F16" s="50" t="str">
        <f t="shared" ca="1" si="2"/>
        <v xml:space="preserve">'field' =&gt; 'name', </v>
      </c>
      <c r="G16" s="50" t="str">
        <f t="shared" ca="1" si="2"/>
        <v xml:space="preserve">'relation' =&gt; '800814', </v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'802509', </v>
      </c>
      <c r="D17" s="50" t="str">
        <f t="shared" ca="1" si="2"/>
        <v xml:space="preserve">'resource_list' =&gt; '802205', </v>
      </c>
      <c r="E17" s="50" t="str">
        <f t="shared" ca="1" si="2"/>
        <v xml:space="preserve">'label' =&gt; 'Category', </v>
      </c>
      <c r="F17" s="50" t="str">
        <f t="shared" ca="1" si="2"/>
        <v xml:space="preserve">'field' =&gt; 'name', </v>
      </c>
      <c r="G17" s="50" t="str">
        <f t="shared" ca="1" si="2"/>
        <v xml:space="preserve">'relation' =&gt; '800814', </v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'802510', </v>
      </c>
      <c r="D18" s="50" t="str">
        <f t="shared" ca="1" si="2"/>
        <v xml:space="preserve">'resource_list' =&gt; '802205', </v>
      </c>
      <c r="E18" s="50" t="str">
        <f t="shared" ca="1" si="2"/>
        <v xml:space="preserve">'label' =&gt; 'Name', </v>
      </c>
      <c r="F18" s="50" t="str">
        <f t="shared" ca="1" si="2"/>
        <v xml:space="preserve">'field' =&gt; 'name', </v>
      </c>
      <c r="G18" s="50" t="str">
        <f t="shared" ca="1" si="2"/>
        <v xml:space="preserve">'relation' =&gt; '800809', </v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'802511', </v>
      </c>
      <c r="D19" s="50" t="str">
        <f t="shared" ca="1" si="2"/>
        <v xml:space="preserve">'resource_list' =&gt; '802206', </v>
      </c>
      <c r="E19" s="50" t="str">
        <f t="shared" ca="1" si="2"/>
        <v xml:space="preserve">'label' =&gt; 'Name', </v>
      </c>
      <c r="F19" s="50" t="str">
        <f t="shared" ca="1" si="2"/>
        <v xml:space="preserve">'field' =&gt; 'name', </v>
      </c>
      <c r="G19" s="50" t="str">
        <f t="shared" ca="1" si="2"/>
        <v xml:space="preserve">'relation' =&gt; '800809', </v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'802512', </v>
      </c>
      <c r="D20" s="50" t="str">
        <f t="shared" ca="1" si="2"/>
        <v xml:space="preserve">'resource_list' =&gt; '802206', </v>
      </c>
      <c r="E20" s="50" t="str">
        <f t="shared" ca="1" si="2"/>
        <v xml:space="preserve">'label' =&gt; 'Remarks', </v>
      </c>
      <c r="F20" s="50" t="str">
        <f t="shared" ca="1" si="2"/>
        <v xml:space="preserve">'field' =&gt; 'remarks',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'802513', </v>
      </c>
      <c r="D21" s="50" t="str">
        <f t="shared" ca="1" si="2"/>
        <v xml:space="preserve">'resource_list' =&gt; '802207', </v>
      </c>
      <c r="E21" s="50" t="str">
        <f t="shared" ca="1" si="2"/>
        <v xml:space="preserve">'label' =&gt; 'Name', </v>
      </c>
      <c r="F21" s="50" t="str">
        <f t="shared" ca="1" si="2"/>
        <v xml:space="preserve">'field' =&gt; 'name', </v>
      </c>
      <c r="G21" s="50" t="str">
        <f t="shared" ca="1" si="2"/>
        <v xml:space="preserve">'relation' =&gt; '800809', </v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'802514', </v>
      </c>
      <c r="D22" s="50" t="str">
        <f t="shared" ca="1" si="2"/>
        <v xml:space="preserve">'resource_list' =&gt; '802207', </v>
      </c>
      <c r="E22" s="50" t="str">
        <f t="shared" ca="1" si="2"/>
        <v xml:space="preserve">'label' =&gt; 'Remarks', </v>
      </c>
      <c r="F22" s="50" t="str">
        <f t="shared" ca="1" si="2"/>
        <v xml:space="preserve">'field' =&gt; 'remarks',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'802515', </v>
      </c>
      <c r="D23" s="50" t="str">
        <f t="shared" ca="1" si="2"/>
        <v xml:space="preserve">'resource_list' =&gt; '802208', </v>
      </c>
      <c r="E23" s="50" t="str">
        <f t="shared" ca="1" si="2"/>
        <v xml:space="preserve">'label' =&gt; 'Category', </v>
      </c>
      <c r="F23" s="50" t="str">
        <f t="shared" ca="1" si="2"/>
        <v xml:space="preserve">'field' =&gt; 'name', </v>
      </c>
      <c r="G23" s="50" t="str">
        <f t="shared" ca="1" si="2"/>
        <v xml:space="preserve">'relation' =&gt; '800814', </v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'802516', </v>
      </c>
      <c r="D24" s="50" t="str">
        <f t="shared" ca="1" si="2"/>
        <v xml:space="preserve">'resource_list' =&gt; '802208', </v>
      </c>
      <c r="E24" s="50" t="str">
        <f t="shared" ca="1" si="2"/>
        <v xml:space="preserve">'label' =&gt; 'Name', </v>
      </c>
      <c r="F24" s="50" t="str">
        <f t="shared" ca="1" si="2"/>
        <v xml:space="preserve">'field' =&gt; 'name', </v>
      </c>
      <c r="G24" s="50" t="str">
        <f t="shared" ca="1" si="2"/>
        <v xml:space="preserve">'relation' =&gt; '800809', </v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'802517', </v>
      </c>
      <c r="D25" s="50" t="str">
        <f t="shared" ca="1" si="4"/>
        <v xml:space="preserve">'resource_list' =&gt; '802208', </v>
      </c>
      <c r="E25" s="50" t="str">
        <f t="shared" ca="1" si="4"/>
        <v xml:space="preserve">'label' =&gt; 'Remarks', </v>
      </c>
      <c r="F25" s="50" t="str">
        <f t="shared" ca="1" si="4"/>
        <v xml:space="preserve">'field' =&gt; 'remarks',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'802518', </v>
      </c>
      <c r="D26" s="50" t="str">
        <f t="shared" ca="1" si="4"/>
        <v xml:space="preserve">'resource_list' =&gt; '802209', </v>
      </c>
      <c r="E26" s="50" t="str">
        <f t="shared" ca="1" si="4"/>
        <v xml:space="preserve">'label' =&gt; 'Partner', </v>
      </c>
      <c r="F26" s="50" t="str">
        <f t="shared" ca="1" si="4"/>
        <v xml:space="preserve">'field' =&gt; 'name', </v>
      </c>
      <c r="G26" s="50" t="str">
        <f t="shared" ca="1" si="4"/>
        <v xml:space="preserve">'relation' =&gt; '800810', </v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'802519', </v>
      </c>
      <c r="D27" s="50" t="str">
        <f t="shared" ca="1" si="4"/>
        <v xml:space="preserve">'resource_list' =&gt; '802209', </v>
      </c>
      <c r="E27" s="50" t="str">
        <f t="shared" ca="1" si="4"/>
        <v xml:space="preserve">'label' =&gt; 'Date', </v>
      </c>
      <c r="F27" s="50" t="str">
        <f t="shared" ca="1" si="4"/>
        <v xml:space="preserve">'field' =&gt; 'updated_at',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'802520', </v>
      </c>
      <c r="D28" s="50" t="str">
        <f t="shared" ca="1" si="4"/>
        <v xml:space="preserve">'resource_list' =&gt; '802210', </v>
      </c>
      <c r="E28" s="50" t="str">
        <f t="shared" ca="1" si="4"/>
        <v xml:space="preserve">'label' =&gt; 'Category', </v>
      </c>
      <c r="F28" s="50" t="str">
        <f t="shared" ca="1" si="4"/>
        <v xml:space="preserve">'field' =&gt; 'name', </v>
      </c>
      <c r="G28" s="50" t="str">
        <f t="shared" ca="1" si="4"/>
        <v xml:space="preserve">'relation' =&gt; '800814', </v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'802521', </v>
      </c>
      <c r="D29" s="50" t="str">
        <f t="shared" ca="1" si="4"/>
        <v xml:space="preserve">'resource_list' =&gt; '802210', </v>
      </c>
      <c r="E29" s="50" t="str">
        <f t="shared" ca="1" si="4"/>
        <v xml:space="preserve">'label' =&gt; 'Partner', </v>
      </c>
      <c r="F29" s="50" t="str">
        <f t="shared" ca="1" si="4"/>
        <v xml:space="preserve">'field' =&gt; 'name', </v>
      </c>
      <c r="G29" s="50" t="str">
        <f t="shared" ca="1" si="4"/>
        <v xml:space="preserve">'relation' =&gt; '800810', </v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'802522', </v>
      </c>
      <c r="D30" s="50" t="str">
        <f t="shared" ca="1" si="4"/>
        <v xml:space="preserve">'resource_list' =&gt; '802210', </v>
      </c>
      <c r="E30" s="50" t="str">
        <f t="shared" ca="1" si="4"/>
        <v xml:space="preserve">'label' =&gt; 'Status', </v>
      </c>
      <c r="F30" s="50" t="str">
        <f t="shared" ca="1" si="4"/>
        <v xml:space="preserve">'field' =&gt; 'progress', </v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'802523', </v>
      </c>
      <c r="D31" s="50" t="str">
        <f t="shared" ca="1" si="4"/>
        <v xml:space="preserve">'resource_list' =&gt; '802210', </v>
      </c>
      <c r="E31" s="50" t="str">
        <f t="shared" ca="1" si="4"/>
        <v xml:space="preserve">'label' =&gt; 'Date', </v>
      </c>
      <c r="F31" s="50" t="str">
        <f t="shared" ca="1" si="4"/>
        <v xml:space="preserve">'field' =&gt; 'updated_at', </v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'802524', </v>
      </c>
      <c r="D32" s="50" t="str">
        <f t="shared" ca="1" si="4"/>
        <v xml:space="preserve">'resource_list' =&gt; '802210', </v>
      </c>
      <c r="E32" s="50" t="str">
        <f t="shared" ca="1" si="4"/>
        <v xml:space="preserve">'label' =&gt; 'Remarks', </v>
      </c>
      <c r="F32" s="50" t="str">
        <f t="shared" ca="1" si="4"/>
        <v xml:space="preserve">'field' =&gt; 'remarks', </v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'802525', </v>
      </c>
      <c r="D33" s="50" t="str">
        <f t="shared" ca="1" si="4"/>
        <v xml:space="preserve">'resource_list' =&gt; '802211', </v>
      </c>
      <c r="E33" s="50" t="str">
        <f t="shared" ca="1" si="4"/>
        <v xml:space="preserve">'label' =&gt; 'Category', </v>
      </c>
      <c r="F33" s="50" t="str">
        <f t="shared" ca="1" si="4"/>
        <v xml:space="preserve">'field' =&gt; 'name', </v>
      </c>
      <c r="G33" s="50" t="str">
        <f t="shared" ca="1" si="4"/>
        <v xml:space="preserve">'relation' =&gt; '800814', </v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'802526', </v>
      </c>
      <c r="D34" s="50" t="str">
        <f t="shared" ca="1" si="4"/>
        <v xml:space="preserve">'resource_list' =&gt; '802211', </v>
      </c>
      <c r="E34" s="50" t="str">
        <f t="shared" ca="1" si="4"/>
        <v xml:space="preserve">'label' =&gt; 'Task', </v>
      </c>
      <c r="F34" s="50" t="str">
        <f t="shared" ca="1" si="4"/>
        <v xml:space="preserve">'field' =&gt; 'name', </v>
      </c>
      <c r="G34" s="50" t="str">
        <f t="shared" ca="1" si="4"/>
        <v xml:space="preserve">'relation' =&gt; '800809', </v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'802527', </v>
      </c>
      <c r="D35" s="50" t="str">
        <f t="shared" ca="1" si="4"/>
        <v xml:space="preserve">'resource_list' =&gt; '802211', </v>
      </c>
      <c r="E35" s="50" t="str">
        <f t="shared" ca="1" si="4"/>
        <v xml:space="preserve">'label' =&gt; 'Status', </v>
      </c>
      <c r="F35" s="50" t="str">
        <f t="shared" ca="1" si="4"/>
        <v xml:space="preserve">'field' =&gt; 'progress', </v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'802528', </v>
      </c>
      <c r="D36" s="50" t="str">
        <f t="shared" ca="1" si="4"/>
        <v xml:space="preserve">'resource_list' =&gt; '802211', </v>
      </c>
      <c r="E36" s="50" t="str">
        <f t="shared" ca="1" si="4"/>
        <v xml:space="preserve">'label' =&gt; 'Date', </v>
      </c>
      <c r="F36" s="50" t="str">
        <f t="shared" ca="1" si="4"/>
        <v xml:space="preserve">'field' =&gt; 'updated_at', </v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'802529', </v>
      </c>
      <c r="D37" s="50" t="str">
        <f t="shared" ca="1" si="4"/>
        <v xml:space="preserve">'resource_list' =&gt; '802211', </v>
      </c>
      <c r="E37" s="50" t="str">
        <f t="shared" ca="1" si="4"/>
        <v xml:space="preserve">'label' =&gt; 'Remarks', </v>
      </c>
      <c r="F37" s="50" t="str">
        <f t="shared" ca="1" si="4"/>
        <v xml:space="preserve">'field' =&gt; 'remarks', </v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'802530', </v>
      </c>
      <c r="D38" s="50" t="str">
        <f t="shared" ca="1" si="4"/>
        <v xml:space="preserve">'resource_list' =&gt; '802212', </v>
      </c>
      <c r="E38" s="50" t="str">
        <f t="shared" ca="1" si="4"/>
        <v xml:space="preserve">'label' =&gt; 'Name', </v>
      </c>
      <c r="F38" s="50" t="str">
        <f t="shared" ca="1" si="4"/>
        <v xml:space="preserve">'field' =&gt; 'name', </v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'802531', </v>
      </c>
      <c r="D39" s="50" t="str">
        <f t="shared" ca="1" si="4"/>
        <v xml:space="preserve">'resource_list' =&gt; '802212', </v>
      </c>
      <c r="E39" s="50" t="str">
        <f t="shared" ca="1" si="4"/>
        <v xml:space="preserve">'label' =&gt; 'Status', </v>
      </c>
      <c r="F39" s="50" t="str">
        <f t="shared" ca="1" si="4"/>
        <v xml:space="preserve">'field' =&gt; 'status', </v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'802532', </v>
      </c>
      <c r="D40" s="50" t="str">
        <f t="shared" ca="1" si="4"/>
        <v xml:space="preserve">'resource_list' =&gt; '802213', </v>
      </c>
      <c r="E40" s="50" t="str">
        <f t="shared" ca="1" si="4"/>
        <v xml:space="preserve">'label' =&gt; 'Name', </v>
      </c>
      <c r="F40" s="50" t="str">
        <f t="shared" ca="1" si="4"/>
        <v xml:space="preserve">'field' =&gt; 'name', </v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'802533', </v>
      </c>
      <c r="D41" s="50" t="str">
        <f t="shared" ca="1" si="6"/>
        <v xml:space="preserve">'resource_list' =&gt; '802213', </v>
      </c>
      <c r="E41" s="50" t="str">
        <f t="shared" ca="1" si="6"/>
        <v xml:space="preserve">'label' =&gt; 'Pending Tasks', </v>
      </c>
      <c r="F41" s="50" t="str">
        <f t="shared" ca="1" si="6"/>
        <v xml:space="preserve">'field' =&gt; 'new_count', </v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'802534', </v>
      </c>
      <c r="D42" s="50" t="str">
        <f t="shared" ca="1" si="6"/>
        <v xml:space="preserve">'resource_list' =&gt; '802213', </v>
      </c>
      <c r="E42" s="50" t="str">
        <f t="shared" ca="1" si="6"/>
        <v xml:space="preserve">'label' =&gt; 'Completed Tasks', </v>
      </c>
      <c r="F42" s="50" t="str">
        <f t="shared" ca="1" si="6"/>
        <v xml:space="preserve">'field' =&gt; 'completed_count', </v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'802535', </v>
      </c>
      <c r="D43" s="50" t="str">
        <f t="shared" ca="1" si="6"/>
        <v xml:space="preserve">'resource_list' =&gt; '802214', </v>
      </c>
      <c r="E43" s="50" t="str">
        <f t="shared" ca="1" si="6"/>
        <v xml:space="preserve">'label' =&gt; 'Name', </v>
      </c>
      <c r="F43" s="50" t="str">
        <f t="shared" ca="1" si="6"/>
        <v xml:space="preserve">'field' =&gt; 'name', </v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'802536', </v>
      </c>
      <c r="D44" s="50" t="str">
        <f t="shared" ca="1" si="6"/>
        <v xml:space="preserve">'resource_list' =&gt; '802214', </v>
      </c>
      <c r="E44" s="50" t="str">
        <f t="shared" ca="1" si="6"/>
        <v xml:space="preserve">'label' =&gt; 'Email', </v>
      </c>
      <c r="F44" s="50" t="str">
        <f t="shared" ca="1" si="6"/>
        <v xml:space="preserve">'field' =&gt; 'email', </v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'802537', </v>
      </c>
      <c r="D45" s="50" t="str">
        <f t="shared" ca="1" si="6"/>
        <v xml:space="preserve">'resource_list' =&gt; '802215', </v>
      </c>
      <c r="E45" s="50" t="str">
        <f t="shared" ca="1" si="6"/>
        <v xml:space="preserve">'label' =&gt; 'Category', </v>
      </c>
      <c r="F45" s="50" t="str">
        <f t="shared" ca="1" si="6"/>
        <v xml:space="preserve">'field' =&gt; 'name', </v>
      </c>
      <c r="G45" s="50" t="str">
        <f t="shared" ca="1" si="6"/>
        <v xml:space="preserve">'relation' =&gt; '800814', </v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'802538', </v>
      </c>
      <c r="D46" s="50" t="str">
        <f t="shared" ca="1" si="6"/>
        <v xml:space="preserve">'resource_list' =&gt; '802215', </v>
      </c>
      <c r="E46" s="50" t="str">
        <f t="shared" ca="1" si="6"/>
        <v xml:space="preserve">'label' =&gt; 'Task', </v>
      </c>
      <c r="F46" s="50" t="str">
        <f t="shared" ca="1" si="6"/>
        <v xml:space="preserve">'field' =&gt; 'name', </v>
      </c>
      <c r="G46" s="50" t="str">
        <f t="shared" ca="1" si="6"/>
        <v xml:space="preserve">'relation' =&gt; '800809', </v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'802539', </v>
      </c>
      <c r="D47" s="50" t="str">
        <f t="shared" ca="1" si="6"/>
        <v xml:space="preserve">'resource_list' =&gt; '802215', </v>
      </c>
      <c r="E47" s="50" t="str">
        <f t="shared" ca="1" si="6"/>
        <v xml:space="preserve">'label' =&gt; 'Partner', </v>
      </c>
      <c r="F47" s="50" t="str">
        <f t="shared" ca="1" si="6"/>
        <v xml:space="preserve">'field' =&gt; 'name', </v>
      </c>
      <c r="G47" s="50" t="str">
        <f t="shared" ca="1" si="6"/>
        <v xml:space="preserve">'relation' =&gt; '800810', </v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'802540', </v>
      </c>
      <c r="D48" s="50" t="str">
        <f t="shared" ca="1" si="6"/>
        <v xml:space="preserve">'resource_list' =&gt; '802215', </v>
      </c>
      <c r="E48" s="50" t="str">
        <f t="shared" ca="1" si="6"/>
        <v xml:space="preserve">'label' =&gt; 'Progress', </v>
      </c>
      <c r="F48" s="50" t="str">
        <f t="shared" ca="1" si="6"/>
        <v xml:space="preserve">'field' =&gt; 'progress', </v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'802541', </v>
      </c>
      <c r="D49" s="50" t="str">
        <f t="shared" ca="1" si="6"/>
        <v xml:space="preserve">'resource_list' =&gt; '802215', </v>
      </c>
      <c r="E49" s="50" t="str">
        <f t="shared" ca="1" si="6"/>
        <v xml:space="preserve">'label' =&gt; 'Remarks', </v>
      </c>
      <c r="F49" s="50" t="str">
        <f t="shared" ca="1" si="6"/>
        <v xml:space="preserve">'field' =&gt; 'remarks', </v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'802542', </v>
      </c>
      <c r="D50" s="50" t="str">
        <f t="shared" ca="1" si="6"/>
        <v xml:space="preserve">'resource_list' =&gt; '802215', </v>
      </c>
      <c r="E50" s="50" t="str">
        <f t="shared" ca="1" si="6"/>
        <v xml:space="preserve">'label' =&gt; 'Updated', </v>
      </c>
      <c r="F50" s="50" t="str">
        <f t="shared" ca="1" si="6"/>
        <v xml:space="preserve">'field' =&gt; 'updated_at', </v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-&gt;create([</v>
      </c>
      <c r="C51" s="50" t="str">
        <f t="shared" ca="1" si="6"/>
        <v xml:space="preserve">'id' =&gt; '802543', </v>
      </c>
      <c r="D51" s="50" t="str">
        <f t="shared" ca="1" si="6"/>
        <v xml:space="preserve">'resource_list' =&gt; '802216', </v>
      </c>
      <c r="E51" s="50" t="str">
        <f t="shared" ca="1" si="6"/>
        <v xml:space="preserve">'label' =&gt; 'Category', </v>
      </c>
      <c r="F51" s="50" t="str">
        <f t="shared" ca="1" si="6"/>
        <v xml:space="preserve">'field' =&gt; 'name', </v>
      </c>
      <c r="G51" s="50" t="str">
        <f t="shared" ca="1" si="6"/>
        <v xml:space="preserve">'relation' =&gt; '800814', </v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>])</v>
      </c>
    </row>
    <row r="52" spans="1:18" x14ac:dyDescent="0.25">
      <c r="A52" s="21">
        <v>44</v>
      </c>
      <c r="B52" s="22" t="str">
        <f t="shared" ca="1" si="3"/>
        <v>-&gt;create([</v>
      </c>
      <c r="C52" s="50" t="str">
        <f t="shared" ca="1" si="6"/>
        <v xml:space="preserve">'id' =&gt; '802544', </v>
      </c>
      <c r="D52" s="50" t="str">
        <f t="shared" ca="1" si="6"/>
        <v xml:space="preserve">'resource_list' =&gt; '802216', </v>
      </c>
      <c r="E52" s="50" t="str">
        <f t="shared" ca="1" si="6"/>
        <v xml:space="preserve">'label' =&gt; 'Task', </v>
      </c>
      <c r="F52" s="50" t="str">
        <f t="shared" ca="1" si="6"/>
        <v xml:space="preserve">'field' =&gt; 'name', </v>
      </c>
      <c r="G52" s="50" t="str">
        <f t="shared" ca="1" si="6"/>
        <v xml:space="preserve">'relation' =&gt; '800809', </v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>])</v>
      </c>
    </row>
    <row r="53" spans="1:18" x14ac:dyDescent="0.25">
      <c r="A53" s="21">
        <v>45</v>
      </c>
      <c r="B53" s="22" t="str">
        <f t="shared" ca="1" si="3"/>
        <v>-&gt;create([</v>
      </c>
      <c r="C53" s="50" t="str">
        <f t="shared" ca="1" si="6"/>
        <v xml:space="preserve">'id' =&gt; '802545', </v>
      </c>
      <c r="D53" s="50" t="str">
        <f t="shared" ca="1" si="6"/>
        <v xml:space="preserve">'resource_list' =&gt; '802216', </v>
      </c>
      <c r="E53" s="50" t="str">
        <f t="shared" ca="1" si="6"/>
        <v xml:space="preserve">'label' =&gt; 'Partner', </v>
      </c>
      <c r="F53" s="50" t="str">
        <f t="shared" ca="1" si="6"/>
        <v xml:space="preserve">'field' =&gt; 'name', </v>
      </c>
      <c r="G53" s="50" t="str">
        <f t="shared" ca="1" si="6"/>
        <v xml:space="preserve">'relation' =&gt; '800810', </v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>])</v>
      </c>
    </row>
    <row r="54" spans="1:18" x14ac:dyDescent="0.25">
      <c r="A54" s="21">
        <v>46</v>
      </c>
      <c r="B54" s="22" t="str">
        <f t="shared" ca="1" si="3"/>
        <v>-&gt;create([</v>
      </c>
      <c r="C54" s="50" t="str">
        <f t="shared" ca="1" si="6"/>
        <v xml:space="preserve">'id' =&gt; '802546', </v>
      </c>
      <c r="D54" s="50" t="str">
        <f t="shared" ca="1" si="6"/>
        <v xml:space="preserve">'resource_list' =&gt; '802216', </v>
      </c>
      <c r="E54" s="50" t="str">
        <f t="shared" ca="1" si="6"/>
        <v xml:space="preserve">'label' =&gt; 'Progress', </v>
      </c>
      <c r="F54" s="50" t="str">
        <f t="shared" ca="1" si="6"/>
        <v xml:space="preserve">'field' =&gt; 'progress', </v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>])</v>
      </c>
    </row>
    <row r="55" spans="1:18" x14ac:dyDescent="0.25">
      <c r="A55" s="21">
        <v>47</v>
      </c>
      <c r="B55" s="22" t="str">
        <f t="shared" ca="1" si="3"/>
        <v>-&gt;create([</v>
      </c>
      <c r="C55" s="50" t="str">
        <f t="shared" ca="1" si="6"/>
        <v xml:space="preserve">'id' =&gt; '802547', </v>
      </c>
      <c r="D55" s="50" t="str">
        <f t="shared" ca="1" si="6"/>
        <v xml:space="preserve">'resource_list' =&gt; '802216', </v>
      </c>
      <c r="E55" s="50" t="str">
        <f t="shared" ca="1" si="6"/>
        <v xml:space="preserve">'label' =&gt; 'Remarks', </v>
      </c>
      <c r="F55" s="50" t="str">
        <f t="shared" ca="1" si="6"/>
        <v xml:space="preserve">'field' =&gt; 'remarks', </v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>])</v>
      </c>
    </row>
    <row r="56" spans="1:18" x14ac:dyDescent="0.25">
      <c r="A56" s="21">
        <v>48</v>
      </c>
      <c r="B56" s="22" t="str">
        <f t="shared" ca="1" si="3"/>
        <v>-&gt;create([</v>
      </c>
      <c r="C56" s="50" t="str">
        <f t="shared" ca="1" si="6"/>
        <v xml:space="preserve">'id' =&gt; '802548', </v>
      </c>
      <c r="D56" s="50" t="str">
        <f t="shared" ca="1" si="6"/>
        <v xml:space="preserve">'resource_list' =&gt; '802216', </v>
      </c>
      <c r="E56" s="50" t="str">
        <f t="shared" ca="1" si="6"/>
        <v xml:space="preserve">'label' =&gt; 'Updated', </v>
      </c>
      <c r="F56" s="50" t="str">
        <f t="shared" ca="1" si="6"/>
        <v xml:space="preserve">'field' =&gt; 'updated_at', </v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>])</v>
      </c>
    </row>
    <row r="57" spans="1:18" x14ac:dyDescent="0.25">
      <c r="A57" s="21">
        <v>49</v>
      </c>
      <c r="B57" s="22" t="str">
        <f t="shared" ca="1" si="3"/>
        <v>;</v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>\DB::statement('set foreign_key_checks = ' . $_);</v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E1" workbookViewId="0">
      <selection activeCell="M9" sqref="M9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1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480</v>
      </c>
      <c r="O1" s="20" t="s">
        <v>538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539</v>
      </c>
      <c r="X1" s="20" t="s">
        <v>540</v>
      </c>
      <c r="Y1" s="20" t="s">
        <v>541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62" t="str">
        <f>Page&amp;"-"&amp;(COUNTA($E$1:ResourceTable[[#This Row],[Name]])-2)</f>
        <v>Resources-1</v>
      </c>
      <c r="B3" s="60" t="str">
        <f>ResourceTable[[#This Row],[Name]]</f>
        <v>Partner</v>
      </c>
      <c r="C3" s="64">
        <f>COUNTA($A$1:ResourceTable[[#This Row],[Primary]])-2</f>
        <v>1</v>
      </c>
      <c r="D3" s="64">
        <f>IF(ResourceTable[[#This Row],[RID]]=0,"id",ResourceTable[[#This Row],[RID]]+IF(ISNUMBER(VLOOKUP(Page,SeedMap[],9,0)),VLOOKUP(Page,SeedMap[],9,0),0))</f>
        <v>800501</v>
      </c>
      <c r="E3" s="63" t="s">
        <v>843</v>
      </c>
      <c r="F3" s="63" t="s">
        <v>847</v>
      </c>
      <c r="G3" s="63" t="s">
        <v>852</v>
      </c>
      <c r="H3" s="62" t="str">
        <f t="shared" ref="H3:H10" si="0">"Milestone\Task\Model"</f>
        <v>Milestone\Task\Model</v>
      </c>
      <c r="I3" s="63" t="s">
        <v>75</v>
      </c>
      <c r="J3" s="63"/>
      <c r="K3" s="63"/>
      <c r="L3" s="63"/>
      <c r="M3" s="64">
        <f>ResourceTable[No]</f>
        <v>800501</v>
      </c>
    </row>
    <row r="4" spans="1:26" x14ac:dyDescent="0.25">
      <c r="A4" s="62" t="str">
        <f>Page&amp;"-"&amp;(COUNTA($E$1:ResourceTable[[#This Row],[Name]])-2)</f>
        <v>Resources-2</v>
      </c>
      <c r="B4" s="60" t="str">
        <f>ResourceTable[[#This Row],[Name]]</f>
        <v>Group</v>
      </c>
      <c r="C4" s="64">
        <f>COUNTA($A$1:ResourceTable[[#This Row],[Primary]])-2</f>
        <v>2</v>
      </c>
      <c r="D4" s="64">
        <f>IF(ResourceTable[[#This Row],[RID]]=0,"id",ResourceTable[[#This Row],[RID]]+IF(ISNUMBER(VLOOKUP(Page,SeedMap[],9,0)),VLOOKUP(Page,SeedMap[],9,0),0))</f>
        <v>800502</v>
      </c>
      <c r="E4" s="63" t="s">
        <v>96</v>
      </c>
      <c r="F4" s="63" t="s">
        <v>848</v>
      </c>
      <c r="G4" s="63" t="s">
        <v>76</v>
      </c>
      <c r="H4" s="62" t="str">
        <f t="shared" si="0"/>
        <v>Milestone\Task\Model</v>
      </c>
      <c r="I4" s="63" t="s">
        <v>59</v>
      </c>
      <c r="J4" s="63"/>
      <c r="K4" s="63"/>
      <c r="L4" s="63"/>
      <c r="M4" s="64">
        <f>ResourceTable[No]</f>
        <v>800502</v>
      </c>
    </row>
    <row r="5" spans="1:26" x14ac:dyDescent="0.25">
      <c r="A5" s="62" t="str">
        <f>Page&amp;"-"&amp;(COUNTA($E$1:ResourceTable[[#This Row],[Name]])-2)</f>
        <v>Resources-3</v>
      </c>
      <c r="B5" s="60" t="str">
        <f>ResourceTable[[#This Row],[Name]]</f>
        <v>Category</v>
      </c>
      <c r="C5" s="64">
        <f>COUNTA($A$1:ResourceTable[[#This Row],[Primary]])-2</f>
        <v>3</v>
      </c>
      <c r="D5" s="64">
        <f>IF(ResourceTable[[#This Row],[RID]]=0,"id",ResourceTable[[#This Row],[RID]]+IF(ISNUMBER(VLOOKUP(Page,SeedMap[],9,0)),VLOOKUP(Page,SeedMap[],9,0),0))</f>
        <v>800503</v>
      </c>
      <c r="E5" s="63" t="s">
        <v>1126</v>
      </c>
      <c r="F5" s="63" t="s">
        <v>1127</v>
      </c>
      <c r="G5" s="63" t="s">
        <v>1128</v>
      </c>
      <c r="H5" s="62" t="str">
        <f>"Milestone\Task\Model"</f>
        <v>Milestone\Task\Model</v>
      </c>
      <c r="I5" s="63" t="s">
        <v>1123</v>
      </c>
      <c r="J5" s="63"/>
      <c r="K5" s="63"/>
      <c r="L5" s="63"/>
      <c r="M5" s="64">
        <f>ResourceTable[No]</f>
        <v>800503</v>
      </c>
    </row>
    <row r="6" spans="1:26" x14ac:dyDescent="0.25">
      <c r="A6" s="62" t="str">
        <f>Page&amp;"-"&amp;(COUNTA($E$1:ResourceTable[[#This Row],[Name]])-2)</f>
        <v>Resources-4</v>
      </c>
      <c r="B6" s="60" t="str">
        <f>ResourceTable[[#This Row],[Name]]</f>
        <v>CategoryTask</v>
      </c>
      <c r="C6" s="64">
        <f>COUNTA($A$1:ResourceTable[[#This Row],[Primary]])-2</f>
        <v>4</v>
      </c>
      <c r="D6" s="64">
        <f>IF(ResourceTable[[#This Row],[RID]]=0,"id",ResourceTable[[#This Row],[RID]]+IF(ISNUMBER(VLOOKUP(Page,SeedMap[],9,0)),VLOOKUP(Page,SeedMap[],9,0),0))</f>
        <v>800504</v>
      </c>
      <c r="E6" s="63" t="s">
        <v>1137</v>
      </c>
      <c r="F6" s="63" t="s">
        <v>1160</v>
      </c>
      <c r="G6" s="63" t="s">
        <v>850</v>
      </c>
      <c r="H6" s="62" t="str">
        <f>"Milestone\Task\Model"</f>
        <v>Milestone\Task\Model</v>
      </c>
      <c r="I6" s="63" t="s">
        <v>1123</v>
      </c>
      <c r="J6" s="63"/>
      <c r="K6" s="63"/>
      <c r="L6" s="63"/>
      <c r="M6" s="64">
        <f>ResourceTable[No]</f>
        <v>800504</v>
      </c>
    </row>
    <row r="7" spans="1:26" x14ac:dyDescent="0.25">
      <c r="A7" s="62" t="str">
        <f>Page&amp;"-"&amp;(COUNTA($E$1:ResourceTable[[#This Row],[Name]])-2)</f>
        <v>Resources-5</v>
      </c>
      <c r="B7" s="60" t="str">
        <f>ResourceTable[[#This Row],[Name]]</f>
        <v>GroupPartner</v>
      </c>
      <c r="C7" s="64">
        <f>COUNTA($A$1:ResourceTable[[#This Row],[Primary]])-2</f>
        <v>5</v>
      </c>
      <c r="D7" s="64">
        <f>IF(ResourceTable[[#This Row],[RID]]=0,"id",ResourceTable[[#This Row],[RID]]+IF(ISNUMBER(VLOOKUP(Page,SeedMap[],9,0)),VLOOKUP(Page,SeedMap[],9,0),0))</f>
        <v>800505</v>
      </c>
      <c r="E7" s="63" t="s">
        <v>844</v>
      </c>
      <c r="F7" s="63" t="s">
        <v>849</v>
      </c>
      <c r="G7" s="63" t="s">
        <v>853</v>
      </c>
      <c r="H7" s="62" t="str">
        <f t="shared" si="0"/>
        <v>Milestone\Task\Model</v>
      </c>
      <c r="I7" s="63" t="s">
        <v>804</v>
      </c>
      <c r="J7" s="63"/>
      <c r="K7" s="63"/>
      <c r="L7" s="63"/>
      <c r="M7" s="64">
        <f>ResourceTable[No]</f>
        <v>800505</v>
      </c>
    </row>
    <row r="8" spans="1:26" x14ac:dyDescent="0.25">
      <c r="A8" s="62" t="str">
        <f>Page&amp;"-"&amp;(COUNTA($E$1:ResourceTable[[#This Row],[Name]])-2)</f>
        <v>Resources-6</v>
      </c>
      <c r="B8" s="60" t="str">
        <f>ResourceTable[[#This Row],[Name]]</f>
        <v>Task</v>
      </c>
      <c r="C8" s="64">
        <f>COUNTA($A$1:ResourceTable[[#This Row],[Primary]])-2</f>
        <v>6</v>
      </c>
      <c r="D8" s="64">
        <f>IF(ResourceTable[[#This Row],[RID]]=0,"id",ResourceTable[[#This Row],[RID]]+IF(ISNUMBER(VLOOKUP(Page,SeedMap[],9,0)),VLOOKUP(Page,SeedMap[],9,0),0))</f>
        <v>800506</v>
      </c>
      <c r="E8" s="63" t="s">
        <v>845</v>
      </c>
      <c r="F8" s="63" t="s">
        <v>850</v>
      </c>
      <c r="G8" s="63" t="s">
        <v>850</v>
      </c>
      <c r="H8" s="62" t="str">
        <f t="shared" si="0"/>
        <v>Milestone\Task\Model</v>
      </c>
      <c r="I8" s="63" t="s">
        <v>802</v>
      </c>
      <c r="J8" s="63"/>
      <c r="K8" s="63"/>
      <c r="L8" s="63"/>
      <c r="M8" s="64">
        <f>ResourceTable[No]</f>
        <v>800506</v>
      </c>
    </row>
    <row r="9" spans="1:26" x14ac:dyDescent="0.25">
      <c r="A9" s="62" t="str">
        <f>Page&amp;"-"&amp;(COUNTA($E$1:ResourceTable[[#This Row],[Name]])-2)</f>
        <v>Resources-7</v>
      </c>
      <c r="B9" s="60" t="str">
        <f>ResourceTable[[#This Row],[Name]]</f>
        <v>PartnerTask</v>
      </c>
      <c r="C9" s="64">
        <f>COUNTA($A$1:ResourceTable[[#This Row],[Primary]])-2</f>
        <v>7</v>
      </c>
      <c r="D9" s="64">
        <f>IF(ResourceTable[[#This Row],[RID]]=0,"id",ResourceTable[[#This Row],[RID]]+IF(ISNUMBER(VLOOKUP(Page,SeedMap[],9,0)),VLOOKUP(Page,SeedMap[],9,0),0))</f>
        <v>800507</v>
      </c>
      <c r="E9" s="63" t="s">
        <v>846</v>
      </c>
      <c r="F9" s="63" t="s">
        <v>851</v>
      </c>
      <c r="G9" s="63" t="s">
        <v>850</v>
      </c>
      <c r="H9" s="62" t="str">
        <f t="shared" si="0"/>
        <v>Milestone\Task\Model</v>
      </c>
      <c r="I9" s="63" t="s">
        <v>805</v>
      </c>
      <c r="J9" s="63"/>
      <c r="K9" s="63"/>
      <c r="L9" s="63"/>
      <c r="M9" s="64">
        <f>ResourceTable[No]</f>
        <v>800507</v>
      </c>
    </row>
    <row r="10" spans="1:26" x14ac:dyDescent="0.25">
      <c r="A10" s="6" t="str">
        <f>Page&amp;"-"&amp;(COUNTA($E$1:ResourceTable[[#This Row],[Name]])-2)</f>
        <v>Resources-8</v>
      </c>
      <c r="B10" s="15" t="str">
        <f>ResourceTable[[#This Row],[Name]]</f>
        <v>Profile</v>
      </c>
      <c r="C10" s="3">
        <f>COUNTA($A$1:ResourceTable[[#This Row],[Primary]])-2</f>
        <v>8</v>
      </c>
      <c r="D10" s="3">
        <f>IF(ResourceTable[[#This Row],[RID]]=0,"id",ResourceTable[[#This Row],[RID]]+IF(ISNUMBER(VLOOKUP(Page,SeedMap[],9,0)),VLOOKUP(Page,SeedMap[],9,0),0))</f>
        <v>800508</v>
      </c>
      <c r="E10" s="1" t="s">
        <v>1226</v>
      </c>
      <c r="F10" s="1" t="s">
        <v>1227</v>
      </c>
      <c r="G10" s="1" t="s">
        <v>1226</v>
      </c>
      <c r="H10" s="62" t="str">
        <f t="shared" si="0"/>
        <v>Milestone\Task\Model</v>
      </c>
      <c r="I10" s="63" t="s">
        <v>75</v>
      </c>
      <c r="J10" s="1"/>
      <c r="K10" s="1"/>
      <c r="L10" s="1"/>
      <c r="M10" s="3">
        <f>ResourceTable[No]</f>
        <v>800508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opLeftCell="E1" workbookViewId="0">
      <selection activeCell="U10" sqref="U10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406</v>
      </c>
      <c r="R1" s="20" t="s">
        <v>407</v>
      </c>
      <c r="S1" s="20" t="s">
        <v>99</v>
      </c>
      <c r="T1" s="20" t="s">
        <v>386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7" t="str">
        <f>Page&amp;"-"&amp;(COUNTA($E$1:RelationTable[[#This Row],[Resource]])-1)</f>
        <v>Resource Relations-1</v>
      </c>
      <c r="B3" s="64">
        <f>IF(RelationTable[[#This Row],[Resource]]="","id",COUNTA($E$2:RelationTable[[#This Row],[Resource]])+IF(ISNUMBER(VLOOKUP('Table Seed Map'!$A$10,SeedMap[],9,0)),VLOOKUP('Table Seed Map'!$A$10,SeedMap[],9,0),0))</f>
        <v>800801</v>
      </c>
      <c r="C3" s="60" t="str">
        <f>RelationTable[[#This Row],[Resource]]&amp;"/"&amp;RelationTable[[#This Row],[Method]]</f>
        <v>Partner/Groups</v>
      </c>
      <c r="D3" s="60">
        <f>RelationTable[[#This Row],[No]]</f>
        <v>800801</v>
      </c>
      <c r="E3" s="60" t="s">
        <v>843</v>
      </c>
      <c r="F3" s="15" t="s">
        <v>96</v>
      </c>
      <c r="G3" s="60">
        <f>RelationTable[[#This Row],[No]]</f>
        <v>800801</v>
      </c>
      <c r="H3" s="60">
        <f>IF(RelationTable[[#This Row],[No]]="id","resource",VLOOKUP(RelationTable[Resource],CHOOSE({1,2},ResourceTable[Name],ResourceTable[No]),2,0))</f>
        <v>800501</v>
      </c>
      <c r="I3" s="60" t="s">
        <v>867</v>
      </c>
      <c r="J3" s="60" t="s">
        <v>868</v>
      </c>
      <c r="K3" s="60" t="s">
        <v>76</v>
      </c>
      <c r="L3" s="60" t="s">
        <v>869</v>
      </c>
      <c r="M3" s="68">
        <f>VLOOKUP(RelationTable[Relate Resource],CHOOSE({1,2},ResourceTable[Name],ResourceTable[No]),2,0)</f>
        <v>800502</v>
      </c>
      <c r="N3" s="69">
        <f>RelationTable[RELID]</f>
        <v>800801</v>
      </c>
      <c r="P3" s="62" t="str">
        <f>'Table Seed Map'!$A$9&amp;"-"&amp;COUNTA($Q$1:ResourceScopes[[#This Row],[Resource for Scope]])-1</f>
        <v>Resource Scopes-1</v>
      </c>
      <c r="Q3" s="63" t="s">
        <v>846</v>
      </c>
      <c r="R3" s="62" t="str">
        <f>ResourceScopes[[#This Row],[Resource for Scope]]&amp;"/"&amp;ResourceScopes[[#This Row],[Name]]</f>
        <v>PartnerTask/NewTasks</v>
      </c>
      <c r="S3" s="60">
        <f>IF(ResourceScopes[[#This Row],[Resource for Scope]]="","id",-1+COUNTA($Q$1:ResourceScopes[[#This Row],[Resource for Scope]])+VLOOKUP('Table Seed Map'!$A$9,SeedMap[],9,0))</f>
        <v>800701</v>
      </c>
      <c r="T3" s="60">
        <f>IFERROR(VLOOKUP(ResourceScopes[[#This Row],[Resource for Scope]],CHOOSE({1,2},ResourceTable[Name],ResourceTable[No]),2,0),"resource")</f>
        <v>800507</v>
      </c>
      <c r="U3" s="63" t="s">
        <v>884</v>
      </c>
      <c r="V3" s="63" t="s">
        <v>885</v>
      </c>
      <c r="W3" s="63" t="s">
        <v>886</v>
      </c>
    </row>
    <row r="4" spans="1:23" x14ac:dyDescent="0.25">
      <c r="A4" s="67" t="str">
        <f>Page&amp;"-"&amp;(COUNTA($E$1:RelationTable[[#This Row],[Resource]])-1)</f>
        <v>Resource Relations-2</v>
      </c>
      <c r="B4" s="64">
        <f>IF(RelationTable[[#This Row],[Resource]]="","id",COUNTA($E$2:RelationTable[[#This Row],[Resource]])+IF(ISNUMBER(VLOOKUP('Table Seed Map'!$A$10,SeedMap[],9,0)),VLOOKUP('Table Seed Map'!$A$10,SeedMap[],9,0),0))</f>
        <v>800802</v>
      </c>
      <c r="C4" s="60" t="str">
        <f>RelationTable[[#This Row],[Resource]]&amp;"/"&amp;RelationTable[[#This Row],[Method]]</f>
        <v>Partner/Tasks</v>
      </c>
      <c r="D4" s="60">
        <f>RelationTable[[#This Row],[No]]</f>
        <v>800802</v>
      </c>
      <c r="E4" s="60" t="s">
        <v>843</v>
      </c>
      <c r="F4" s="62" t="s">
        <v>845</v>
      </c>
      <c r="G4" s="60">
        <f>RelationTable[[#This Row],[No]]</f>
        <v>800802</v>
      </c>
      <c r="H4" s="60">
        <f>IF(RelationTable[[#This Row],[No]]="id","resource",VLOOKUP(RelationTable[Resource],CHOOSE({1,2},ResourceTable[Name],ResourceTable[No]),2,0))</f>
        <v>800501</v>
      </c>
      <c r="I4" s="60" t="s">
        <v>870</v>
      </c>
      <c r="J4" s="60" t="s">
        <v>871</v>
      </c>
      <c r="K4" s="60" t="s">
        <v>850</v>
      </c>
      <c r="L4" s="60" t="s">
        <v>869</v>
      </c>
      <c r="M4" s="68">
        <f>VLOOKUP(RelationTable[Relate Resource],CHOOSE({1,2},ResourceTable[Name],ResourceTable[No]),2,0)</f>
        <v>800506</v>
      </c>
      <c r="N4" s="69">
        <f>RelationTable[RELID]</f>
        <v>800802</v>
      </c>
      <c r="P4" s="62" t="str">
        <f>'Table Seed Map'!$A$9&amp;"-"&amp;COUNTA($Q$1:ResourceScopes[[#This Row],[Resource for Scope]])-1</f>
        <v>Resource Scopes-2</v>
      </c>
      <c r="Q4" s="63" t="s">
        <v>846</v>
      </c>
      <c r="R4" s="62" t="str">
        <f>ResourceScopes[[#This Row],[Resource for Scope]]&amp;"/"&amp;ResourceScopes[[#This Row],[Name]]</f>
        <v>PartnerTask/CompletedTasks</v>
      </c>
      <c r="S4" s="60">
        <f>IF(ResourceScopes[[#This Row],[Resource for Scope]]="","id",-1+COUNTA($Q$1:ResourceScopes[[#This Row],[Resource for Scope]])+VLOOKUP('Table Seed Map'!$A$9,SeedMap[],9,0))</f>
        <v>800702</v>
      </c>
      <c r="T4" s="60">
        <f>IFERROR(VLOOKUP(ResourceScopes[[#This Row],[Resource for Scope]],CHOOSE({1,2},ResourceTable[Name],ResourceTable[No]),2,0),"resource")</f>
        <v>800507</v>
      </c>
      <c r="U4" s="63" t="s">
        <v>889</v>
      </c>
      <c r="V4" s="63" t="s">
        <v>887</v>
      </c>
      <c r="W4" s="63" t="s">
        <v>822</v>
      </c>
    </row>
    <row r="5" spans="1:23" x14ac:dyDescent="0.25">
      <c r="A5" s="67" t="str">
        <f>Page&amp;"-"&amp;(COUNTA($E$1:RelationTable[[#This Row],[Resource]])-1)</f>
        <v>Resource Relations-3</v>
      </c>
      <c r="B5" s="64">
        <f>IF(RelationTable[[#This Row],[Resource]]="","id",COUNTA($E$2:RelationTable[[#This Row],[Resource]])+IF(ISNUMBER(VLOOKUP('Table Seed Map'!$A$10,SeedMap[],9,0)),VLOOKUP('Table Seed Map'!$A$10,SeedMap[],9,0),0))</f>
        <v>800803</v>
      </c>
      <c r="C5" s="60" t="str">
        <f>RelationTable[[#This Row],[Resource]]&amp;"/"&amp;RelationTable[[#This Row],[Method]]</f>
        <v>Group/Partners</v>
      </c>
      <c r="D5" s="60">
        <f>RelationTable[[#This Row],[No]]</f>
        <v>800803</v>
      </c>
      <c r="E5" s="60" t="s">
        <v>96</v>
      </c>
      <c r="F5" s="62" t="s">
        <v>843</v>
      </c>
      <c r="G5" s="60">
        <f>RelationTable[[#This Row],[No]]</f>
        <v>800803</v>
      </c>
      <c r="H5" s="60">
        <f>IF(RelationTable[[#This Row],[No]]="id","resource",VLOOKUP(RelationTable[Resource],CHOOSE({1,2},ResourceTable[Name],ResourceTable[No]),2,0))</f>
        <v>800502</v>
      </c>
      <c r="I5" s="60" t="s">
        <v>874</v>
      </c>
      <c r="J5" s="60" t="s">
        <v>875</v>
      </c>
      <c r="K5" s="60" t="s">
        <v>852</v>
      </c>
      <c r="L5" s="60" t="s">
        <v>869</v>
      </c>
      <c r="M5" s="68">
        <f>VLOOKUP(RelationTable[Relate Resource],CHOOSE({1,2},ResourceTable[Name],ResourceTable[No]),2,0)</f>
        <v>800501</v>
      </c>
      <c r="N5" s="69">
        <f>RelationTable[RELID]</f>
        <v>800803</v>
      </c>
      <c r="P5" s="62" t="str">
        <f>'Table Seed Map'!$A$9&amp;"-"&amp;COUNTA($Q$1:ResourceScopes[[#This Row],[Resource for Scope]])-1</f>
        <v>Resource Scopes-3</v>
      </c>
      <c r="Q5" s="63" t="s">
        <v>846</v>
      </c>
      <c r="R5" s="62" t="str">
        <f>ResourceScopes[[#This Row],[Resource for Scope]]&amp;"/"&amp;ResourceScopes[[#This Row],[Name]]</f>
        <v>PartnerTask/DismissedTasks</v>
      </c>
      <c r="S5" s="60">
        <f>IF(ResourceScopes[[#This Row],[Resource for Scope]]="","id",-1+COUNTA($Q$1:ResourceScopes[[#This Row],[Resource for Scope]])+VLOOKUP('Table Seed Map'!$A$9,SeedMap[],9,0))</f>
        <v>800703</v>
      </c>
      <c r="T5" s="60">
        <f>IFERROR(VLOOKUP(ResourceScopes[[#This Row],[Resource for Scope]],CHOOSE({1,2},ResourceTable[Name],ResourceTable[No]),2,0),"resource")</f>
        <v>800507</v>
      </c>
      <c r="U5" s="63" t="s">
        <v>890</v>
      </c>
      <c r="V5" s="63" t="s">
        <v>888</v>
      </c>
      <c r="W5" s="63" t="s">
        <v>821</v>
      </c>
    </row>
    <row r="6" spans="1:23" x14ac:dyDescent="0.25">
      <c r="A6" s="67" t="str">
        <f>Page&amp;"-"&amp;(COUNTA($E$1:RelationTable[[#This Row],[Resource]])-1)</f>
        <v>Resource Relations-4</v>
      </c>
      <c r="B6" s="64">
        <f>IF(RelationTable[[#This Row],[Resource]]="","id",COUNTA($E$2:RelationTable[[#This Row],[Resource]])+IF(ISNUMBER(VLOOKUP('Table Seed Map'!$A$10,SeedMap[],9,0)),VLOOKUP('Table Seed Map'!$A$10,SeedMap[],9,0),0))</f>
        <v>800804</v>
      </c>
      <c r="C6" s="60" t="str">
        <f>RelationTable[[#This Row],[Resource]]&amp;"/"&amp;RelationTable[[#This Row],[Method]]</f>
        <v>Task/Main</v>
      </c>
      <c r="D6" s="60">
        <f>RelationTable[[#This Row],[No]]</f>
        <v>800804</v>
      </c>
      <c r="E6" s="60" t="s">
        <v>845</v>
      </c>
      <c r="F6" s="62" t="s">
        <v>845</v>
      </c>
      <c r="G6" s="60">
        <f>RelationTable[[#This Row],[No]]</f>
        <v>800804</v>
      </c>
      <c r="H6" s="60">
        <f>IF(RelationTable[[#This Row],[No]]="id","resource",VLOOKUP(RelationTable[Resource],CHOOSE({1,2},ResourceTable[Name],ResourceTable[No]),2,0))</f>
        <v>800506</v>
      </c>
      <c r="I6" s="60" t="s">
        <v>877</v>
      </c>
      <c r="J6" s="60" t="s">
        <v>878</v>
      </c>
      <c r="K6" s="60" t="s">
        <v>879</v>
      </c>
      <c r="L6" s="60" t="s">
        <v>880</v>
      </c>
      <c r="M6" s="68">
        <f>VLOOKUP(RelationTable[Relate Resource],CHOOSE({1,2},ResourceTable[Name],ResourceTable[No]),2,0)</f>
        <v>800506</v>
      </c>
      <c r="N6" s="69">
        <f>RelationTable[RELID]</f>
        <v>800804</v>
      </c>
      <c r="P6" s="62" t="str">
        <f>'Table Seed Map'!$A$9&amp;"-"&amp;COUNTA($Q$1:ResourceScopes[[#This Row],[Resource for Scope]])-1</f>
        <v>Resource Scopes-4</v>
      </c>
      <c r="Q6" s="63" t="s">
        <v>846</v>
      </c>
      <c r="R6" s="62" t="str">
        <f>ResourceScopes[[#This Row],[Resource for Scope]]&amp;"/"&amp;ResourceScopes[[#This Row],[Name]]</f>
        <v>PartnerTask/ReturnedTasks</v>
      </c>
      <c r="S6" s="60">
        <f>IF(ResourceScopes[[#This Row],[Resource for Scope]]="","id",-1+COUNTA($Q$1:ResourceScopes[[#This Row],[Resource for Scope]])+VLOOKUP('Table Seed Map'!$A$9,SeedMap[],9,0))</f>
        <v>800704</v>
      </c>
      <c r="T6" s="60">
        <f>IFERROR(VLOOKUP(ResourceScopes[[#This Row],[Resource for Scope]],CHOOSE({1,2},ResourceTable[Name],ResourceTable[No]),2,0),"resource")</f>
        <v>800507</v>
      </c>
      <c r="U6" s="63" t="s">
        <v>891</v>
      </c>
      <c r="V6" s="63" t="s">
        <v>892</v>
      </c>
      <c r="W6" s="63" t="s">
        <v>820</v>
      </c>
    </row>
    <row r="7" spans="1:23" x14ac:dyDescent="0.25">
      <c r="A7" s="67" t="str">
        <f>Page&amp;"-"&amp;(COUNTA($E$1:RelationTable[[#This Row],[Resource]])-1)</f>
        <v>Resource Relations-5</v>
      </c>
      <c r="B7" s="64">
        <f>IF(RelationTable[[#This Row],[Resource]]="","id",COUNTA($E$2:RelationTable[[#This Row],[Resource]])+IF(ISNUMBER(VLOOKUP('Table Seed Map'!$A$10,SeedMap[],9,0)),VLOOKUP('Table Seed Map'!$A$10,SeedMap[],9,0),0))</f>
        <v>800805</v>
      </c>
      <c r="C7" s="60" t="str">
        <f>RelationTable[[#This Row],[Resource]]&amp;"/"&amp;RelationTable[[#This Row],[Method]]</f>
        <v>Task/Tasks</v>
      </c>
      <c r="D7" s="60">
        <f>RelationTable[[#This Row],[No]]</f>
        <v>800805</v>
      </c>
      <c r="E7" s="60" t="s">
        <v>845</v>
      </c>
      <c r="F7" s="62" t="s">
        <v>845</v>
      </c>
      <c r="G7" s="60">
        <f>RelationTable[[#This Row],[No]]</f>
        <v>800805</v>
      </c>
      <c r="H7" s="60">
        <f>IF(RelationTable[[#This Row],[No]]="id","resource",VLOOKUP(RelationTable[Resource],CHOOSE({1,2},ResourceTable[Name],ResourceTable[No]),2,0))</f>
        <v>800506</v>
      </c>
      <c r="I7" s="60" t="s">
        <v>881</v>
      </c>
      <c r="J7" s="60" t="s">
        <v>882</v>
      </c>
      <c r="K7" s="60" t="s">
        <v>850</v>
      </c>
      <c r="L7" s="60" t="s">
        <v>872</v>
      </c>
      <c r="M7" s="68">
        <f>VLOOKUP(RelationTable[Relate Resource],CHOOSE({1,2},ResourceTable[Name],ResourceTable[No]),2,0)</f>
        <v>800506</v>
      </c>
      <c r="N7" s="69">
        <f>RelationTable[RELID]</f>
        <v>800805</v>
      </c>
      <c r="P7" s="62" t="str">
        <f>'Table Seed Map'!$A$9&amp;"-"&amp;COUNTA($Q$1:ResourceScopes[[#This Row],[Resource for Scope]])-1</f>
        <v>Resource Scopes-5</v>
      </c>
      <c r="Q7" s="63" t="s">
        <v>846</v>
      </c>
      <c r="R7" s="62" t="str">
        <f>ResourceScopes[[#This Row],[Resource for Scope]]&amp;"/"&amp;ResourceScopes[[#This Row],[Name]]</f>
        <v>PartnerTask/RecentlyUpdated</v>
      </c>
      <c r="S7" s="60">
        <f>IF(ResourceScopes[[#This Row],[Resource for Scope]]="","id",-1+COUNTA($Q$1:ResourceScopes[[#This Row],[Resource for Scope]])+VLOOKUP('Table Seed Map'!$A$9,SeedMap[],9,0))</f>
        <v>800705</v>
      </c>
      <c r="T7" s="60">
        <f>IFERROR(VLOOKUP(ResourceScopes[[#This Row],[Resource for Scope]],CHOOSE({1,2},ResourceTable[Name],ResourceTable[No]),2,0),"resource")</f>
        <v>800507</v>
      </c>
      <c r="U7" s="63" t="s">
        <v>1052</v>
      </c>
      <c r="V7" s="63" t="s">
        <v>1053</v>
      </c>
      <c r="W7" s="63" t="s">
        <v>1054</v>
      </c>
    </row>
    <row r="8" spans="1:23" x14ac:dyDescent="0.25">
      <c r="A8" s="67" t="str">
        <f>Page&amp;"-"&amp;(COUNTA($E$1:RelationTable[[#This Row],[Resource]])-1)</f>
        <v>Resource Relations-6</v>
      </c>
      <c r="B8" s="64">
        <f>IF(RelationTable[[#This Row],[Resource]]="","id",COUNTA($E$2:RelationTable[[#This Row],[Resource]])+IF(ISNUMBER(VLOOKUP('Table Seed Map'!$A$10,SeedMap[],9,0)),VLOOKUP('Table Seed Map'!$A$10,SeedMap[],9,0),0))</f>
        <v>800806</v>
      </c>
      <c r="C8" s="60" t="str">
        <f>RelationTable[[#This Row],[Resource]]&amp;"/"&amp;RelationTable[[#This Row],[Method]]</f>
        <v>Task/Partners</v>
      </c>
      <c r="D8" s="60">
        <f>RelationTable[[#This Row],[No]]</f>
        <v>800806</v>
      </c>
      <c r="E8" s="60" t="s">
        <v>845</v>
      </c>
      <c r="F8" s="62" t="s">
        <v>843</v>
      </c>
      <c r="G8" s="60">
        <f>RelationTable[[#This Row],[No]]</f>
        <v>800806</v>
      </c>
      <c r="H8" s="60">
        <f>IF(RelationTable[[#This Row],[No]]="id","resource",VLOOKUP(RelationTable[Resource],CHOOSE({1,2},ResourceTable[Name],ResourceTable[No]),2,0))</f>
        <v>800506</v>
      </c>
      <c r="I8" s="60" t="s">
        <v>971</v>
      </c>
      <c r="J8" s="60" t="s">
        <v>972</v>
      </c>
      <c r="K8" s="60" t="s">
        <v>852</v>
      </c>
      <c r="L8" s="60" t="s">
        <v>869</v>
      </c>
      <c r="M8" s="68">
        <f>VLOOKUP(RelationTable[Relate Resource],CHOOSE({1,2},ResourceTable[Name],ResourceTable[No]),2,0)</f>
        <v>800501</v>
      </c>
      <c r="N8" s="69">
        <f>RelationTable[RELID]</f>
        <v>800806</v>
      </c>
      <c r="P8" s="62" t="str">
        <f>'Table Seed Map'!$A$9&amp;"-"&amp;COUNTA($Q$1:ResourceScopes[[#This Row],[Resource for Scope]])-1</f>
        <v>Resource Scopes-6</v>
      </c>
      <c r="Q8" s="63" t="s">
        <v>845</v>
      </c>
      <c r="R8" s="62" t="str">
        <f>ResourceScopes[[#This Row],[Resource for Scope]]&amp;"/"&amp;ResourceScopes[[#This Row],[Name]]</f>
        <v>Task/RecentlyCompleted</v>
      </c>
      <c r="S8" s="60">
        <f>IF(ResourceScopes[[#This Row],[Resource for Scope]]="","id",-1+COUNTA($Q$1:ResourceScopes[[#This Row],[Resource for Scope]])+VLOOKUP('Table Seed Map'!$A$9,SeedMap[],9,0))</f>
        <v>800706</v>
      </c>
      <c r="T8" s="60">
        <f>IFERROR(VLOOKUP(ResourceScopes[[#This Row],[Resource for Scope]],CHOOSE({1,2},ResourceTable[Name],ResourceTable[No]),2,0),"resource")</f>
        <v>800506</v>
      </c>
      <c r="U8" s="63" t="s">
        <v>1057</v>
      </c>
      <c r="V8" s="63" t="s">
        <v>1058</v>
      </c>
      <c r="W8" s="63" t="s">
        <v>1056</v>
      </c>
    </row>
    <row r="9" spans="1:23" x14ac:dyDescent="0.25">
      <c r="A9" s="67" t="str">
        <f>Page&amp;"-"&amp;(COUNTA($E$1:RelationTable[[#This Row],[Resource]])-1)</f>
        <v>Resource Relations-7</v>
      </c>
      <c r="B9" s="64">
        <f>IF(RelationTable[[#This Row],[Resource]]="","id",COUNTA($E$2:RelationTable[[#This Row],[Resource]])+IF(ISNUMBER(VLOOKUP('Table Seed Map'!$A$10,SeedMap[],9,0)),VLOOKUP('Table Seed Map'!$A$10,SeedMap[],9,0),0))</f>
        <v>800807</v>
      </c>
      <c r="C9" s="60" t="str">
        <f>RelationTable[[#This Row],[Resource]]&amp;"/"&amp;RelationTable[[#This Row],[Method]]</f>
        <v>Task/Progress</v>
      </c>
      <c r="D9" s="60">
        <f>RelationTable[[#This Row],[No]]</f>
        <v>800807</v>
      </c>
      <c r="E9" s="60" t="s">
        <v>845</v>
      </c>
      <c r="F9" s="62" t="s">
        <v>846</v>
      </c>
      <c r="G9" s="60">
        <f>RelationTable[[#This Row],[No]]</f>
        <v>800807</v>
      </c>
      <c r="H9" s="60">
        <f>IF(RelationTable[[#This Row],[No]]="id","resource",VLOOKUP(RelationTable[Resource],CHOOSE({1,2},ResourceTable[Name],ResourceTable[No]),2,0))</f>
        <v>800506</v>
      </c>
      <c r="I9" s="60" t="s">
        <v>876</v>
      </c>
      <c r="J9" s="60" t="s">
        <v>973</v>
      </c>
      <c r="K9" s="60" t="s">
        <v>873</v>
      </c>
      <c r="L9" s="60" t="s">
        <v>872</v>
      </c>
      <c r="M9" s="68">
        <f>VLOOKUP(RelationTable[Relate Resource],CHOOSE({1,2},ResourceTable[Name],ResourceTable[No]),2,0)</f>
        <v>800507</v>
      </c>
      <c r="N9" s="69">
        <f>RelationTable[RELID]</f>
        <v>800807</v>
      </c>
      <c r="P9" s="62" t="str">
        <f>'Table Seed Map'!$A$9&amp;"-"&amp;COUNTA($Q$1:ResourceScopes[[#This Row],[Resource for Scope]])-1</f>
        <v>Resource Scopes-7</v>
      </c>
      <c r="Q9" s="63" t="s">
        <v>1137</v>
      </c>
      <c r="R9" s="62" t="str">
        <f>ResourceScopes[[#This Row],[Resource for Scope]]&amp;"/"&amp;ResourceScopes[[#This Row],[Name]]</f>
        <v>CategoryTask/ProgressCount</v>
      </c>
      <c r="S9" s="60">
        <f>IF(ResourceScopes[[#This Row],[Resource for Scope]]="","id",-1+COUNTA($Q$1:ResourceScopes[[#This Row],[Resource for Scope]])+VLOOKUP('Table Seed Map'!$A$9,SeedMap[],9,0))</f>
        <v>800707</v>
      </c>
      <c r="T9" s="60">
        <f>IFERROR(VLOOKUP(ResourceScopes[[#This Row],[Resource for Scope]],CHOOSE({1,2},ResourceTable[Name],ResourceTable[No]),2,0),"resource")</f>
        <v>800504</v>
      </c>
      <c r="U9" s="63" t="s">
        <v>1182</v>
      </c>
      <c r="V9" s="63" t="s">
        <v>1183</v>
      </c>
      <c r="W9" s="63" t="s">
        <v>1184</v>
      </c>
    </row>
    <row r="10" spans="1:23" x14ac:dyDescent="0.25">
      <c r="A10" s="67" t="str">
        <f>Page&amp;"-"&amp;(COUNTA($E$1:RelationTable[[#This Row],[Resource]])-1)</f>
        <v>Resource Relations-8</v>
      </c>
      <c r="B10" s="64">
        <f>IF(RelationTable[[#This Row],[Resource]]="","id",COUNTA($E$2:RelationTable[[#This Row],[Resource]])+IF(ISNUMBER(VLOOKUP('Table Seed Map'!$A$10,SeedMap[],9,0)),VLOOKUP('Table Seed Map'!$A$10,SeedMap[],9,0),0))</f>
        <v>800808</v>
      </c>
      <c r="C10" s="60" t="str">
        <f>RelationTable[[#This Row],[Resource]]&amp;"/"&amp;RelationTable[[#This Row],[Method]]</f>
        <v>Partner/Progress</v>
      </c>
      <c r="D10" s="60">
        <f>RelationTable[[#This Row],[No]]</f>
        <v>800808</v>
      </c>
      <c r="E10" s="60" t="s">
        <v>843</v>
      </c>
      <c r="F10" s="62" t="s">
        <v>846</v>
      </c>
      <c r="G10" s="60">
        <f>RelationTable[[#This Row],[No]]</f>
        <v>800808</v>
      </c>
      <c r="H10" s="60">
        <f>IF(RelationTable[[#This Row],[No]]="id","resource",VLOOKUP(RelationTable[Resource],CHOOSE({1,2},ResourceTable[Name],ResourceTable[No]),2,0))</f>
        <v>800501</v>
      </c>
      <c r="I10" s="60" t="s">
        <v>974</v>
      </c>
      <c r="J10" s="60" t="s">
        <v>975</v>
      </c>
      <c r="K10" s="60" t="s">
        <v>873</v>
      </c>
      <c r="L10" s="60" t="s">
        <v>872</v>
      </c>
      <c r="M10" s="68">
        <f>VLOOKUP(RelationTable[Relate Resource],CHOOSE({1,2},ResourceTable[Name],ResourceTable[No]),2,0)</f>
        <v>800507</v>
      </c>
      <c r="N10" s="69">
        <f>RelationTable[RELID]</f>
        <v>800808</v>
      </c>
      <c r="P10" s="62" t="str">
        <f>'Table Seed Map'!$A$9&amp;"-"&amp;COUNTA($Q$1:ResourceScopes[[#This Row],[Resource for Scope]])-1</f>
        <v>Resource Scopes-8</v>
      </c>
      <c r="Q10" s="63" t="s">
        <v>846</v>
      </c>
      <c r="R10" s="62" t="str">
        <f>ResourceScopes[[#This Row],[Resource for Scope]]&amp;"/"&amp;ResourceScopes[[#This Row],[Name]]</f>
        <v>PartnerTask/Recent24</v>
      </c>
      <c r="S10" s="60">
        <f>IF(ResourceScopes[[#This Row],[Resource for Scope]]="","id",-1+COUNTA($Q$1:ResourceScopes[[#This Row],[Resource for Scope]])+VLOOKUP('Table Seed Map'!$A$9,SeedMap[],9,0))</f>
        <v>800708</v>
      </c>
      <c r="T10" s="60">
        <f>IFERROR(VLOOKUP(ResourceScopes[[#This Row],[Resource for Scope]],CHOOSE({1,2},ResourceTable[Name],ResourceTable[No]),2,0),"resource")</f>
        <v>800507</v>
      </c>
      <c r="U10" s="63" t="s">
        <v>1259</v>
      </c>
      <c r="V10" s="63" t="s">
        <v>1260</v>
      </c>
      <c r="W10" s="63" t="s">
        <v>1261</v>
      </c>
    </row>
    <row r="11" spans="1:23" x14ac:dyDescent="0.25">
      <c r="A11" s="84" t="str">
        <f>Page&amp;"-"&amp;(COUNTA($E$1:RelationTable[[#This Row],[Resource]])-1)</f>
        <v>Resource Relations-9</v>
      </c>
      <c r="B11" s="3">
        <f>IF(RelationTable[[#This Row],[Resource]]="","id",COUNTA($E$2:RelationTable[[#This Row],[Resource]])+IF(ISNUMBER(VLOOKUP('Table Seed Map'!$A$10,SeedMap[],9,0)),VLOOKUP('Table Seed Map'!$A$10,SeedMap[],9,0),0))</f>
        <v>800809</v>
      </c>
      <c r="C11" s="15" t="str">
        <f>RelationTable[[#This Row],[Resource]]&amp;"/"&amp;RelationTable[[#This Row],[Method]]</f>
        <v>PartnerTask/Task</v>
      </c>
      <c r="D11" s="15">
        <f>RelationTable[[#This Row],[No]]</f>
        <v>800809</v>
      </c>
      <c r="E11" s="15" t="s">
        <v>846</v>
      </c>
      <c r="F11" s="6" t="s">
        <v>845</v>
      </c>
      <c r="G11" s="15">
        <f>RelationTable[[#This Row],[No]]</f>
        <v>800809</v>
      </c>
      <c r="H11" s="15">
        <f>IF(RelationTable[[#This Row],[No]]="id","resource",VLOOKUP(RelationTable[Resource],CHOOSE({1,2},ResourceTable[Name],ResourceTable[No]),2,0))</f>
        <v>800507</v>
      </c>
      <c r="I11" s="15" t="s">
        <v>985</v>
      </c>
      <c r="J11" s="15" t="s">
        <v>986</v>
      </c>
      <c r="K11" s="15" t="s">
        <v>845</v>
      </c>
      <c r="L11" s="15" t="s">
        <v>880</v>
      </c>
      <c r="M11" s="36">
        <f>VLOOKUP(RelationTable[Relate Resource],CHOOSE({1,2},ResourceTable[Name],ResourceTable[No]),2,0)</f>
        <v>800506</v>
      </c>
      <c r="N11" s="53">
        <f>RelationTable[RELID]</f>
        <v>800809</v>
      </c>
      <c r="P11" s="62" t="str">
        <f>'Table Seed Map'!$A$9&amp;"-"&amp;COUNTA($Q$1:ResourceScopes[[#This Row],[Resource for Scope]])-1</f>
        <v>Resource Scopes-9</v>
      </c>
      <c r="Q11" s="63" t="s">
        <v>846</v>
      </c>
      <c r="R11" s="62" t="str">
        <f>ResourceScopes[[#This Row],[Resource for Scope]]&amp;"/"&amp;ResourceScopes[[#This Row],[Name]]</f>
        <v>PartnerTask/Recent48</v>
      </c>
      <c r="S11" s="60">
        <f>IF(ResourceScopes[[#This Row],[Resource for Scope]]="","id",-1+COUNTA($Q$1:ResourceScopes[[#This Row],[Resource for Scope]])+VLOOKUP('Table Seed Map'!$A$9,SeedMap[],9,0))</f>
        <v>800709</v>
      </c>
      <c r="T11" s="60">
        <f>IFERROR(VLOOKUP(ResourceScopes[[#This Row],[Resource for Scope]],CHOOSE({1,2},ResourceTable[Name],ResourceTable[No]),2,0),"resource")</f>
        <v>800507</v>
      </c>
      <c r="U11" s="63" t="s">
        <v>1262</v>
      </c>
      <c r="V11" s="63" t="s">
        <v>1263</v>
      </c>
      <c r="W11" s="63" t="s">
        <v>1264</v>
      </c>
    </row>
    <row r="12" spans="1:23" x14ac:dyDescent="0.25">
      <c r="A12" s="67" t="str">
        <f>Page&amp;"-"&amp;(COUNTA($E$1:RelationTable[[#This Row],[Resource]])-1)</f>
        <v>Resource Relations-10</v>
      </c>
      <c r="B12" s="64">
        <f>IF(RelationTable[[#This Row],[Resource]]="","id",COUNTA($E$2:RelationTable[[#This Row],[Resource]])+IF(ISNUMBER(VLOOKUP('Table Seed Map'!$A$10,SeedMap[],9,0)),VLOOKUP('Table Seed Map'!$A$10,SeedMap[],9,0),0))</f>
        <v>800810</v>
      </c>
      <c r="C12" s="60" t="str">
        <f>RelationTable[[#This Row],[Resource]]&amp;"/"&amp;RelationTable[[#This Row],[Method]]</f>
        <v>PartnerTask/Partner</v>
      </c>
      <c r="D12" s="60">
        <f>RelationTable[[#This Row],[No]]</f>
        <v>800810</v>
      </c>
      <c r="E12" s="60" t="s">
        <v>846</v>
      </c>
      <c r="F12" s="62" t="s">
        <v>843</v>
      </c>
      <c r="G12" s="60">
        <f>RelationTable[[#This Row],[No]]</f>
        <v>800810</v>
      </c>
      <c r="H12" s="60">
        <f>IF(RelationTable[[#This Row],[No]]="id","resource",VLOOKUP(RelationTable[Resource],CHOOSE({1,2},ResourceTable[Name],ResourceTable[No]),2,0))</f>
        <v>800507</v>
      </c>
      <c r="I12" s="60" t="s">
        <v>1059</v>
      </c>
      <c r="J12" s="60" t="s">
        <v>1060</v>
      </c>
      <c r="K12" s="15" t="s">
        <v>843</v>
      </c>
      <c r="L12" s="15" t="s">
        <v>880</v>
      </c>
      <c r="M12" s="68">
        <f>VLOOKUP(RelationTable[Relate Resource],CHOOSE({1,2},ResourceTable[Name],ResourceTable[No]),2,0)</f>
        <v>800501</v>
      </c>
      <c r="N12" s="69">
        <f>RelationTable[RELID]</f>
        <v>800810</v>
      </c>
    </row>
    <row r="13" spans="1:23" x14ac:dyDescent="0.25">
      <c r="A13" s="67" t="str">
        <f>Page&amp;"-"&amp;(COUNTA($E$1:RelationTable[[#This Row],[Resource]])-1)</f>
        <v>Resource Relations-11</v>
      </c>
      <c r="B13" s="64">
        <f>IF(RelationTable[[#This Row],[Resource]]="","id",COUNTA($E$2:RelationTable[[#This Row],[Resource]])+IF(ISNUMBER(VLOOKUP('Table Seed Map'!$A$10,SeedMap[],9,0)),VLOOKUP('Table Seed Map'!$A$10,SeedMap[],9,0),0))</f>
        <v>800811</v>
      </c>
      <c r="C13" s="60" t="str">
        <f>RelationTable[[#This Row],[Resource]]&amp;"/"&amp;RelationTable[[#This Row],[Method]]</f>
        <v>Category/TaskCategory</v>
      </c>
      <c r="D13" s="60">
        <f>RelationTable[[#This Row],[No]]</f>
        <v>800811</v>
      </c>
      <c r="E13" s="60" t="s">
        <v>1126</v>
      </c>
      <c r="F13" s="62" t="s">
        <v>845</v>
      </c>
      <c r="G13" s="60">
        <f>RelationTable[[#This Row],[No]]</f>
        <v>800811</v>
      </c>
      <c r="H13" s="60">
        <f>IF(RelationTable[[#This Row],[No]]="id","resource",VLOOKUP(RelationTable[Resource],CHOOSE({1,2},ResourceTable[Name],ResourceTable[No]),2,0))</f>
        <v>800503</v>
      </c>
      <c r="I13" s="60" t="s">
        <v>1135</v>
      </c>
      <c r="J13" s="60" t="s">
        <v>1134</v>
      </c>
      <c r="K13" s="60" t="s">
        <v>1135</v>
      </c>
      <c r="L13" s="60" t="s">
        <v>872</v>
      </c>
      <c r="M13" s="68">
        <f>VLOOKUP(RelationTable[Relate Resource],CHOOSE({1,2},ResourceTable[Name],ResourceTable[No]),2,0)</f>
        <v>800506</v>
      </c>
      <c r="N13" s="69">
        <f>RelationTable[RELID]</f>
        <v>800811</v>
      </c>
    </row>
    <row r="14" spans="1:23" x14ac:dyDescent="0.25">
      <c r="A14" s="67" t="str">
        <f>Page&amp;"-"&amp;(COUNTA($E$1:RelationTable[[#This Row],[Resource]])-1)</f>
        <v>Resource Relations-12</v>
      </c>
      <c r="B14" s="64">
        <f>IF(RelationTable[[#This Row],[Resource]]="","id",COUNTA($E$2:RelationTable[[#This Row],[Resource]])+IF(ISNUMBER(VLOOKUP('Table Seed Map'!$A$10,SeedMap[],9,0)),VLOOKUP('Table Seed Map'!$A$10,SeedMap[],9,0),0))</f>
        <v>800812</v>
      </c>
      <c r="C14" s="60" t="str">
        <f>RelationTable[[#This Row],[Resource]]&amp;"/"&amp;RelationTable[[#This Row],[Method]]</f>
        <v>Category/TaskCategoryPartner</v>
      </c>
      <c r="D14" s="60">
        <f>RelationTable[[#This Row],[No]]</f>
        <v>800812</v>
      </c>
      <c r="E14" s="60" t="s">
        <v>1126</v>
      </c>
      <c r="F14" s="62" t="s">
        <v>846</v>
      </c>
      <c r="G14" s="60">
        <f>RelationTable[[#This Row],[No]]</f>
        <v>800812</v>
      </c>
      <c r="H14" s="60">
        <f>IF(RelationTable[[#This Row],[No]]="id","resource",VLOOKUP(RelationTable[Resource],CHOOSE({1,2},ResourceTable[Name],ResourceTable[No]),2,0))</f>
        <v>800503</v>
      </c>
      <c r="I14" s="60" t="s">
        <v>1133</v>
      </c>
      <c r="J14" s="60" t="s">
        <v>1136</v>
      </c>
      <c r="K14" s="60" t="s">
        <v>1133</v>
      </c>
      <c r="L14" s="60" t="s">
        <v>872</v>
      </c>
      <c r="M14" s="68">
        <f>VLOOKUP(RelationTable[Relate Resource],CHOOSE({1,2},ResourceTable[Name],ResourceTable[No]),2,0)</f>
        <v>800507</v>
      </c>
      <c r="N14" s="69">
        <f>RelationTable[RELID]</f>
        <v>800812</v>
      </c>
    </row>
    <row r="15" spans="1:23" x14ac:dyDescent="0.25">
      <c r="A15" s="67" t="str">
        <f>Page&amp;"-"&amp;(COUNTA($E$1:RelationTable[[#This Row],[Resource]])-1)</f>
        <v>Resource Relations-13</v>
      </c>
      <c r="B15" s="64">
        <f>IF(RelationTable[[#This Row],[Resource]]="","id",COUNTA($E$2:RelationTable[[#This Row],[Resource]])+IF(ISNUMBER(VLOOKUP('Table Seed Map'!$A$10,SeedMap[],9,0)),VLOOKUP('Table Seed Map'!$A$10,SeedMap[],9,0),0))</f>
        <v>800813</v>
      </c>
      <c r="C15" s="60" t="str">
        <f>RelationTable[[#This Row],[Resource]]&amp;"/"&amp;RelationTable[[#This Row],[Method]]</f>
        <v>Task/CategoryTask</v>
      </c>
      <c r="D15" s="60">
        <f>RelationTable[[#This Row],[No]]</f>
        <v>800813</v>
      </c>
      <c r="E15" s="60" t="s">
        <v>845</v>
      </c>
      <c r="F15" s="62" t="s">
        <v>1126</v>
      </c>
      <c r="G15" s="60">
        <f>RelationTable[[#This Row],[No]]</f>
        <v>800813</v>
      </c>
      <c r="H15" s="60">
        <f>IF(RelationTable[[#This Row],[No]]="id","resource",VLOOKUP(RelationTable[Resource],CHOOSE({1,2},ResourceTable[Name],ResourceTable[No]),2,0))</f>
        <v>800506</v>
      </c>
      <c r="I15" s="60" t="s">
        <v>1137</v>
      </c>
      <c r="J15" s="60" t="s">
        <v>1140</v>
      </c>
      <c r="K15" s="60" t="s">
        <v>1137</v>
      </c>
      <c r="L15" s="15" t="s">
        <v>880</v>
      </c>
      <c r="M15" s="68">
        <f>VLOOKUP(RelationTable[Relate Resource],CHOOSE({1,2},ResourceTable[Name],ResourceTable[No]),2,0)</f>
        <v>800503</v>
      </c>
      <c r="N15" s="69">
        <f>RelationTable[RELID]</f>
        <v>800813</v>
      </c>
    </row>
    <row r="16" spans="1:23" x14ac:dyDescent="0.25">
      <c r="A16" s="67" t="str">
        <f>Page&amp;"-"&amp;(COUNTA($E$1:RelationTable[[#This Row],[Resource]])-1)</f>
        <v>Resource Relations-14</v>
      </c>
      <c r="B16" s="64">
        <f>IF(RelationTable[[#This Row],[Resource]]="","id",COUNTA($E$2:RelationTable[[#This Row],[Resource]])+IF(ISNUMBER(VLOOKUP('Table Seed Map'!$A$10,SeedMap[],9,0)),VLOOKUP('Table Seed Map'!$A$10,SeedMap[],9,0),0))</f>
        <v>800814</v>
      </c>
      <c r="C16" s="60" t="str">
        <f>RelationTable[[#This Row],[Resource]]&amp;"/"&amp;RelationTable[[#This Row],[Method]]</f>
        <v>PartnerTask/CategoryProgress</v>
      </c>
      <c r="D16" s="60">
        <f>RelationTable[[#This Row],[No]]</f>
        <v>800814</v>
      </c>
      <c r="E16" s="60" t="s">
        <v>846</v>
      </c>
      <c r="F16" s="62" t="s">
        <v>1126</v>
      </c>
      <c r="G16" s="60">
        <f>RelationTable[[#This Row],[No]]</f>
        <v>800814</v>
      </c>
      <c r="H16" s="60">
        <f>IF(RelationTable[[#This Row],[No]]="id","resource",VLOOKUP(RelationTable[Resource],CHOOSE({1,2},ResourceTable[Name],ResourceTable[No]),2,0))</f>
        <v>800507</v>
      </c>
      <c r="I16" s="60" t="s">
        <v>1138</v>
      </c>
      <c r="J16" s="60" t="s">
        <v>1139</v>
      </c>
      <c r="K16" s="60" t="s">
        <v>1138</v>
      </c>
      <c r="L16" s="15" t="s">
        <v>880</v>
      </c>
      <c r="M16" s="68">
        <f>VLOOKUP(RelationTable[Relate Resource],CHOOSE({1,2},ResourceTable[Name],ResourceTable[No]),2,0)</f>
        <v>800503</v>
      </c>
      <c r="N16" s="69">
        <f>RelationTable[RELID]</f>
        <v>800814</v>
      </c>
    </row>
    <row r="17" spans="1:14" x14ac:dyDescent="0.25">
      <c r="A17" s="67" t="str">
        <f>Page&amp;"-"&amp;(COUNTA($E$1:RelationTable[[#This Row],[Resource]])-1)</f>
        <v>Resource Relations-15</v>
      </c>
      <c r="B17" s="64">
        <f>IF(RelationTable[[#This Row],[Resource]]="","id",COUNTA($E$2:RelationTable[[#This Row],[Resource]])+IF(ISNUMBER(VLOOKUP('Table Seed Map'!$A$10,SeedMap[],9,0)),VLOOKUP('Table Seed Map'!$A$10,SeedMap[],9,0),0))</f>
        <v>800815</v>
      </c>
      <c r="C17" s="60" t="str">
        <f>RelationTable[[#This Row],[Resource]]&amp;"/"&amp;RelationTable[[#This Row],[Method]]</f>
        <v>CategoryTask/Tasks</v>
      </c>
      <c r="D17" s="60">
        <f>RelationTable[[#This Row],[No]]</f>
        <v>800815</v>
      </c>
      <c r="E17" s="60" t="s">
        <v>1137</v>
      </c>
      <c r="F17" s="62" t="s">
        <v>846</v>
      </c>
      <c r="G17" s="60">
        <f>RelationTable[[#This Row],[No]]</f>
        <v>800815</v>
      </c>
      <c r="H17" s="60">
        <f>IF(RelationTable[[#This Row],[No]]="id","resource",VLOOKUP(RelationTable[Resource],CHOOSE({1,2},ResourceTable[Name],ResourceTable[No]),2,0))</f>
        <v>800504</v>
      </c>
      <c r="I17" s="60" t="s">
        <v>1168</v>
      </c>
      <c r="J17" s="60" t="s">
        <v>1169</v>
      </c>
      <c r="K17" s="60" t="s">
        <v>850</v>
      </c>
      <c r="L17" s="60" t="s">
        <v>872</v>
      </c>
      <c r="M17" s="68">
        <f>VLOOKUP(RelationTable[Relate Resource],CHOOSE({1,2},ResourceTable[Name],ResourceTable[No]),2,0)</f>
        <v>800507</v>
      </c>
      <c r="N17" s="69">
        <f>RelationTable[RELID]</f>
        <v>800815</v>
      </c>
    </row>
  </sheetData>
  <dataValidations count="1">
    <dataValidation type="list" allowBlank="1" showInputMessage="1" showErrorMessage="1" sqref="Q2:Q11 E2:F17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opLeftCell="G25" zoomScaleNormal="100" workbookViewId="0">
      <selection activeCell="Y38" sqref="Y3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customWidth="1"/>
    <col min="9" max="9" width="0.28515625" customWidth="1"/>
    <col min="10" max="10" width="14.7109375" customWidth="1"/>
    <col min="11" max="11" width="14.7109375" style="20" hidden="1" customWidth="1"/>
    <col min="12" max="12" width="14.7109375" style="20" customWidth="1"/>
    <col min="13" max="13" width="14.7109375" style="20" hidden="1" customWidth="1"/>
    <col min="14" max="14" width="14.7109375" hidden="1" customWidth="1"/>
    <col min="15" max="15" width="14.7109375" style="20" hidden="1" customWidth="1"/>
    <col min="16" max="16" width="14.85546875" hidden="1" customWidth="1"/>
    <col min="17" max="17" width="14.42578125" customWidth="1"/>
    <col min="18" max="19" width="7.140625" hidden="1" customWidth="1"/>
    <col min="20" max="20" width="7.140625" style="20" hidden="1" customWidth="1"/>
    <col min="21" max="22" width="7.140625" hidden="1" customWidth="1"/>
    <col min="23" max="23" width="30.7109375" customWidth="1"/>
    <col min="24" max="25" width="29.42578125" style="20" customWidth="1"/>
    <col min="26" max="27" width="29.42578125" style="20" hidden="1" customWidth="1"/>
    <col min="28" max="28" width="7.5703125" style="20" customWidth="1"/>
    <col min="29" max="29" width="12" style="20" customWidth="1"/>
    <col min="30" max="30" width="27.28515625" style="20" bestFit="1" customWidth="1"/>
    <col min="31" max="31" width="14.140625" hidden="1" customWidth="1"/>
    <col min="32" max="33" width="22.85546875" customWidth="1"/>
    <col min="34" max="35" width="16.28515625" hidden="1" customWidth="1"/>
    <col min="36" max="36" width="21.140625" hidden="1" customWidth="1"/>
    <col min="37" max="37" width="9.140625" hidden="1" customWidth="1"/>
    <col min="38" max="38" width="27.140625" hidden="1" customWidth="1"/>
    <col min="39" max="39" width="17.7109375" hidden="1" customWidth="1"/>
    <col min="40" max="41" width="12" hidden="1" customWidth="1"/>
    <col min="42" max="42" width="11.28515625" customWidth="1"/>
    <col min="43" max="43" width="17.140625" bestFit="1" customWidth="1"/>
    <col min="44" max="46" width="0" hidden="1" customWidth="1"/>
    <col min="47" max="48" width="13.5703125" customWidth="1"/>
  </cols>
  <sheetData>
    <row r="1" spans="1:48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1046</v>
      </c>
      <c r="L1" s="1" t="s">
        <v>1047</v>
      </c>
      <c r="M1" s="1" t="s">
        <v>1048</v>
      </c>
      <c r="N1" s="1" t="s">
        <v>374</v>
      </c>
      <c r="O1" s="1" t="s">
        <v>375</v>
      </c>
      <c r="P1" s="1" t="s">
        <v>325</v>
      </c>
      <c r="Q1" s="1" t="s">
        <v>271</v>
      </c>
      <c r="R1" s="1" t="s">
        <v>326</v>
      </c>
      <c r="S1" s="1" t="s">
        <v>327</v>
      </c>
      <c r="T1" s="1" t="s">
        <v>463</v>
      </c>
      <c r="U1" s="1" t="s">
        <v>464</v>
      </c>
      <c r="V1" s="1" t="s">
        <v>465</v>
      </c>
      <c r="W1" s="1" t="s">
        <v>466</v>
      </c>
      <c r="X1" s="1" t="s">
        <v>467</v>
      </c>
      <c r="Y1" s="1" t="s">
        <v>468</v>
      </c>
      <c r="Z1" s="1" t="s">
        <v>469</v>
      </c>
      <c r="AA1" s="1" t="s">
        <v>470</v>
      </c>
      <c r="AB1" s="1" t="s">
        <v>454</v>
      </c>
      <c r="AC1"/>
      <c r="AD1" s="1" t="s">
        <v>376</v>
      </c>
      <c r="AE1" s="1" t="s">
        <v>328</v>
      </c>
      <c r="AF1" s="1" t="s">
        <v>455</v>
      </c>
      <c r="AG1" s="1" t="s">
        <v>199</v>
      </c>
      <c r="AH1" s="1" t="s">
        <v>377</v>
      </c>
      <c r="AI1" s="1" t="s">
        <v>379</v>
      </c>
      <c r="AJ1" s="1" t="s">
        <v>380</v>
      </c>
      <c r="AK1" s="1" t="s">
        <v>122</v>
      </c>
      <c r="AL1" s="1" t="s">
        <v>378</v>
      </c>
      <c r="AM1" s="1" t="s">
        <v>382</v>
      </c>
      <c r="AN1" s="1" t="s">
        <v>381</v>
      </c>
      <c r="AO1" s="1" t="s">
        <v>130</v>
      </c>
      <c r="AQ1" s="1" t="s">
        <v>449</v>
      </c>
      <c r="AR1" s="1" t="s">
        <v>344</v>
      </c>
      <c r="AS1" s="1" t="s">
        <v>99</v>
      </c>
      <c r="AT1" s="1" t="s">
        <v>328</v>
      </c>
      <c r="AU1" s="1" t="s">
        <v>1</v>
      </c>
      <c r="AV1" s="1" t="s">
        <v>276</v>
      </c>
    </row>
    <row r="2" spans="1:48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7" t="s">
        <v>1046</v>
      </c>
      <c r="L2" s="37" t="s">
        <v>1047</v>
      </c>
      <c r="M2" s="37" t="s">
        <v>1048</v>
      </c>
      <c r="N2" s="39" t="str">
        <f>'Table Seed Map'!$A$35&amp;"-"&amp;(COUNTA($E$1:ResourceAction[[#This Row],[Resource]])-2)</f>
        <v>Action Method-0</v>
      </c>
      <c r="O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P2" s="37" t="str">
        <f>IF(ResourceAction[[#This Row],[No]]="id","resource_action",ResourceAction[[#This Row],[No]])</f>
        <v>resource_action</v>
      </c>
      <c r="Q2" s="48" t="s">
        <v>35</v>
      </c>
      <c r="R2" s="49" t="str">
        <f>IF(ResourceAction[[#This Row],[Resource Name]]="","idn1",IF(ResourceAction[[#This Row],[IDN1]]="","",VLOOKUP(ResourceAction[[#This Row],[IDN1]],IDNMaps[[Display]:[ID]],2,0)))</f>
        <v>idn1</v>
      </c>
      <c r="S2" s="49" t="str">
        <f>IF(ResourceAction[[#This Row],[Resource Name]]="","idn2",IF(ResourceAction[[#This Row],[IDN2]]="","",VLOOKUP(ResourceAction[[#This Row],[IDN2]],IDNMaps[[Display]:[ID]],2,0)))</f>
        <v>idn2</v>
      </c>
      <c r="T2" s="49" t="str">
        <f>IF(ResourceAction[[#This Row],[Resource Name]]="","idn3",IF(ResourceAction[[#This Row],[IDN3]]="","",VLOOKUP(ResourceAction[[#This Row],[IDN3]],IDNMaps[[Display]:[ID]],2,0)))</f>
        <v>idn3</v>
      </c>
      <c r="U2" s="49" t="str">
        <f>IF(ResourceAction[[#This Row],[Resource Name]]="","idn4",IF(ResourceAction[[#This Row],[IDN4]]="","",VLOOKUP(ResourceAction[[#This Row],[IDN4]],IDNMaps[[Display]:[ID]],2,0)))</f>
        <v>idn4</v>
      </c>
      <c r="V2" s="49" t="str">
        <f>IF(ResourceAction[[#This Row],[Resource Name]]="","idn5",IF(ResourceAction[[#This Row],[IDN5]]="","",VLOOKUP(ResourceAction[[#This Row],[IDN5]],IDNMaps[[Display]:[ID]],2,0)))</f>
        <v>idn5</v>
      </c>
      <c r="W2" s="57"/>
      <c r="X2" s="57"/>
      <c r="Y2" s="57"/>
      <c r="Z2" s="57"/>
      <c r="AA2" s="57"/>
      <c r="AB2" s="54" t="str">
        <f>ResourceAction[No]</f>
        <v>id</v>
      </c>
      <c r="AC2"/>
      <c r="AD2" s="1"/>
      <c r="AE2" s="15" t="s">
        <v>45</v>
      </c>
      <c r="AF2" s="15"/>
      <c r="AG2" s="15"/>
      <c r="AH2" s="15" t="str">
        <f>'Table Seed Map'!$A$37&amp;"-"&amp;-1+COUNTA($AF$1:ActionListNData[[#This Row],[Resource List]])</f>
        <v>Action List-0</v>
      </c>
      <c r="AI2" s="15" t="str">
        <f>IF(ActionListNData[[#This Row],[Action Name]]="","id",-1+COUNTA($AF$1:ActionListNData[[#This Row],[Resource List]])+IF(ISNUMBER(VLOOKUP('Table Seed Map'!$A$37,SeedMap[],9,0)),VLOOKUP('Table Seed Map'!$A$37,SeedMap[],9,0),0))</f>
        <v>id</v>
      </c>
      <c r="AJ2" s="15" t="str">
        <f>ActionListNData[[#This Row],[Action]]</f>
        <v>resource_action</v>
      </c>
      <c r="AK2" s="15" t="str">
        <f>IF(ActionListNData[[#This Row],[Action Name]]="","resource_list",IFERROR(VLOOKUP(ActionListNData[[#This Row],[Resource List]],ResourceList[[ListDisplayName]:[No]],2,0),""))</f>
        <v>resource_list</v>
      </c>
      <c r="AL2" s="15" t="str">
        <f>'Table Seed Map'!$A$38&amp;"-"&amp;-1+COUNTA($AG$1:ActionListNData[[#This Row],[Resource Data]])</f>
        <v>Action Data-0</v>
      </c>
      <c r="AM2" s="15" t="str">
        <f>IF(ActionListNData[[#This Row],[Action Name]]="","id",-1+COUNTA($AG$1:ActionListNData[[#This Row],[Resource Data]])+IF(ISNUMBER(VLOOKUP('Table Seed Map'!$A$38,SeedMap[],9,0)),VLOOKUP('Table Seed Map'!$A$38,SeedMap[],9,0),0))</f>
        <v>id</v>
      </c>
      <c r="AN2" s="15" t="str">
        <f>ActionListNData[[#This Row],[Action]]</f>
        <v>resource_action</v>
      </c>
      <c r="AO2" s="15" t="str">
        <f>IF(ActionListNData[[#This Row],[Action Name]]="","resource_data",IFERROR(VLOOKUP(ActionListNData[[#This Row],[Resource Data]],ResourceData[[DataDisplayName]:[No]],2,0),""))</f>
        <v>resource_data</v>
      </c>
      <c r="AQ2" s="1"/>
      <c r="AR2" s="6" t="str">
        <f>'Table Seed Map'!$A$36&amp;"-"&amp;(COUNTA($AQ$2:ActionAttr[[#This Row],[Action Name for Attr]]))</f>
        <v>Action Attrs-0</v>
      </c>
      <c r="AS2" s="15" t="str">
        <f>IF(ActionAttr[[#This Row],[Action Name for Attr]]="","id",IFERROR($AS1+1,IF(ISNUMBER(VLOOKUP('Table Seed Map'!$A$36,SeedMap[],9,0)),VLOOKUP('Table Seed Map'!$A$36,SeedMap[],9,0)+1,1)))</f>
        <v>id</v>
      </c>
      <c r="AT2" s="37" t="str">
        <f>IF(ActionAttr[[#This Row],[Action Name for Attr]]="","resource_action",VLOOKUP(ActionAttr[[#This Row],[Action Name for Attr]],ResourceAction[[Display]:[No]],3,0))</f>
        <v>resource_action</v>
      </c>
      <c r="AU2" s="35" t="s">
        <v>23</v>
      </c>
      <c r="AV2" s="35" t="s">
        <v>44</v>
      </c>
    </row>
    <row r="3" spans="1:48" x14ac:dyDescent="0.25">
      <c r="A3" s="71" t="str">
        <f>'Table Seed Map'!$A$34&amp;"-"&amp;(COUNTA($E$1:ResourceAction[[#This Row],[Resource]])-2)</f>
        <v>Resource Actions-1</v>
      </c>
      <c r="B3" s="71" t="str">
        <f>ResourceAction[[#This Row],[Resource Name]]&amp;"/"&amp;ResourceAction[[#This Row],[Name]]</f>
        <v>Group/CreateFormAction</v>
      </c>
      <c r="C3" s="58" t="s">
        <v>96</v>
      </c>
      <c r="D3" s="71">
        <f>IF(ResourceAction[[#This Row],[Resource Name]]="","id",COUNTA($C$1:ResourceAction[[#This Row],[Resource Name]])-1+IF(VLOOKUP('Table Seed Map'!$A$34,SeedMap[],9,0),VLOOKUP('Table Seed Map'!$A$34,SeedMap[],9,0),0))</f>
        <v>803201</v>
      </c>
      <c r="E3" s="71">
        <f>IFERROR(VLOOKUP(ResourceAction[[#This Row],[Resource Name]],ResourceTable[[RName]:[No]],3,0),"resource")</f>
        <v>800502</v>
      </c>
      <c r="F3" s="71" t="s">
        <v>907</v>
      </c>
      <c r="G3" s="71" t="s">
        <v>908</v>
      </c>
      <c r="H3" s="71"/>
      <c r="I3" s="71"/>
      <c r="J3" s="71" t="s">
        <v>540</v>
      </c>
      <c r="K3" s="71"/>
      <c r="L3" s="71"/>
      <c r="M3" s="71"/>
      <c r="N3" s="70" t="str">
        <f>'Table Seed Map'!$A$35&amp;"-"&amp;(COUNTA($E$1:ResourceAction[[#This Row],[Resource]])-2)</f>
        <v>Action Method-1</v>
      </c>
      <c r="O3" s="71">
        <f>IF(ResourceAction[[#This Row],[No]]="id","id",-2+COUNTA($E$1:ResourceAction[[#This Row],[Resource]])+IF(ISNUMBER(VLOOKUP('Table Seed Map'!$A$35,SeedMap[],9,0)),VLOOKUP('Table Seed Map'!$A$35,SeedMap[],9,0),0))</f>
        <v>803301</v>
      </c>
      <c r="P3" s="71">
        <f>IF(ResourceAction[[#This Row],[No]]="id","resource_action",ResourceAction[[#This Row],[No]])</f>
        <v>803201</v>
      </c>
      <c r="Q3" s="81" t="s">
        <v>121</v>
      </c>
      <c r="R3" s="82">
        <f ca="1">IF(ResourceAction[[#This Row],[Resource Name]]="","idn1",IF(ResourceAction[[#This Row],[IDN1]]="","",VLOOKUP(ResourceAction[[#This Row],[IDN1]],IDNMaps[[Display]:[ID]],2,0)))</f>
        <v>800901</v>
      </c>
      <c r="S3" s="49" t="str">
        <f>IF(ResourceAction[[#This Row],[Resource Name]]="","idn2",IF(ResourceAction[[#This Row],[IDN2]]="","",VLOOKUP(ResourceAction[[#This Row],[IDN2]],IDNMaps[[Display]:[ID]],2,0)))</f>
        <v/>
      </c>
      <c r="T3" s="49" t="str">
        <f>IF(ResourceAction[[#This Row],[Resource Name]]="","idn3",IF(ResourceAction[[#This Row],[IDN3]]="","",VLOOKUP(ResourceAction[[#This Row],[IDN3]],IDNMaps[[Display]:[ID]],2,0)))</f>
        <v/>
      </c>
      <c r="U3" s="49" t="str">
        <f>IF(ResourceAction[[#This Row],[Resource Name]]="","idn4",IF(ResourceAction[[#This Row],[IDN4]]="","",VLOOKUP(ResourceAction[[#This Row],[IDN4]],IDNMaps[[Display]:[ID]],2,0)))</f>
        <v/>
      </c>
      <c r="V3" s="49" t="str">
        <f>IF(ResourceAction[[#This Row],[Resource Name]]="","idn5",IF(ResourceAction[[#This Row],[IDN5]]="","",VLOOKUP(ResourceAction[[#This Row],[IDN5]],IDNMaps[[Display]:[ID]],2,0)))</f>
        <v/>
      </c>
      <c r="W3" s="83" t="s">
        <v>909</v>
      </c>
      <c r="X3" s="83"/>
      <c r="Y3" s="83"/>
      <c r="Z3" s="83"/>
      <c r="AA3" s="83"/>
      <c r="AB3" s="78">
        <f>ResourceAction[No]</f>
        <v>803201</v>
      </c>
      <c r="AC3"/>
      <c r="AD3" s="63" t="s">
        <v>947</v>
      </c>
      <c r="AE3" s="60">
        <f>VLOOKUP(ActionListNData[[#This Row],[Action Name]],ResourceAction[[Display]:[No]],3,0)</f>
        <v>803205</v>
      </c>
      <c r="AF3" s="15" t="s">
        <v>933</v>
      </c>
      <c r="AG3" s="60"/>
      <c r="AH3" s="60" t="str">
        <f>'Table Seed Map'!$A$37&amp;"-"&amp;-1+COUNTA($AF$1:ActionListNData[[#This Row],[Resource List]])</f>
        <v>Action List-1</v>
      </c>
      <c r="AI3" s="60">
        <f>IF(ActionListNData[[#This Row],[Action Name]]="","id",-1+COUNTA($AF$1:ActionListNData[[#This Row],[Resource List]])+IF(ISNUMBER(VLOOKUP('Table Seed Map'!$A$37,SeedMap[],9,0)),VLOOKUP('Table Seed Map'!$A$37,SeedMap[],9,0),0))</f>
        <v>803501</v>
      </c>
      <c r="AJ3" s="60">
        <f>ActionListNData[[#This Row],[Action]]</f>
        <v>803205</v>
      </c>
      <c r="AK3" s="60">
        <f>IF(ActionListNData[[#This Row],[Action Name]]="","resource_list",IFERROR(VLOOKUP(ActionListNData[[#This Row],[Resource List]],ResourceList[[ListDisplayName]:[No]],2,0),""))</f>
        <v>802202</v>
      </c>
      <c r="AL3" s="60" t="str">
        <f>'Table Seed Map'!$A$38&amp;"-"&amp;-1+COUNTA($AG$1:ActionListNData[[#This Row],[Resource Data]])</f>
        <v>Action Data-0</v>
      </c>
      <c r="AM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3" s="60">
        <f>ActionListNData[[#This Row],[Action]]</f>
        <v>803205</v>
      </c>
      <c r="AO3" s="60" t="str">
        <f>IF(ActionListNData[[#This Row],[Action Name]]="","resource_data",IFERROR(VLOOKUP(ActionListNData[[#This Row],[Resource Data]],ResourceData[[DataDisplayName]:[No]],2,0),""))</f>
        <v/>
      </c>
    </row>
    <row r="4" spans="1:48" x14ac:dyDescent="0.25">
      <c r="A4" s="71" t="str">
        <f>'Table Seed Map'!$A$34&amp;"-"&amp;(COUNTA($E$1:ResourceAction[[#This Row],[Resource]])-2)</f>
        <v>Resource Actions-2</v>
      </c>
      <c r="B4" s="71" t="str">
        <f>ResourceAction[[#This Row],[Resource Name]]&amp;"/"&amp;ResourceAction[[#This Row],[Name]]</f>
        <v>Group/ListGroupsAction</v>
      </c>
      <c r="C4" s="58" t="s">
        <v>96</v>
      </c>
      <c r="D4" s="71">
        <f>IF(ResourceAction[[#This Row],[Resource Name]]="","id",COUNTA($C$1:ResourceAction[[#This Row],[Resource Name]])-1+IF(VLOOKUP('Table Seed Map'!$A$34,SeedMap[],9,0),VLOOKUP('Table Seed Map'!$A$34,SeedMap[],9,0),0))</f>
        <v>803202</v>
      </c>
      <c r="E4" s="71">
        <f>IFERROR(VLOOKUP(ResourceAction[[#This Row],[Resource Name]],ResourceTable[[RName]:[No]],3,0),"resource")</f>
        <v>800502</v>
      </c>
      <c r="F4" s="71" t="s">
        <v>913</v>
      </c>
      <c r="G4" s="71" t="s">
        <v>929</v>
      </c>
      <c r="H4" s="71"/>
      <c r="I4" s="71"/>
      <c r="J4" s="71" t="s">
        <v>914</v>
      </c>
      <c r="K4" s="71"/>
      <c r="L4" s="71"/>
      <c r="M4" s="71"/>
      <c r="N4" s="70" t="str">
        <f>'Table Seed Map'!$A$35&amp;"-"&amp;(COUNTA($E$1:ResourceAction[[#This Row],[Resource]])-2)</f>
        <v>Action Method-2</v>
      </c>
      <c r="O4" s="71">
        <f>IF(ResourceAction[[#This Row],[No]]="id","id",-2+COUNTA($E$1:ResourceAction[[#This Row],[Resource]])+IF(ISNUMBER(VLOOKUP('Table Seed Map'!$A$35,SeedMap[],9,0)),VLOOKUP('Table Seed Map'!$A$35,SeedMap[],9,0),0))</f>
        <v>803302</v>
      </c>
      <c r="P4" s="71">
        <f>IF(ResourceAction[[#This Row],[No]]="id","resource_action",ResourceAction[[#This Row],[No]])</f>
        <v>803202</v>
      </c>
      <c r="Q4" s="81" t="s">
        <v>122</v>
      </c>
      <c r="R4" s="82">
        <f ca="1">IF(ResourceAction[[#This Row],[Resource Name]]="","idn1",IF(ResourceAction[[#This Row],[IDN1]]="","",VLOOKUP(ResourceAction[[#This Row],[IDN1]],IDNMaps[[Display]:[ID]],2,0)))</f>
        <v>802201</v>
      </c>
      <c r="S4" s="49" t="str">
        <f>IF(ResourceAction[[#This Row],[Resource Name]]="","idn2",IF(ResourceAction[[#This Row],[IDN2]]="","",VLOOKUP(ResourceAction[[#This Row],[IDN2]],IDNMaps[[Display]:[ID]],2,0)))</f>
        <v/>
      </c>
      <c r="T4" s="49" t="str">
        <f>IF(ResourceAction[[#This Row],[Resource Name]]="","idn3",IF(ResourceAction[[#This Row],[IDN3]]="","",VLOOKUP(ResourceAction[[#This Row],[IDN3]],IDNMaps[[Display]:[ID]],2,0)))</f>
        <v/>
      </c>
      <c r="U4" s="49" t="str">
        <f>IF(ResourceAction[[#This Row],[Resource Name]]="","idn4",IF(ResourceAction[[#This Row],[IDN4]]="","",VLOOKUP(ResourceAction[[#This Row],[IDN4]],IDNMaps[[Display]:[ID]],2,0)))</f>
        <v/>
      </c>
      <c r="V4" s="49" t="str">
        <f>IF(ResourceAction[[#This Row],[Resource Name]]="","idn5",IF(ResourceAction[[#This Row],[IDN5]]="","",VLOOKUP(ResourceAction[[#This Row],[IDN5]],IDNMaps[[Display]:[ID]],2,0)))</f>
        <v/>
      </c>
      <c r="W4" s="83" t="s">
        <v>915</v>
      </c>
      <c r="X4" s="83"/>
      <c r="Y4" s="83"/>
      <c r="Z4" s="83"/>
      <c r="AA4" s="83"/>
      <c r="AB4" s="78">
        <f>ResourceAction[No]</f>
        <v>803202</v>
      </c>
      <c r="AC4"/>
      <c r="AD4" s="63" t="s">
        <v>952</v>
      </c>
      <c r="AE4" s="60">
        <f>VLOOKUP(ActionListNData[[#This Row],[Action Name]],ResourceAction[[Display]:[No]],3,0)</f>
        <v>803206</v>
      </c>
      <c r="AF4" s="15" t="s">
        <v>912</v>
      </c>
      <c r="AG4" s="60"/>
      <c r="AH4" s="60" t="str">
        <f>'Table Seed Map'!$A$37&amp;"-"&amp;-1+COUNTA($AF$1:ActionListNData[[#This Row],[Resource List]])</f>
        <v>Action List-2</v>
      </c>
      <c r="AI4" s="60">
        <f>IF(ActionListNData[[#This Row],[Action Name]]="","id",-1+COUNTA($AF$1:ActionListNData[[#This Row],[Resource List]])+IF(ISNUMBER(VLOOKUP('Table Seed Map'!$A$37,SeedMap[],9,0)),VLOOKUP('Table Seed Map'!$A$37,SeedMap[],9,0),0))</f>
        <v>803502</v>
      </c>
      <c r="AJ4" s="60">
        <f>ActionListNData[[#This Row],[Action]]</f>
        <v>803206</v>
      </c>
      <c r="AK4" s="60">
        <f>IF(ActionListNData[[#This Row],[Action Name]]="","resource_list",IFERROR(VLOOKUP(ActionListNData[[#This Row],[Resource List]],ResourceList[[ListDisplayName]:[No]],2,0),""))</f>
        <v>802201</v>
      </c>
      <c r="AL4" s="60" t="str">
        <f>'Table Seed Map'!$A$38&amp;"-"&amp;-1+COUNTA($AG$1:ActionListNData[[#This Row],[Resource Data]])</f>
        <v>Action Data-0</v>
      </c>
      <c r="AM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4" s="60">
        <f>ActionListNData[[#This Row],[Action]]</f>
        <v>803206</v>
      </c>
      <c r="AO4" s="60" t="str">
        <f>IF(ActionListNData[[#This Row],[Action Name]]="","resource_data",IFERROR(VLOOKUP(ActionListNData[[#This Row],[Resource Data]],ResourceData[[DataDisplayName]:[No]],2,0),""))</f>
        <v/>
      </c>
    </row>
    <row r="5" spans="1:48" x14ac:dyDescent="0.25">
      <c r="A5" s="71" t="str">
        <f>'Table Seed Map'!$A$34&amp;"-"&amp;(COUNTA($E$1:ResourceAction[[#This Row],[Resource]])-2)</f>
        <v>Resource Actions-3</v>
      </c>
      <c r="B5" s="71" t="str">
        <f>ResourceAction[[#This Row],[Resource Name]]&amp;"/"&amp;ResourceAction[[#This Row],[Name]]</f>
        <v>Partner/CreatePartnerAction</v>
      </c>
      <c r="C5" s="58" t="s">
        <v>843</v>
      </c>
      <c r="D5" s="71">
        <f>IF(ResourceAction[[#This Row],[Resource Name]]="","id",COUNTA($C$1:ResourceAction[[#This Row],[Resource Name]])-1+IF(VLOOKUP('Table Seed Map'!$A$34,SeedMap[],9,0),VLOOKUP('Table Seed Map'!$A$34,SeedMap[],9,0),0))</f>
        <v>803203</v>
      </c>
      <c r="E5" s="71">
        <f>IFERROR(VLOOKUP(ResourceAction[[#This Row],[Resource Name]],ResourceTable[[RName]:[No]],3,0),"resource")</f>
        <v>800501</v>
      </c>
      <c r="F5" s="71" t="s">
        <v>924</v>
      </c>
      <c r="G5" s="71" t="s">
        <v>925</v>
      </c>
      <c r="H5" s="71"/>
      <c r="I5" s="71"/>
      <c r="J5" s="71" t="s">
        <v>926</v>
      </c>
      <c r="K5" s="71"/>
      <c r="L5" s="71"/>
      <c r="M5" s="71"/>
      <c r="N5" s="70" t="str">
        <f>'Table Seed Map'!$A$35&amp;"-"&amp;(COUNTA($E$1:ResourceAction[[#This Row],[Resource]])-2)</f>
        <v>Action Method-3</v>
      </c>
      <c r="O5" s="71">
        <f>IF(ResourceAction[[#This Row],[No]]="id","id",-2+COUNTA($E$1:ResourceAction[[#This Row],[Resource]])+IF(ISNUMBER(VLOOKUP('Table Seed Map'!$A$35,SeedMap[],9,0)),VLOOKUP('Table Seed Map'!$A$35,SeedMap[],9,0),0))</f>
        <v>803303</v>
      </c>
      <c r="P5" s="71">
        <f>IF(ResourceAction[[#This Row],[No]]="id","resource_action",ResourceAction[[#This Row],[No]])</f>
        <v>803203</v>
      </c>
      <c r="Q5" s="81" t="s">
        <v>121</v>
      </c>
      <c r="R5" s="82">
        <f ca="1">IF(ResourceAction[[#This Row],[Resource Name]]="","idn1",IF(ResourceAction[[#This Row],[IDN1]]="","",VLOOKUP(ResourceAction[[#This Row],[IDN1]],IDNMaps[[Display]:[ID]],2,0)))</f>
        <v>800902</v>
      </c>
      <c r="S5" s="49" t="str">
        <f>IF(ResourceAction[[#This Row],[Resource Name]]="","idn2",IF(ResourceAction[[#This Row],[IDN2]]="","",VLOOKUP(ResourceAction[[#This Row],[IDN2]],IDNMaps[[Display]:[ID]],2,0)))</f>
        <v/>
      </c>
      <c r="T5" s="49" t="str">
        <f>IF(ResourceAction[[#This Row],[Resource Name]]="","idn3",IF(ResourceAction[[#This Row],[IDN3]]="","",VLOOKUP(ResourceAction[[#This Row],[IDN3]],IDNMaps[[Display]:[ID]],2,0)))</f>
        <v/>
      </c>
      <c r="U5" s="49" t="str">
        <f>IF(ResourceAction[[#This Row],[Resource Name]]="","idn4",IF(ResourceAction[[#This Row],[IDN4]]="","",VLOOKUP(ResourceAction[[#This Row],[IDN4]],IDNMaps[[Display]:[ID]],2,0)))</f>
        <v/>
      </c>
      <c r="V5" s="49" t="str">
        <f>IF(ResourceAction[[#This Row],[Resource Name]]="","idn5",IF(ResourceAction[[#This Row],[IDN5]]="","",VLOOKUP(ResourceAction[[#This Row],[IDN5]],IDNMaps[[Display]:[ID]],2,0)))</f>
        <v/>
      </c>
      <c r="W5" s="83" t="s">
        <v>927</v>
      </c>
      <c r="X5" s="83"/>
      <c r="Y5" s="83"/>
      <c r="Z5" s="83"/>
      <c r="AA5" s="83"/>
      <c r="AB5" s="78">
        <f>ResourceAction[No]</f>
        <v>803203</v>
      </c>
      <c r="AC5"/>
      <c r="AD5" s="63" t="s">
        <v>979</v>
      </c>
      <c r="AE5" s="60">
        <f>VLOOKUP(ActionListNData[[#This Row],[Action Name]],ResourceAction[[Display]:[No]],3,0)</f>
        <v>803209</v>
      </c>
      <c r="AF5" s="15" t="s">
        <v>961</v>
      </c>
      <c r="AG5" s="60"/>
      <c r="AH5" s="60" t="str">
        <f>'Table Seed Map'!$A$37&amp;"-"&amp;-1+COUNTA($AF$1:ActionListNData[[#This Row],[Resource List]])</f>
        <v>Action List-3</v>
      </c>
      <c r="AI5" s="60">
        <f>IF(ActionListNData[[#This Row],[Action Name]]="","id",-1+COUNTA($AF$1:ActionListNData[[#This Row],[Resource List]])+IF(ISNUMBER(VLOOKUP('Table Seed Map'!$A$37,SeedMap[],9,0)),VLOOKUP('Table Seed Map'!$A$37,SeedMap[],9,0),0))</f>
        <v>803503</v>
      </c>
      <c r="AJ5" s="60">
        <f>ActionListNData[[#This Row],[Action]]</f>
        <v>803209</v>
      </c>
      <c r="AK5" s="60">
        <f>IF(ActionListNData[[#This Row],[Action Name]]="","resource_list",IFERROR(VLOOKUP(ActionListNData[[#This Row],[Resource List]],ResourceList[[ListDisplayName]:[No]],2,0),""))</f>
        <v>802203</v>
      </c>
      <c r="AL5" s="60" t="str">
        <f>'Table Seed Map'!$A$38&amp;"-"&amp;-1+COUNTA($AG$1:ActionListNData[[#This Row],[Resource Data]])</f>
        <v>Action Data-0</v>
      </c>
      <c r="AM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5" s="60">
        <f>ActionListNData[[#This Row],[Action]]</f>
        <v>803209</v>
      </c>
      <c r="AO5" s="60" t="str">
        <f>IF(ActionListNData[[#This Row],[Action Name]]="","resource_data",IFERROR(VLOOKUP(ActionListNData[[#This Row],[Resource Data]],ResourceData[[DataDisplayName]:[No]],2,0),""))</f>
        <v/>
      </c>
    </row>
    <row r="6" spans="1:48" x14ac:dyDescent="0.25">
      <c r="A6" s="71" t="str">
        <f>'Table Seed Map'!$A$34&amp;"-"&amp;(COUNTA($E$1:ResourceAction[[#This Row],[Resource]])-2)</f>
        <v>Resource Actions-4</v>
      </c>
      <c r="B6" s="71" t="str">
        <f>ResourceAction[[#This Row],[Resource Name]]&amp;"/"&amp;ResourceAction[[#This Row],[Name]]</f>
        <v>Partner/ListPartnerAction</v>
      </c>
      <c r="C6" s="58" t="s">
        <v>843</v>
      </c>
      <c r="D6" s="71">
        <f>IF(ResourceAction[[#This Row],[Resource Name]]="","id",COUNTA($C$1:ResourceAction[[#This Row],[Resource Name]])-1+IF(VLOOKUP('Table Seed Map'!$A$34,SeedMap[],9,0),VLOOKUP('Table Seed Map'!$A$34,SeedMap[],9,0),0))</f>
        <v>803204</v>
      </c>
      <c r="E6" s="71">
        <f>IFERROR(VLOOKUP(ResourceAction[[#This Row],[Resource Name]],ResourceTable[[RName]:[No]],3,0),"resource")</f>
        <v>800501</v>
      </c>
      <c r="F6" s="71" t="s">
        <v>928</v>
      </c>
      <c r="G6" s="71" t="s">
        <v>930</v>
      </c>
      <c r="H6" s="71"/>
      <c r="I6" s="71"/>
      <c r="J6" s="71" t="s">
        <v>914</v>
      </c>
      <c r="K6" s="71"/>
      <c r="L6" s="71"/>
      <c r="M6" s="71"/>
      <c r="N6" s="70" t="str">
        <f>'Table Seed Map'!$A$35&amp;"-"&amp;(COUNTA($E$1:ResourceAction[[#This Row],[Resource]])-2)</f>
        <v>Action Method-4</v>
      </c>
      <c r="O6" s="71">
        <f>IF(ResourceAction[[#This Row],[No]]="id","id",-2+COUNTA($E$1:ResourceAction[[#This Row],[Resource]])+IF(ISNUMBER(VLOOKUP('Table Seed Map'!$A$35,SeedMap[],9,0)),VLOOKUP('Table Seed Map'!$A$35,SeedMap[],9,0),0))</f>
        <v>803304</v>
      </c>
      <c r="P6" s="71">
        <f>IF(ResourceAction[[#This Row],[No]]="id","resource_action",ResourceAction[[#This Row],[No]])</f>
        <v>803204</v>
      </c>
      <c r="Q6" s="81" t="s">
        <v>122</v>
      </c>
      <c r="R6" s="82">
        <f ca="1">IF(ResourceAction[[#This Row],[Resource Name]]="","idn1",IF(ResourceAction[[#This Row],[IDN1]]="","",VLOOKUP(ResourceAction[[#This Row],[IDN1]],IDNMaps[[Display]:[ID]],2,0)))</f>
        <v>802202</v>
      </c>
      <c r="S6" s="49" t="str">
        <f>IF(ResourceAction[[#This Row],[Resource Name]]="","idn2",IF(ResourceAction[[#This Row],[IDN2]]="","",VLOOKUP(ResourceAction[[#This Row],[IDN2]],IDNMaps[[Display]:[ID]],2,0)))</f>
        <v/>
      </c>
      <c r="T6" s="49" t="str">
        <f>IF(ResourceAction[[#This Row],[Resource Name]]="","idn3",IF(ResourceAction[[#This Row],[IDN3]]="","",VLOOKUP(ResourceAction[[#This Row],[IDN3]],IDNMaps[[Display]:[ID]],2,0)))</f>
        <v/>
      </c>
      <c r="U6" s="49" t="str">
        <f>IF(ResourceAction[[#This Row],[Resource Name]]="","idn4",IF(ResourceAction[[#This Row],[IDN4]]="","",VLOOKUP(ResourceAction[[#This Row],[IDN4]],IDNMaps[[Display]:[ID]],2,0)))</f>
        <v/>
      </c>
      <c r="V6" s="49" t="str">
        <f>IF(ResourceAction[[#This Row],[Resource Name]]="","idn5",IF(ResourceAction[[#This Row],[IDN5]]="","",VLOOKUP(ResourceAction[[#This Row],[IDN5]],IDNMaps[[Display]:[ID]],2,0)))</f>
        <v/>
      </c>
      <c r="W6" s="83" t="s">
        <v>934</v>
      </c>
      <c r="X6" s="83"/>
      <c r="Y6" s="83"/>
      <c r="Z6" s="83"/>
      <c r="AA6" s="83"/>
      <c r="AB6" s="78">
        <f>ResourceAction[No]</f>
        <v>803204</v>
      </c>
      <c r="AC6"/>
      <c r="AD6" s="1" t="s">
        <v>1029</v>
      </c>
      <c r="AE6" s="15">
        <f>VLOOKUP(ActionListNData[[#This Row],[Action Name]],ResourceAction[[Display]:[No]],3,0)</f>
        <v>803216</v>
      </c>
      <c r="AF6" s="15" t="s">
        <v>983</v>
      </c>
      <c r="AG6" s="15"/>
      <c r="AH6" s="15" t="str">
        <f>'Table Seed Map'!$A$37&amp;"-"&amp;-1+COUNTA($AF$1:ActionListNData[[#This Row],[Resource List]])</f>
        <v>Action List-4</v>
      </c>
      <c r="AI6" s="15">
        <f>IF(ActionListNData[[#This Row],[Action Name]]="","id",-1+COUNTA($AF$1:ActionListNData[[#This Row],[Resource List]])+IF(ISNUMBER(VLOOKUP('Table Seed Map'!$A$37,SeedMap[],9,0)),VLOOKUP('Table Seed Map'!$A$37,SeedMap[],9,0),0))</f>
        <v>803504</v>
      </c>
      <c r="AJ6" s="15">
        <f>ActionListNData[[#This Row],[Action]]</f>
        <v>803216</v>
      </c>
      <c r="AK6" s="15">
        <f>IF(ActionListNData[[#This Row],[Action Name]]="","resource_list",IFERROR(VLOOKUP(ActionListNData[[#This Row],[Resource List]],ResourceList[[ListDisplayName]:[No]],2,0),""))</f>
        <v>802205</v>
      </c>
      <c r="AL6" s="15" t="str">
        <f>'Table Seed Map'!$A$38&amp;"-"&amp;-1+COUNTA($AG$1:ActionListNData[[#This Row],[Resource Data]])</f>
        <v>Action Data-0</v>
      </c>
      <c r="AM6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6" s="15">
        <f>ActionListNData[[#This Row],[Action]]</f>
        <v>803216</v>
      </c>
      <c r="AO6" s="15" t="str">
        <f>IF(ActionListNData[[#This Row],[Action Name]]="","resource_data",IFERROR(VLOOKUP(ActionListNData[[#This Row],[Resource Data]],ResourceData[[DataDisplayName]:[No]],2,0),""))</f>
        <v/>
      </c>
    </row>
    <row r="7" spans="1:48" x14ac:dyDescent="0.25">
      <c r="A7" s="71" t="str">
        <f>'Table Seed Map'!$A$34&amp;"-"&amp;(COUNTA($E$1:ResourceAction[[#This Row],[Resource]])-2)</f>
        <v>Resource Actions-5</v>
      </c>
      <c r="B7" s="71" t="str">
        <f>ResourceAction[[#This Row],[Resource Name]]&amp;"/"&amp;ResourceAction[[#This Row],[Name]]</f>
        <v>Partner/ManagePartnerGroups</v>
      </c>
      <c r="C7" s="58" t="s">
        <v>843</v>
      </c>
      <c r="D7" s="71">
        <f>IF(ResourceAction[[#This Row],[Resource Name]]="","id",COUNTA($C$1:ResourceAction[[#This Row],[Resource Name]])-1+IF(VLOOKUP('Table Seed Map'!$A$34,SeedMap[],9,0),VLOOKUP('Table Seed Map'!$A$34,SeedMap[],9,0),0))</f>
        <v>803205</v>
      </c>
      <c r="E7" s="71">
        <f>IFERROR(VLOOKUP(ResourceAction[[#This Row],[Resource Name]],ResourceTable[[RName]:[No]],3,0),"resource")</f>
        <v>800501</v>
      </c>
      <c r="F7" s="71" t="s">
        <v>942</v>
      </c>
      <c r="G7" s="71" t="s">
        <v>943</v>
      </c>
      <c r="H7" s="71" t="s">
        <v>944</v>
      </c>
      <c r="I7" s="71"/>
      <c r="J7" s="71"/>
      <c r="K7" s="71"/>
      <c r="L7" s="71"/>
      <c r="M7" s="71"/>
      <c r="N7" s="70" t="str">
        <f>'Table Seed Map'!$A$35&amp;"-"&amp;(COUNTA($E$1:ResourceAction[[#This Row],[Resource]])-2)</f>
        <v>Action Method-5</v>
      </c>
      <c r="O7" s="71">
        <f>IF(ResourceAction[[#This Row],[No]]="id","id",-2+COUNTA($E$1:ResourceAction[[#This Row],[Resource]])+IF(ISNUMBER(VLOOKUP('Table Seed Map'!$A$35,SeedMap[],9,0)),VLOOKUP('Table Seed Map'!$A$35,SeedMap[],9,0),0))</f>
        <v>803305</v>
      </c>
      <c r="P7" s="71">
        <f>IF(ResourceAction[[#This Row],[No]]="id","resource_action",ResourceAction[[#This Row],[No]])</f>
        <v>803205</v>
      </c>
      <c r="Q7" s="81" t="s">
        <v>945</v>
      </c>
      <c r="R7" s="82">
        <f ca="1">IF(ResourceAction[[#This Row],[Resource Name]]="","idn1",IF(ResourceAction[[#This Row],[IDN1]]="","",VLOOKUP(ResourceAction[[#This Row],[IDN1]],IDNMaps[[Display]:[ID]],2,0)))</f>
        <v>800801</v>
      </c>
      <c r="S7" s="49">
        <f ca="1">IF(ResourceAction[[#This Row],[Resource Name]]="","idn2",IF(ResourceAction[[#This Row],[IDN2]]="","",VLOOKUP(ResourceAction[[#This Row],[IDN2]],IDNMaps[[Display]:[ID]],2,0)))</f>
        <v>802201</v>
      </c>
      <c r="T7" s="49" t="str">
        <f>IF(ResourceAction[[#This Row],[Resource Name]]="","idn3",IF(ResourceAction[[#This Row],[IDN3]]="","",VLOOKUP(ResourceAction[[#This Row],[IDN3]],IDNMaps[[Display]:[ID]],2,0)))</f>
        <v/>
      </c>
      <c r="U7" s="49" t="str">
        <f>IF(ResourceAction[[#This Row],[Resource Name]]="","idn4",IF(ResourceAction[[#This Row],[IDN4]]="","",VLOOKUP(ResourceAction[[#This Row],[IDN4]],IDNMaps[[Display]:[ID]],2,0)))</f>
        <v/>
      </c>
      <c r="V7" s="49" t="str">
        <f>IF(ResourceAction[[#This Row],[Resource Name]]="","idn5",IF(ResourceAction[[#This Row],[IDN5]]="","",VLOOKUP(ResourceAction[[#This Row],[IDN5]],IDNMaps[[Display]:[ID]],2,0)))</f>
        <v/>
      </c>
      <c r="W7" s="83" t="s">
        <v>946</v>
      </c>
      <c r="X7" s="83" t="s">
        <v>915</v>
      </c>
      <c r="Y7" s="83"/>
      <c r="Z7" s="83"/>
      <c r="AA7" s="83"/>
      <c r="AB7" s="78">
        <f>ResourceAction[No]</f>
        <v>803205</v>
      </c>
      <c r="AC7"/>
      <c r="AD7" s="63" t="s">
        <v>1045</v>
      </c>
      <c r="AE7" s="60">
        <f>VLOOKUP(ActionListNData[[#This Row],[Action Name]],ResourceAction[[Display]:[No]],3,0)</f>
        <v>803217</v>
      </c>
      <c r="AF7" s="15" t="s">
        <v>983</v>
      </c>
      <c r="AG7" s="60"/>
      <c r="AH7" s="60" t="str">
        <f>'Table Seed Map'!$A$37&amp;"-"&amp;-1+COUNTA($AF$1:ActionListNData[[#This Row],[Resource List]])</f>
        <v>Action List-5</v>
      </c>
      <c r="AI7" s="60">
        <f>IF(ActionListNData[[#This Row],[Action Name]]="","id",-1+COUNTA($AF$1:ActionListNData[[#This Row],[Resource List]])+IF(ISNUMBER(VLOOKUP('Table Seed Map'!$A$37,SeedMap[],9,0)),VLOOKUP('Table Seed Map'!$A$37,SeedMap[],9,0),0))</f>
        <v>803505</v>
      </c>
      <c r="AJ7" s="60">
        <f>ActionListNData[[#This Row],[Action]]</f>
        <v>803217</v>
      </c>
      <c r="AK7" s="60">
        <f>IF(ActionListNData[[#This Row],[Action Name]]="","resource_list",IFERROR(VLOOKUP(ActionListNData[[#This Row],[Resource List]],ResourceList[[ListDisplayName]:[No]],2,0),""))</f>
        <v>802205</v>
      </c>
      <c r="AL7" s="60" t="str">
        <f>'Table Seed Map'!$A$38&amp;"-"&amp;-1+COUNTA($AG$1:ActionListNData[[#This Row],[Resource Data]])</f>
        <v>Action Data-0</v>
      </c>
      <c r="AM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7" s="60">
        <f>ActionListNData[[#This Row],[Action]]</f>
        <v>803217</v>
      </c>
      <c r="AO7" s="60" t="str">
        <f>IF(ActionListNData[[#This Row],[Action Name]]="","resource_data",IFERROR(VLOOKUP(ActionListNData[[#This Row],[Resource Data]],ResourceData[[DataDisplayName]:[No]],2,0),""))</f>
        <v/>
      </c>
    </row>
    <row r="8" spans="1:48" x14ac:dyDescent="0.25">
      <c r="A8" s="71" t="str">
        <f>'Table Seed Map'!$A$34&amp;"-"&amp;(COUNTA($E$1:ResourceAction[[#This Row],[Resource]])-2)</f>
        <v>Resource Actions-6</v>
      </c>
      <c r="B8" s="71" t="str">
        <f>ResourceAction[[#This Row],[Resource Name]]&amp;"/"&amp;ResourceAction[[#This Row],[Name]]</f>
        <v>Group/ManageGroupPartners</v>
      </c>
      <c r="C8" s="58" t="s">
        <v>96</v>
      </c>
      <c r="D8" s="71">
        <f>IF(ResourceAction[[#This Row],[Resource Name]]="","id",COUNTA($C$1:ResourceAction[[#This Row],[Resource Name]])-1+IF(VLOOKUP('Table Seed Map'!$A$34,SeedMap[],9,0),VLOOKUP('Table Seed Map'!$A$34,SeedMap[],9,0),0))</f>
        <v>803206</v>
      </c>
      <c r="E8" s="71">
        <f>IFERROR(VLOOKUP(ResourceAction[[#This Row],[Resource Name]],ResourceTable[[RName]:[No]],3,0),"resource")</f>
        <v>800502</v>
      </c>
      <c r="F8" s="71" t="s">
        <v>948</v>
      </c>
      <c r="G8" s="71" t="s">
        <v>949</v>
      </c>
      <c r="H8" s="71" t="s">
        <v>950</v>
      </c>
      <c r="I8" s="71"/>
      <c r="J8" s="71"/>
      <c r="K8" s="71"/>
      <c r="L8" s="71"/>
      <c r="M8" s="71"/>
      <c r="N8" s="70" t="str">
        <f>'Table Seed Map'!$A$35&amp;"-"&amp;(COUNTA($E$1:ResourceAction[[#This Row],[Resource]])-2)</f>
        <v>Action Method-6</v>
      </c>
      <c r="O8" s="71">
        <f>IF(ResourceAction[[#This Row],[No]]="id","id",-2+COUNTA($E$1:ResourceAction[[#This Row],[Resource]])+IF(ISNUMBER(VLOOKUP('Table Seed Map'!$A$35,SeedMap[],9,0)),VLOOKUP('Table Seed Map'!$A$35,SeedMap[],9,0),0))</f>
        <v>803306</v>
      </c>
      <c r="P8" s="71">
        <f>IF(ResourceAction[[#This Row],[No]]="id","resource_action",ResourceAction[[#This Row],[No]])</f>
        <v>803206</v>
      </c>
      <c r="Q8" s="81" t="s">
        <v>945</v>
      </c>
      <c r="R8" s="82">
        <f ca="1">IF(ResourceAction[[#This Row],[Resource Name]]="","idn1",IF(ResourceAction[[#This Row],[IDN1]]="","",VLOOKUP(ResourceAction[[#This Row],[IDN1]],IDNMaps[[Display]:[ID]],2,0)))</f>
        <v>800803</v>
      </c>
      <c r="S8" s="49">
        <f ca="1">IF(ResourceAction[[#This Row],[Resource Name]]="","idn2",IF(ResourceAction[[#This Row],[IDN2]]="","",VLOOKUP(ResourceAction[[#This Row],[IDN2]],IDNMaps[[Display]:[ID]],2,0)))</f>
        <v>802202</v>
      </c>
      <c r="T8" s="49" t="str">
        <f>IF(ResourceAction[[#This Row],[Resource Name]]="","idn3",IF(ResourceAction[[#This Row],[IDN3]]="","",VLOOKUP(ResourceAction[[#This Row],[IDN3]],IDNMaps[[Display]:[ID]],2,0)))</f>
        <v/>
      </c>
      <c r="U8" s="49" t="str">
        <f>IF(ResourceAction[[#This Row],[Resource Name]]="","idn4",IF(ResourceAction[[#This Row],[IDN4]]="","",VLOOKUP(ResourceAction[[#This Row],[IDN4]],IDNMaps[[Display]:[ID]],2,0)))</f>
        <v/>
      </c>
      <c r="V8" s="49" t="str">
        <f>IF(ResourceAction[[#This Row],[Resource Name]]="","idn5",IF(ResourceAction[[#This Row],[IDN5]]="","",VLOOKUP(ResourceAction[[#This Row],[IDN5]],IDNMaps[[Display]:[ID]],2,0)))</f>
        <v/>
      </c>
      <c r="W8" s="83" t="s">
        <v>951</v>
      </c>
      <c r="X8" s="83" t="s">
        <v>934</v>
      </c>
      <c r="Y8" s="83"/>
      <c r="Z8" s="83"/>
      <c r="AA8" s="83"/>
      <c r="AB8" s="78">
        <f>ResourceAction[No]</f>
        <v>803206</v>
      </c>
      <c r="AC8"/>
      <c r="AD8" s="63" t="s">
        <v>1122</v>
      </c>
      <c r="AE8" s="60">
        <f>VLOOKUP(ActionListNData[[#This Row],[Action Name]],ResourceAction[[Display]:[No]],3,0)</f>
        <v>803218</v>
      </c>
      <c r="AF8" s="15" t="s">
        <v>996</v>
      </c>
      <c r="AG8" s="60"/>
      <c r="AH8" s="60" t="str">
        <f>'Table Seed Map'!$A$37&amp;"-"&amp;-1+COUNTA($AF$1:ActionListNData[[#This Row],[Resource List]])</f>
        <v>Action List-6</v>
      </c>
      <c r="AI8" s="60">
        <f>IF(ActionListNData[[#This Row],[Action Name]]="","id",-1+COUNTA($AF$1:ActionListNData[[#This Row],[Resource List]])+IF(ISNUMBER(VLOOKUP('Table Seed Map'!$A$37,SeedMap[],9,0)),VLOOKUP('Table Seed Map'!$A$37,SeedMap[],9,0),0))</f>
        <v>803506</v>
      </c>
      <c r="AJ8" s="60">
        <f>ActionListNData[[#This Row],[Action]]</f>
        <v>803218</v>
      </c>
      <c r="AK8" s="60">
        <f>IF(ActionListNData[[#This Row],[Action Name]]="","resource_list",IFERROR(VLOOKUP(ActionListNData[[#This Row],[Resource List]],ResourceList[[ListDisplayName]:[No]],2,0),""))</f>
        <v>802208</v>
      </c>
      <c r="AL8" s="60" t="str">
        <f>'Table Seed Map'!$A$38&amp;"-"&amp;-1+COUNTA($AG$1:ActionListNData[[#This Row],[Resource Data]])</f>
        <v>Action Data-0</v>
      </c>
      <c r="AM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8" s="60">
        <f>ActionListNData[[#This Row],[Action]]</f>
        <v>803218</v>
      </c>
      <c r="AO8" s="60" t="str">
        <f>IF(ActionListNData[[#This Row],[Action Name]]="","resource_data",IFERROR(VLOOKUP(ActionListNData[[#This Row],[Resource Data]],ResourceData[[DataDisplayName]:[No]],2,0),""))</f>
        <v/>
      </c>
    </row>
    <row r="9" spans="1:48" x14ac:dyDescent="0.25">
      <c r="A9" s="71" t="str">
        <f>'Table Seed Map'!$A$34&amp;"-"&amp;(COUNTA($E$1:ResourceAction[[#This Row],[Resource]])-2)</f>
        <v>Resource Actions-7</v>
      </c>
      <c r="B9" s="71" t="str">
        <f>ResourceAction[[#This Row],[Resource Name]]&amp;"/"&amp;ResourceAction[[#This Row],[Name]]</f>
        <v>Task/CreateTaskAction</v>
      </c>
      <c r="C9" s="58" t="s">
        <v>845</v>
      </c>
      <c r="D9" s="71">
        <f>IF(ResourceAction[[#This Row],[Resource Name]]="","id",COUNTA($C$1:ResourceAction[[#This Row],[Resource Name]])-1+IF(VLOOKUP('Table Seed Map'!$A$34,SeedMap[],9,0),VLOOKUP('Table Seed Map'!$A$34,SeedMap[],9,0),0))</f>
        <v>803207</v>
      </c>
      <c r="E9" s="71">
        <f>IFERROR(VLOOKUP(ResourceAction[[#This Row],[Resource Name]],ResourceTable[[RName]:[No]],3,0),"resource")</f>
        <v>800506</v>
      </c>
      <c r="F9" s="71" t="s">
        <v>962</v>
      </c>
      <c r="G9" s="71" t="s">
        <v>963</v>
      </c>
      <c r="H9" s="71"/>
      <c r="I9" s="71"/>
      <c r="J9" s="71" t="s">
        <v>964</v>
      </c>
      <c r="K9" s="71"/>
      <c r="L9" s="71"/>
      <c r="M9" s="71"/>
      <c r="N9" s="70" t="str">
        <f>'Table Seed Map'!$A$35&amp;"-"&amp;(COUNTA($E$1:ResourceAction[[#This Row],[Resource]])-2)</f>
        <v>Action Method-7</v>
      </c>
      <c r="O9" s="71">
        <f>IF(ResourceAction[[#This Row],[No]]="id","id",-2+COUNTA($E$1:ResourceAction[[#This Row],[Resource]])+IF(ISNUMBER(VLOOKUP('Table Seed Map'!$A$35,SeedMap[],9,0)),VLOOKUP('Table Seed Map'!$A$35,SeedMap[],9,0),0))</f>
        <v>803307</v>
      </c>
      <c r="P9" s="71">
        <f>IF(ResourceAction[[#This Row],[No]]="id","resource_action",ResourceAction[[#This Row],[No]])</f>
        <v>803207</v>
      </c>
      <c r="Q9" s="81" t="s">
        <v>121</v>
      </c>
      <c r="R9" s="82">
        <f ca="1">IF(ResourceAction[[#This Row],[Resource Name]]="","idn1",IF(ResourceAction[[#This Row],[IDN1]]="","",VLOOKUP(ResourceAction[[#This Row],[IDN1]],IDNMaps[[Display]:[ID]],2,0)))</f>
        <v>800903</v>
      </c>
      <c r="S9" s="49" t="str">
        <f>IF(ResourceAction[[#This Row],[Resource Name]]="","idn2",IF(ResourceAction[[#This Row],[IDN2]]="","",VLOOKUP(ResourceAction[[#This Row],[IDN2]],IDNMaps[[Display]:[ID]],2,0)))</f>
        <v/>
      </c>
      <c r="T9" s="49" t="str">
        <f>IF(ResourceAction[[#This Row],[Resource Name]]="","idn3",IF(ResourceAction[[#This Row],[IDN3]]="","",VLOOKUP(ResourceAction[[#This Row],[IDN3]],IDNMaps[[Display]:[ID]],2,0)))</f>
        <v/>
      </c>
      <c r="U9" s="49" t="str">
        <f>IF(ResourceAction[[#This Row],[Resource Name]]="","idn4",IF(ResourceAction[[#This Row],[IDN4]]="","",VLOOKUP(ResourceAction[[#This Row],[IDN4]],IDNMaps[[Display]:[ID]],2,0)))</f>
        <v/>
      </c>
      <c r="V9" s="49" t="str">
        <f>IF(ResourceAction[[#This Row],[Resource Name]]="","idn5",IF(ResourceAction[[#This Row],[IDN5]]="","",VLOOKUP(ResourceAction[[#This Row],[IDN5]],IDNMaps[[Display]:[ID]],2,0)))</f>
        <v/>
      </c>
      <c r="W9" s="83" t="s">
        <v>965</v>
      </c>
      <c r="X9" s="83"/>
      <c r="Y9" s="83"/>
      <c r="Z9" s="83"/>
      <c r="AA9" s="83"/>
      <c r="AB9" s="78">
        <f>ResourceAction[No]</f>
        <v>803207</v>
      </c>
      <c r="AC9"/>
      <c r="AD9" s="63" t="s">
        <v>1122</v>
      </c>
      <c r="AE9" s="60">
        <f>VLOOKUP(ActionListNData[[#This Row],[Action Name]],ResourceAction[[Display]:[No]],3,0)</f>
        <v>803218</v>
      </c>
      <c r="AF9" s="15" t="s">
        <v>995</v>
      </c>
      <c r="AG9" s="60"/>
      <c r="AH9" s="60" t="str">
        <f>'Table Seed Map'!$A$37&amp;"-"&amp;-1+COUNTA($AF$1:ActionListNData[[#This Row],[Resource List]])</f>
        <v>Action List-7</v>
      </c>
      <c r="AI9" s="60">
        <f>IF(ActionListNData[[#This Row],[Action Name]]="","id",-1+COUNTA($AF$1:ActionListNData[[#This Row],[Resource List]])+IF(ISNUMBER(VLOOKUP('Table Seed Map'!$A$37,SeedMap[],9,0)),VLOOKUP('Table Seed Map'!$A$37,SeedMap[],9,0),0))</f>
        <v>803507</v>
      </c>
      <c r="AJ9" s="60">
        <f>ActionListNData[[#This Row],[Action]]</f>
        <v>803218</v>
      </c>
      <c r="AK9" s="60">
        <f>IF(ActionListNData[[#This Row],[Action Name]]="","resource_list",IFERROR(VLOOKUP(ActionListNData[[#This Row],[Resource List]],ResourceList[[ListDisplayName]:[No]],2,0),""))</f>
        <v>802207</v>
      </c>
      <c r="AL9" s="60" t="str">
        <f>'Table Seed Map'!$A$38&amp;"-"&amp;-1+COUNTA($AG$1:ActionListNData[[#This Row],[Resource Data]])</f>
        <v>Action Data-0</v>
      </c>
      <c r="AM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9" s="60">
        <f>ActionListNData[[#This Row],[Action]]</f>
        <v>803218</v>
      </c>
      <c r="AO9" s="60" t="str">
        <f>IF(ActionListNData[[#This Row],[Action Name]]="","resource_data",IFERROR(VLOOKUP(ActionListNData[[#This Row],[Resource Data]],ResourceData[[DataDisplayName]:[No]],2,0),""))</f>
        <v/>
      </c>
    </row>
    <row r="10" spans="1:48" x14ac:dyDescent="0.25">
      <c r="A10" s="71" t="str">
        <f>'Table Seed Map'!$A$34&amp;"-"&amp;(COUNTA($E$1:ResourceAction[[#This Row],[Resource]])-2)</f>
        <v>Resource Actions-8</v>
      </c>
      <c r="B10" s="71" t="str">
        <f>ResourceAction[[#This Row],[Resource Name]]&amp;"/"&amp;ResourceAction[[#This Row],[Name]]</f>
        <v>Task/ListTaskAction</v>
      </c>
      <c r="C10" s="58" t="s">
        <v>845</v>
      </c>
      <c r="D10" s="71">
        <f>IF(ResourceAction[[#This Row],[Resource Name]]="","id",COUNTA($C$1:ResourceAction[[#This Row],[Resource Name]])-1+IF(VLOOKUP('Table Seed Map'!$A$34,SeedMap[],9,0),VLOOKUP('Table Seed Map'!$A$34,SeedMap[],9,0),0))</f>
        <v>803208</v>
      </c>
      <c r="E10" s="71">
        <f>IFERROR(VLOOKUP(ResourceAction[[#This Row],[Resource Name]],ResourceTable[[RName]:[No]],3,0),"resource")</f>
        <v>800506</v>
      </c>
      <c r="F10" s="71" t="s">
        <v>966</v>
      </c>
      <c r="G10" s="71" t="s">
        <v>967</v>
      </c>
      <c r="H10" s="71"/>
      <c r="I10" s="71"/>
      <c r="J10" s="71" t="s">
        <v>914</v>
      </c>
      <c r="K10" s="71"/>
      <c r="L10" s="71"/>
      <c r="M10" s="71"/>
      <c r="N10" s="70" t="str">
        <f>'Table Seed Map'!$A$35&amp;"-"&amp;(COUNTA($E$1:ResourceAction[[#This Row],[Resource]])-2)</f>
        <v>Action Method-8</v>
      </c>
      <c r="O10" s="71">
        <f>IF(ResourceAction[[#This Row],[No]]="id","id",-2+COUNTA($E$1:ResourceAction[[#This Row],[Resource]])+IF(ISNUMBER(VLOOKUP('Table Seed Map'!$A$35,SeedMap[],9,0)),VLOOKUP('Table Seed Map'!$A$35,SeedMap[],9,0),0))</f>
        <v>803308</v>
      </c>
      <c r="P10" s="71">
        <f>IF(ResourceAction[[#This Row],[No]]="id","resource_action",ResourceAction[[#This Row],[No]])</f>
        <v>803208</v>
      </c>
      <c r="Q10" s="81" t="s">
        <v>122</v>
      </c>
      <c r="R10" s="82">
        <f ca="1">IF(ResourceAction[[#This Row],[Resource Name]]="","idn1",IF(ResourceAction[[#This Row],[IDN1]]="","",VLOOKUP(ResourceAction[[#This Row],[IDN1]],IDNMaps[[Display]:[ID]],2,0)))</f>
        <v>802203</v>
      </c>
      <c r="S10" s="49" t="str">
        <f>IF(ResourceAction[[#This Row],[Resource Name]]="","idn2",IF(ResourceAction[[#This Row],[IDN2]]="","",VLOOKUP(ResourceAction[[#This Row],[IDN2]],IDNMaps[[Display]:[ID]],2,0)))</f>
        <v/>
      </c>
      <c r="T10" s="49" t="str">
        <f>IF(ResourceAction[[#This Row],[Resource Name]]="","idn3",IF(ResourceAction[[#This Row],[IDN3]]="","",VLOOKUP(ResourceAction[[#This Row],[IDN3]],IDNMaps[[Display]:[ID]],2,0)))</f>
        <v/>
      </c>
      <c r="U10" s="49" t="str">
        <f>IF(ResourceAction[[#This Row],[Resource Name]]="","idn4",IF(ResourceAction[[#This Row],[IDN4]]="","",VLOOKUP(ResourceAction[[#This Row],[IDN4]],IDNMaps[[Display]:[ID]],2,0)))</f>
        <v/>
      </c>
      <c r="V10" s="49" t="str">
        <f>IF(ResourceAction[[#This Row],[Resource Name]]="","idn5",IF(ResourceAction[[#This Row],[IDN5]]="","",VLOOKUP(ResourceAction[[#This Row],[IDN5]],IDNMaps[[Display]:[ID]],2,0)))</f>
        <v/>
      </c>
      <c r="W10" s="83" t="s">
        <v>968</v>
      </c>
      <c r="X10" s="83"/>
      <c r="Y10" s="83"/>
      <c r="Z10" s="83"/>
      <c r="AA10" s="83"/>
      <c r="AB10" s="78">
        <f>ResourceAction[No]</f>
        <v>803208</v>
      </c>
      <c r="AC10"/>
      <c r="AD10" s="63" t="s">
        <v>1122</v>
      </c>
      <c r="AE10" s="60">
        <f>VLOOKUP(ActionListNData[[#This Row],[Action Name]],ResourceAction[[Display]:[No]],3,0)</f>
        <v>803218</v>
      </c>
      <c r="AF10" s="15" t="s">
        <v>994</v>
      </c>
      <c r="AG10" s="60"/>
      <c r="AH10" s="60" t="str">
        <f>'Table Seed Map'!$A$37&amp;"-"&amp;-1+COUNTA($AF$1:ActionListNData[[#This Row],[Resource List]])</f>
        <v>Action List-8</v>
      </c>
      <c r="AI10" s="60">
        <f>IF(ActionListNData[[#This Row],[Action Name]]="","id",-1+COUNTA($AF$1:ActionListNData[[#This Row],[Resource List]])+IF(ISNUMBER(VLOOKUP('Table Seed Map'!$A$37,SeedMap[],9,0)),VLOOKUP('Table Seed Map'!$A$37,SeedMap[],9,0),0))</f>
        <v>803508</v>
      </c>
      <c r="AJ10" s="60">
        <f>ActionListNData[[#This Row],[Action]]</f>
        <v>803218</v>
      </c>
      <c r="AK10" s="60">
        <f>IF(ActionListNData[[#This Row],[Action Name]]="","resource_list",IFERROR(VLOOKUP(ActionListNData[[#This Row],[Resource List]],ResourceList[[ListDisplayName]:[No]],2,0),""))</f>
        <v>802206</v>
      </c>
      <c r="AL10" s="60" t="str">
        <f>'Table Seed Map'!$A$38&amp;"-"&amp;-1+COUNTA($AG$1:ActionListNData[[#This Row],[Resource Data]])</f>
        <v>Action Data-0</v>
      </c>
      <c r="AM10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0" s="60">
        <f>ActionListNData[[#This Row],[Action]]</f>
        <v>803218</v>
      </c>
      <c r="AO10" s="60" t="str">
        <f>IF(ActionListNData[[#This Row],[Action Name]]="","resource_data",IFERROR(VLOOKUP(ActionListNData[[#This Row],[Resource Data]],ResourceData[[DataDisplayName]:[No]],2,0),""))</f>
        <v/>
      </c>
    </row>
    <row r="11" spans="1:48" x14ac:dyDescent="0.25">
      <c r="A11" s="71" t="str">
        <f>'Table Seed Map'!$A$34&amp;"-"&amp;(COUNTA($E$1:ResourceAction[[#This Row],[Resource]])-2)</f>
        <v>Resource Actions-9</v>
      </c>
      <c r="B11" s="71" t="str">
        <f>ResourceAction[[#This Row],[Resource Name]]&amp;"/"&amp;ResourceAction[[#This Row],[Name]]</f>
        <v>Task/ManageTaskPartners</v>
      </c>
      <c r="C11" s="58" t="s">
        <v>845</v>
      </c>
      <c r="D11" s="71">
        <f>IF(ResourceAction[[#This Row],[Resource Name]]="","id",COUNTA($C$1:ResourceAction[[#This Row],[Resource Name]])-1+IF(VLOOKUP('Table Seed Map'!$A$34,SeedMap[],9,0),VLOOKUP('Table Seed Map'!$A$34,SeedMap[],9,0),0))</f>
        <v>803209</v>
      </c>
      <c r="E11" s="71">
        <f>IFERROR(VLOOKUP(ResourceAction[[#This Row],[Resource Name]],ResourceTable[[RName]:[No]],3,0),"resource")</f>
        <v>800506</v>
      </c>
      <c r="F11" s="71" t="s">
        <v>976</v>
      </c>
      <c r="G11" s="71" t="s">
        <v>977</v>
      </c>
      <c r="H11" s="71" t="s">
        <v>950</v>
      </c>
      <c r="I11" s="71"/>
      <c r="J11" s="71"/>
      <c r="K11" s="71"/>
      <c r="L11" s="71"/>
      <c r="M11" s="71"/>
      <c r="N11" s="70" t="str">
        <f>'Table Seed Map'!$A$35&amp;"-"&amp;(COUNTA($E$1:ResourceAction[[#This Row],[Resource]])-2)</f>
        <v>Action Method-9</v>
      </c>
      <c r="O11" s="71">
        <f>IF(ResourceAction[[#This Row],[No]]="id","id",-2+COUNTA($E$1:ResourceAction[[#This Row],[Resource]])+IF(ISNUMBER(VLOOKUP('Table Seed Map'!$A$35,SeedMap[],9,0)),VLOOKUP('Table Seed Map'!$A$35,SeedMap[],9,0),0))</f>
        <v>803309</v>
      </c>
      <c r="P11" s="71">
        <f>IF(ResourceAction[[#This Row],[No]]="id","resource_action",ResourceAction[[#This Row],[No]])</f>
        <v>803209</v>
      </c>
      <c r="Q11" s="81" t="s">
        <v>945</v>
      </c>
      <c r="R11" s="82">
        <f ca="1">IF(ResourceAction[[#This Row],[Resource Name]]="","idn1",IF(ResourceAction[[#This Row],[IDN1]]="","",VLOOKUP(ResourceAction[[#This Row],[IDN1]],IDNMaps[[Display]:[ID]],2,0)))</f>
        <v>800806</v>
      </c>
      <c r="S11" s="49">
        <f ca="1">IF(ResourceAction[[#This Row],[Resource Name]]="","idn2",IF(ResourceAction[[#This Row],[IDN2]]="","",VLOOKUP(ResourceAction[[#This Row],[IDN2]],IDNMaps[[Display]:[ID]],2,0)))</f>
        <v>802202</v>
      </c>
      <c r="T11" s="49" t="str">
        <f>IF(ResourceAction[[#This Row],[Resource Name]]="","idn3",IF(ResourceAction[[#This Row],[IDN3]]="","",VLOOKUP(ResourceAction[[#This Row],[IDN3]],IDNMaps[[Display]:[ID]],2,0)))</f>
        <v/>
      </c>
      <c r="U11" s="49" t="str">
        <f>IF(ResourceAction[[#This Row],[Resource Name]]="","idn4",IF(ResourceAction[[#This Row],[IDN4]]="","",VLOOKUP(ResourceAction[[#This Row],[IDN4]],IDNMaps[[Display]:[ID]],2,0)))</f>
        <v/>
      </c>
      <c r="V11" s="49" t="str">
        <f>IF(ResourceAction[[#This Row],[Resource Name]]="","idn5",IF(ResourceAction[[#This Row],[IDN5]]="","",VLOOKUP(ResourceAction[[#This Row],[IDN5]],IDNMaps[[Display]:[ID]],2,0)))</f>
        <v/>
      </c>
      <c r="W11" s="83" t="s">
        <v>978</v>
      </c>
      <c r="X11" s="83" t="s">
        <v>934</v>
      </c>
      <c r="Y11" s="83"/>
      <c r="Z11" s="83"/>
      <c r="AA11" s="83"/>
      <c r="AB11" s="78">
        <f>ResourceAction[No]</f>
        <v>803209</v>
      </c>
      <c r="AC11"/>
      <c r="AD11" s="63" t="s">
        <v>1095</v>
      </c>
      <c r="AE11" s="60">
        <f>VLOOKUP(ActionListNData[[#This Row],[Action Name]],ResourceAction[[Display]:[No]],3,0)</f>
        <v>803210</v>
      </c>
      <c r="AF11" s="15" t="s">
        <v>961</v>
      </c>
      <c r="AG11" s="60"/>
      <c r="AH11" s="60" t="str">
        <f>'Table Seed Map'!$A$37&amp;"-"&amp;-1+COUNTA($AF$1:ActionListNData[[#This Row],[Resource List]])</f>
        <v>Action List-9</v>
      </c>
      <c r="AI11" s="60">
        <f>IF(ActionListNData[[#This Row],[Action Name]]="","id",-1+COUNTA($AF$1:ActionListNData[[#This Row],[Resource List]])+IF(ISNUMBER(VLOOKUP('Table Seed Map'!$A$37,SeedMap[],9,0)),VLOOKUP('Table Seed Map'!$A$37,SeedMap[],9,0),0))</f>
        <v>803509</v>
      </c>
      <c r="AJ11" s="60">
        <f>ActionListNData[[#This Row],[Action]]</f>
        <v>803210</v>
      </c>
      <c r="AK11" s="60">
        <f>IF(ActionListNData[[#This Row],[Action Name]]="","resource_list",IFERROR(VLOOKUP(ActionListNData[[#This Row],[Resource List]],ResourceList[[ListDisplayName]:[No]],2,0),""))</f>
        <v>802203</v>
      </c>
      <c r="AL11" s="60" t="str">
        <f>'Table Seed Map'!$A$38&amp;"-"&amp;-1+COUNTA($AG$1:ActionListNData[[#This Row],[Resource Data]])</f>
        <v>Action Data-0</v>
      </c>
      <c r="AM11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1" s="60">
        <f>ActionListNData[[#This Row],[Action]]</f>
        <v>803210</v>
      </c>
      <c r="AO11" s="60" t="str">
        <f>IF(ActionListNData[[#This Row],[Action Name]]="","resource_data",IFERROR(VLOOKUP(ActionListNData[[#This Row],[Resource Data]],ResourceData[[DataDisplayName]:[No]],2,0),""))</f>
        <v/>
      </c>
    </row>
    <row r="12" spans="1:48" x14ac:dyDescent="0.25">
      <c r="A12" s="71" t="str">
        <f>'Table Seed Map'!$A$34&amp;"-"&amp;(COUNTA($E$1:ResourceAction[[#This Row],[Resource]])-2)</f>
        <v>Resource Actions-10</v>
      </c>
      <c r="B12" s="71" t="str">
        <f>ResourceAction[[#This Row],[Resource Name]]&amp;"/"&amp;ResourceAction[[#This Row],[Name]]</f>
        <v>Task/TaskPartnerProgress</v>
      </c>
      <c r="C12" s="58" t="s">
        <v>845</v>
      </c>
      <c r="D12" s="71">
        <f>IF(ResourceAction[[#This Row],[Resource Name]]="","id",COUNTA($C$1:ResourceAction[[#This Row],[Resource Name]])-1+IF(VLOOKUP('Table Seed Map'!$A$34,SeedMap[],9,0),VLOOKUP('Table Seed Map'!$A$34,SeedMap[],9,0),0))</f>
        <v>803210</v>
      </c>
      <c r="E12" s="71">
        <f>IFERROR(VLOOKUP(ResourceAction[[#This Row],[Resource Name]],ResourceTable[[RName]:[No]],3,0),"resource")</f>
        <v>800506</v>
      </c>
      <c r="F12" s="71" t="s">
        <v>1088</v>
      </c>
      <c r="G12" s="71" t="s">
        <v>1089</v>
      </c>
      <c r="H12" s="71" t="s">
        <v>1090</v>
      </c>
      <c r="I12" s="71"/>
      <c r="J12" s="71"/>
      <c r="K12" s="71"/>
      <c r="L12" s="71"/>
      <c r="M12" s="71"/>
      <c r="N12" s="70" t="str">
        <f>'Table Seed Map'!$A$35&amp;"-"&amp;(COUNTA($E$1:ResourceAction[[#This Row],[Resource]])-2)</f>
        <v>Action Method-10</v>
      </c>
      <c r="O12" s="71">
        <f>IF(ResourceAction[[#This Row],[No]]="id","id",-2+COUNTA($E$1:ResourceAction[[#This Row],[Resource]])+IF(ISNUMBER(VLOOKUP('Table Seed Map'!$A$35,SeedMap[],9,0)),VLOOKUP('Table Seed Map'!$A$35,SeedMap[],9,0),0))</f>
        <v>803310</v>
      </c>
      <c r="P12" s="71">
        <f>IF(ResourceAction[[#This Row],[No]]="id","resource_action",ResourceAction[[#This Row],[No]])</f>
        <v>803210</v>
      </c>
      <c r="Q12" s="81" t="s">
        <v>1067</v>
      </c>
      <c r="R12" s="82">
        <f ca="1">IF(ResourceAction[[#This Row],[Resource Name]]="","idn1",IF(ResourceAction[[#This Row],[IDN1]]="","",VLOOKUP(ResourceAction[[#This Row],[IDN1]],IDNMaps[[Display]:[ID]],2,0)))</f>
        <v>800807</v>
      </c>
      <c r="S12" s="49">
        <f ca="1">IF(ResourceAction[[#This Row],[Resource Name]]="","idn2",IF(ResourceAction[[#This Row],[IDN2]]="","",VLOOKUP(ResourceAction[[#This Row],[IDN2]],IDNMaps[[Display]:[ID]],2,0)))</f>
        <v>802210</v>
      </c>
      <c r="T12" s="49" t="str">
        <f>IF(ResourceAction[[#This Row],[Resource Name]]="","idn3",IF(ResourceAction[[#This Row],[IDN3]]="","",VLOOKUP(ResourceAction[[#This Row],[IDN3]],IDNMaps[[Display]:[ID]],2,0)))</f>
        <v/>
      </c>
      <c r="U12" s="49" t="str">
        <f>IF(ResourceAction[[#This Row],[Resource Name]]="","idn4",IF(ResourceAction[[#This Row],[IDN4]]="","",VLOOKUP(ResourceAction[[#This Row],[IDN4]],IDNMaps[[Display]:[ID]],2,0)))</f>
        <v/>
      </c>
      <c r="V12" s="49" t="str">
        <f>IF(ResourceAction[[#This Row],[Resource Name]]="","idn5",IF(ResourceAction[[#This Row],[IDN5]]="","",VLOOKUP(ResourceAction[[#This Row],[IDN5]],IDNMaps[[Display]:[ID]],2,0)))</f>
        <v/>
      </c>
      <c r="W12" s="83" t="s">
        <v>1068</v>
      </c>
      <c r="X12" s="83" t="s">
        <v>1094</v>
      </c>
      <c r="Y12" s="83"/>
      <c r="Z12" s="83"/>
      <c r="AA12" s="83"/>
      <c r="AB12" s="78">
        <f>ResourceAction[No]</f>
        <v>803210</v>
      </c>
      <c r="AC12"/>
      <c r="AD12" s="63" t="s">
        <v>1096</v>
      </c>
      <c r="AE12" s="60">
        <f>VLOOKUP(ActionListNData[[#This Row],[Action Name]],ResourceAction[[Display]:[No]],3,0)</f>
        <v>803219</v>
      </c>
      <c r="AF12" s="60" t="s">
        <v>983</v>
      </c>
      <c r="AG12" s="60"/>
      <c r="AH12" s="60" t="str">
        <f>'Table Seed Map'!$A$37&amp;"-"&amp;-1+COUNTA($AF$1:ActionListNData[[#This Row],[Resource List]])</f>
        <v>Action List-10</v>
      </c>
      <c r="AI12" s="60">
        <f>IF(ActionListNData[[#This Row],[Action Name]]="","id",-1+COUNTA($AF$1:ActionListNData[[#This Row],[Resource List]])+IF(ISNUMBER(VLOOKUP('Table Seed Map'!$A$37,SeedMap[],9,0)),VLOOKUP('Table Seed Map'!$A$37,SeedMap[],9,0),0))</f>
        <v>803510</v>
      </c>
      <c r="AJ12" s="60">
        <f>ActionListNData[[#This Row],[Action]]</f>
        <v>803219</v>
      </c>
      <c r="AK12" s="60">
        <f>IF(ActionListNData[[#This Row],[Action Name]]="","resource_list",IFERROR(VLOOKUP(ActionListNData[[#This Row],[Resource List]],ResourceList[[ListDisplayName]:[No]],2,0),""))</f>
        <v>802205</v>
      </c>
      <c r="AL12" s="60" t="str">
        <f>'Table Seed Map'!$A$38&amp;"-"&amp;-1+COUNTA($AG$1:ActionListNData[[#This Row],[Resource Data]])</f>
        <v>Action Data-0</v>
      </c>
      <c r="AM12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2" s="60">
        <f>ActionListNData[[#This Row],[Action]]</f>
        <v>803219</v>
      </c>
      <c r="AO12" s="60" t="str">
        <f>IF(ActionListNData[[#This Row],[Action Name]]="","resource_data",IFERROR(VLOOKUP(ActionListNData[[#This Row],[Resource Data]],ResourceData[[DataDisplayName]:[No]],2,0),""))</f>
        <v/>
      </c>
    </row>
    <row r="13" spans="1:48" x14ac:dyDescent="0.25">
      <c r="A13" s="71" t="str">
        <f>'Table Seed Map'!$A$34&amp;"-"&amp;(COUNTA($E$1:ResourceAction[[#This Row],[Resource]])-2)</f>
        <v>Resource Actions-11</v>
      </c>
      <c r="B13" s="71" t="str">
        <f>ResourceAction[[#This Row],[Resource Name]]&amp;"/"&amp;ResourceAction[[#This Row],[Name]]</f>
        <v>PartnerTask/ListNewCategoryAction</v>
      </c>
      <c r="C13" s="58" t="s">
        <v>846</v>
      </c>
      <c r="D13" s="71">
        <f>IF(ResourceAction[[#This Row],[Resource Name]]="","id",COUNTA($C$1:ResourceAction[[#This Row],[Resource Name]])-1+IF(VLOOKUP('Table Seed Map'!$A$34,SeedMap[],9,0),VLOOKUP('Table Seed Map'!$A$34,SeedMap[],9,0),0))</f>
        <v>803211</v>
      </c>
      <c r="E13" s="71">
        <f>IFERROR(VLOOKUP(ResourceAction[[#This Row],[Resource Name]],ResourceTable[[RName]:[No]],3,0),"resource")</f>
        <v>800507</v>
      </c>
      <c r="F13" s="71" t="s">
        <v>1157</v>
      </c>
      <c r="G13" s="71" t="s">
        <v>1158</v>
      </c>
      <c r="H13" s="71" t="s">
        <v>850</v>
      </c>
      <c r="I13" s="71"/>
      <c r="J13" s="71"/>
      <c r="K13" s="71"/>
      <c r="L13" s="71"/>
      <c r="M13" s="71"/>
      <c r="N13" s="70" t="str">
        <f>'Table Seed Map'!$A$35&amp;"-"&amp;(COUNTA($E$1:ResourceAction[[#This Row],[Resource]])-2)</f>
        <v>Action Method-11</v>
      </c>
      <c r="O13" s="71">
        <f>IF(ResourceAction[[#This Row],[No]]="id","id",-2+COUNTA($E$1:ResourceAction[[#This Row],[Resource]])+IF(ISNUMBER(VLOOKUP('Table Seed Map'!$A$35,SeedMap[],9,0)),VLOOKUP('Table Seed Map'!$A$35,SeedMap[],9,0),0))</f>
        <v>803311</v>
      </c>
      <c r="P13" s="71">
        <f>IF(ResourceAction[[#This Row],[No]]="id","resource_action",ResourceAction[[#This Row],[No]])</f>
        <v>803211</v>
      </c>
      <c r="Q13" s="81" t="s">
        <v>1067</v>
      </c>
      <c r="R13" s="82">
        <f ca="1">IF(ResourceAction[[#This Row],[Resource Name]]="","idn1",IF(ResourceAction[[#This Row],[IDN1]]="","",VLOOKUP(ResourceAction[[#This Row],[IDN1]],IDNMaps[[Display]:[ID]],2,0)))</f>
        <v>802204</v>
      </c>
      <c r="S13" s="49">
        <f ca="1">IF(ResourceAction[[#This Row],[Resource Name]]="","idn2",IF(ResourceAction[[#This Row],[IDN2]]="","",VLOOKUP(ResourceAction[[#This Row],[IDN2]],IDNMaps[[Display]:[ID]],2,0)))</f>
        <v>802205</v>
      </c>
      <c r="T13" s="49" t="str">
        <f>IF(ResourceAction[[#This Row],[Resource Name]]="","idn3",IF(ResourceAction[[#This Row],[IDN3]]="","",VLOOKUP(ResourceAction[[#This Row],[IDN3]],IDNMaps[[Display]:[ID]],2,0)))</f>
        <v/>
      </c>
      <c r="U13" s="49" t="str">
        <f>IF(ResourceAction[[#This Row],[Resource Name]]="","idn4",IF(ResourceAction[[#This Row],[IDN4]]="","",VLOOKUP(ResourceAction[[#This Row],[IDN4]],IDNMaps[[Display]:[ID]],2,0)))</f>
        <v/>
      </c>
      <c r="V13" s="49" t="str">
        <f>IF(ResourceAction[[#This Row],[Resource Name]]="","idn5",IF(ResourceAction[[#This Row],[IDN5]]="","",VLOOKUP(ResourceAction[[#This Row],[IDN5]],IDNMaps[[Display]:[ID]],2,0)))</f>
        <v/>
      </c>
      <c r="W13" s="83" t="s">
        <v>1159</v>
      </c>
      <c r="X13" s="83" t="s">
        <v>998</v>
      </c>
      <c r="Y13" s="83"/>
      <c r="Z13" s="83"/>
      <c r="AA13" s="83"/>
      <c r="AB13" s="78">
        <f>ResourceAction[No]</f>
        <v>803211</v>
      </c>
      <c r="AD13" s="63" t="s">
        <v>1105</v>
      </c>
      <c r="AE13" s="60">
        <f>VLOOKUP(ActionListNData[[#This Row],[Action Name]],ResourceAction[[Display]:[No]],3,0)</f>
        <v>803220</v>
      </c>
      <c r="AF13" s="60" t="s">
        <v>933</v>
      </c>
      <c r="AG13" s="60"/>
      <c r="AH13" s="60" t="str">
        <f>'Table Seed Map'!$A$37&amp;"-"&amp;-1+COUNTA($AF$1:ActionListNData[[#This Row],[Resource List]])</f>
        <v>Action List-11</v>
      </c>
      <c r="AI13" s="60">
        <f>IF(ActionListNData[[#This Row],[Action Name]]="","id",-1+COUNTA($AF$1:ActionListNData[[#This Row],[Resource List]])+IF(ISNUMBER(VLOOKUP('Table Seed Map'!$A$37,SeedMap[],9,0)),VLOOKUP('Table Seed Map'!$A$37,SeedMap[],9,0),0))</f>
        <v>803511</v>
      </c>
      <c r="AJ13" s="60">
        <f>ActionListNData[[#This Row],[Action]]</f>
        <v>803220</v>
      </c>
      <c r="AK13" s="60">
        <f>IF(ActionListNData[[#This Row],[Action Name]]="","resource_list",IFERROR(VLOOKUP(ActionListNData[[#This Row],[Resource List]],ResourceList[[ListDisplayName]:[No]],2,0),""))</f>
        <v>802202</v>
      </c>
      <c r="AL13" s="60" t="str">
        <f>'Table Seed Map'!$A$38&amp;"-"&amp;-1+COUNTA($AG$1:ActionListNData[[#This Row],[Resource Data]])</f>
        <v>Action Data-0</v>
      </c>
      <c r="AM13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3" s="60">
        <f>ActionListNData[[#This Row],[Action]]</f>
        <v>803220</v>
      </c>
      <c r="AO13" s="60" t="str">
        <f>IF(ActionListNData[[#This Row],[Action Name]]="","resource_data",IFERROR(VLOOKUP(ActionListNData[[#This Row],[Resource Data]],ResourceData[[DataDisplayName]:[No]],2,0),""))</f>
        <v/>
      </c>
    </row>
    <row r="14" spans="1:48" x14ac:dyDescent="0.25">
      <c r="A14" s="37" t="str">
        <f>'Table Seed Map'!$A$34&amp;"-"&amp;(COUNTA($E$1:ResourceAction[[#This Row],[Resource]])-2)</f>
        <v>Resource Actions-12</v>
      </c>
      <c r="B14" s="37" t="str">
        <f>ResourceAction[[#This Row],[Resource Name]]&amp;"/"&amp;ResourceAction[[#This Row],[Name]]</f>
        <v>PartnerTask/ListNewTasksAction</v>
      </c>
      <c r="C14" s="35" t="s">
        <v>846</v>
      </c>
      <c r="D14" s="37">
        <f>IF(ResourceAction[[#This Row],[Resource Name]]="","id",COUNTA($C$1:ResourceAction[[#This Row],[Resource Name]])-1+IF(VLOOKUP('Table Seed Map'!$A$34,SeedMap[],9,0),VLOOKUP('Table Seed Map'!$A$34,SeedMap[],9,0),0))</f>
        <v>803212</v>
      </c>
      <c r="E14" s="37">
        <f>IFERROR(VLOOKUP(ResourceAction[[#This Row],[Resource Name]],ResourceTable[[RName]:[No]],3,0),"resource")</f>
        <v>800507</v>
      </c>
      <c r="F14" s="37" t="s">
        <v>1008</v>
      </c>
      <c r="G14" s="37" t="s">
        <v>997</v>
      </c>
      <c r="H14" s="37"/>
      <c r="I14" s="37"/>
      <c r="J14" s="37" t="s">
        <v>982</v>
      </c>
      <c r="K14" s="37"/>
      <c r="L14" s="37"/>
      <c r="M14" s="37"/>
      <c r="N14" s="39" t="str">
        <f>'Table Seed Map'!$A$35&amp;"-"&amp;(COUNTA($E$1:ResourceAction[[#This Row],[Resource]])-2)</f>
        <v>Action Method-12</v>
      </c>
      <c r="O14" s="37">
        <f>IF(ResourceAction[[#This Row],[No]]="id","id",-2+COUNTA($E$1:ResourceAction[[#This Row],[Resource]])+IF(ISNUMBER(VLOOKUP('Table Seed Map'!$A$35,SeedMap[],9,0)),VLOOKUP('Table Seed Map'!$A$35,SeedMap[],9,0),0))</f>
        <v>803312</v>
      </c>
      <c r="P14" s="37">
        <f>IF(ResourceAction[[#This Row],[No]]="id","resource_action",ResourceAction[[#This Row],[No]])</f>
        <v>803212</v>
      </c>
      <c r="Q14" s="48" t="s">
        <v>122</v>
      </c>
      <c r="R14" s="49">
        <f ca="1">IF(ResourceAction[[#This Row],[Resource Name]]="","idn1",IF(ResourceAction[[#This Row],[IDN1]]="","",VLOOKUP(ResourceAction[[#This Row],[IDN1]],IDNMaps[[Display]:[ID]],2,0)))</f>
        <v>802205</v>
      </c>
      <c r="S14" s="49" t="str">
        <f>IF(ResourceAction[[#This Row],[Resource Name]]="","idn2",IF(ResourceAction[[#This Row],[IDN2]]="","",VLOOKUP(ResourceAction[[#This Row],[IDN2]],IDNMaps[[Display]:[ID]],2,0)))</f>
        <v/>
      </c>
      <c r="T14" s="49" t="str">
        <f>IF(ResourceAction[[#This Row],[Resource Name]]="","idn3",IF(ResourceAction[[#This Row],[IDN3]]="","",VLOOKUP(ResourceAction[[#This Row],[IDN3]],IDNMaps[[Display]:[ID]],2,0)))</f>
        <v/>
      </c>
      <c r="U14" s="49" t="str">
        <f>IF(ResourceAction[[#This Row],[Resource Name]]="","idn4",IF(ResourceAction[[#This Row],[IDN4]]="","",VLOOKUP(ResourceAction[[#This Row],[IDN4]],IDNMaps[[Display]:[ID]],2,0)))</f>
        <v/>
      </c>
      <c r="V14" s="49" t="str">
        <f>IF(ResourceAction[[#This Row],[Resource Name]]="","idn5",IF(ResourceAction[[#This Row],[IDN5]]="","",VLOOKUP(ResourceAction[[#This Row],[IDN5]],IDNMaps[[Display]:[ID]],2,0)))</f>
        <v/>
      </c>
      <c r="W14" s="83" t="s">
        <v>998</v>
      </c>
      <c r="X14" s="57"/>
      <c r="Y14" s="57"/>
      <c r="Z14" s="57"/>
      <c r="AA14" s="57"/>
      <c r="AB14" s="54">
        <f>ResourceAction[No]</f>
        <v>803212</v>
      </c>
      <c r="AD14" s="63" t="s">
        <v>1122</v>
      </c>
      <c r="AE14" s="60">
        <f>VLOOKUP(ActionListNData[[#This Row],[Action Name]],ResourceAction[[Display]:[No]],3,0)</f>
        <v>803218</v>
      </c>
      <c r="AF14" s="60" t="s">
        <v>1093</v>
      </c>
      <c r="AG14" s="60"/>
      <c r="AH14" s="60" t="str">
        <f>'Table Seed Map'!$A$37&amp;"-"&amp;-1+COUNTA($AF$1:ActionListNData[[#This Row],[Resource List]])</f>
        <v>Action List-12</v>
      </c>
      <c r="AI14" s="60">
        <f>IF(ActionListNData[[#This Row],[Action Name]]="","id",-1+COUNTA($AF$1:ActionListNData[[#This Row],[Resource List]])+IF(ISNUMBER(VLOOKUP('Table Seed Map'!$A$37,SeedMap[],9,0)),VLOOKUP('Table Seed Map'!$A$37,SeedMap[],9,0),0))</f>
        <v>803512</v>
      </c>
      <c r="AJ14" s="60">
        <f>ActionListNData[[#This Row],[Action]]</f>
        <v>803218</v>
      </c>
      <c r="AK14" s="60">
        <f>IF(ActionListNData[[#This Row],[Action Name]]="","resource_list",IFERROR(VLOOKUP(ActionListNData[[#This Row],[Resource List]],ResourceList[[ListDisplayName]:[No]],2,0),""))</f>
        <v>802210</v>
      </c>
      <c r="AL14" s="60" t="str">
        <f>'Table Seed Map'!$A$38&amp;"-"&amp;-1+COUNTA($AG$1:ActionListNData[[#This Row],[Resource Data]])</f>
        <v>Action Data-0</v>
      </c>
      <c r="AM14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4" s="60">
        <f>ActionListNData[[#This Row],[Action]]</f>
        <v>803218</v>
      </c>
      <c r="AO14" s="60" t="str">
        <f>IF(ActionListNData[[#This Row],[Action Name]]="","resource_data",IFERROR(VLOOKUP(ActionListNData[[#This Row],[Resource Data]],ResourceData[[DataDisplayName]:[No]],2,0),""))</f>
        <v/>
      </c>
    </row>
    <row r="15" spans="1:48" x14ac:dyDescent="0.25">
      <c r="A15" s="37" t="str">
        <f>'Table Seed Map'!$A$34&amp;"-"&amp;(COUNTA($E$1:ResourceAction[[#This Row],[Resource]])-2)</f>
        <v>Resource Actions-13</v>
      </c>
      <c r="B15" s="37" t="str">
        <f>ResourceAction[[#This Row],[Resource Name]]&amp;"/"&amp;ResourceAction[[#This Row],[Name]]</f>
        <v>PartnerTask/ListCompletedTasksAction</v>
      </c>
      <c r="C15" s="35" t="s">
        <v>846</v>
      </c>
      <c r="D15" s="37">
        <f>IF(ResourceAction[[#This Row],[Resource Name]]="","id",COUNTA($C$1:ResourceAction[[#This Row],[Resource Name]])-1+IF(VLOOKUP('Table Seed Map'!$A$34,SeedMap[],9,0),VLOOKUP('Table Seed Map'!$A$34,SeedMap[],9,0),0))</f>
        <v>803213</v>
      </c>
      <c r="E15" s="37">
        <f>IFERROR(VLOOKUP(ResourceAction[[#This Row],[Resource Name]],ResourceTable[[RName]:[No]],3,0),"resource")</f>
        <v>800507</v>
      </c>
      <c r="F15" s="37" t="s">
        <v>1005</v>
      </c>
      <c r="G15" s="37" t="s">
        <v>1009</v>
      </c>
      <c r="H15" s="37"/>
      <c r="I15" s="37"/>
      <c r="J15" s="37" t="s">
        <v>1003</v>
      </c>
      <c r="K15" s="37"/>
      <c r="L15" s="37"/>
      <c r="M15" s="37"/>
      <c r="N15" s="39" t="str">
        <f>'Table Seed Map'!$A$35&amp;"-"&amp;(COUNTA($E$1:ResourceAction[[#This Row],[Resource]])-2)</f>
        <v>Action Method-13</v>
      </c>
      <c r="O15" s="37">
        <f>IF(ResourceAction[[#This Row],[No]]="id","id",-2+COUNTA($E$1:ResourceAction[[#This Row],[Resource]])+IF(ISNUMBER(VLOOKUP('Table Seed Map'!$A$35,SeedMap[],9,0)),VLOOKUP('Table Seed Map'!$A$35,SeedMap[],9,0),0))</f>
        <v>803313</v>
      </c>
      <c r="P15" s="37">
        <f>IF(ResourceAction[[#This Row],[No]]="id","resource_action",ResourceAction[[#This Row],[No]])</f>
        <v>803213</v>
      </c>
      <c r="Q15" s="48" t="s">
        <v>122</v>
      </c>
      <c r="R15" s="49">
        <f ca="1">IF(ResourceAction[[#This Row],[Resource Name]]="","idn1",IF(ResourceAction[[#This Row],[IDN1]]="","",VLOOKUP(ResourceAction[[#This Row],[IDN1]],IDNMaps[[Display]:[ID]],2,0)))</f>
        <v>802208</v>
      </c>
      <c r="S15" s="49" t="str">
        <f>IF(ResourceAction[[#This Row],[Resource Name]]="","idn2",IF(ResourceAction[[#This Row],[IDN2]]="","",VLOOKUP(ResourceAction[[#This Row],[IDN2]],IDNMaps[[Display]:[ID]],2,0)))</f>
        <v/>
      </c>
      <c r="T15" s="49" t="str">
        <f>IF(ResourceAction[[#This Row],[Resource Name]]="","idn3",IF(ResourceAction[[#This Row],[IDN3]]="","",VLOOKUP(ResourceAction[[#This Row],[IDN3]],IDNMaps[[Display]:[ID]],2,0)))</f>
        <v/>
      </c>
      <c r="U15" s="49" t="str">
        <f>IF(ResourceAction[[#This Row],[Resource Name]]="","idn4",IF(ResourceAction[[#This Row],[IDN4]]="","",VLOOKUP(ResourceAction[[#This Row],[IDN4]],IDNMaps[[Display]:[ID]],2,0)))</f>
        <v/>
      </c>
      <c r="V15" s="49" t="str">
        <f>IF(ResourceAction[[#This Row],[Resource Name]]="","idn5",IF(ResourceAction[[#This Row],[IDN5]]="","",VLOOKUP(ResourceAction[[#This Row],[IDN5]],IDNMaps[[Display]:[ID]],2,0)))</f>
        <v/>
      </c>
      <c r="W15" s="83" t="s">
        <v>1001</v>
      </c>
      <c r="X15" s="57"/>
      <c r="Y15" s="57"/>
      <c r="Z15" s="57"/>
      <c r="AA15" s="57"/>
      <c r="AB15" s="54">
        <f>ResourceAction[No]</f>
        <v>803213</v>
      </c>
      <c r="AD15" s="63" t="s">
        <v>1122</v>
      </c>
      <c r="AE15" s="60">
        <f>VLOOKUP(ActionListNData[[#This Row],[Action Name]],ResourceAction[[Display]:[No]],3,0)</f>
        <v>803218</v>
      </c>
      <c r="AF15" s="60" t="s">
        <v>1100</v>
      </c>
      <c r="AG15" s="60"/>
      <c r="AH15" s="60" t="str">
        <f>'Table Seed Map'!$A$37&amp;"-"&amp;-1+COUNTA($AF$1:ActionListNData[[#This Row],[Resource List]])</f>
        <v>Action List-13</v>
      </c>
      <c r="AI15" s="60">
        <f>IF(ActionListNData[[#This Row],[Action Name]]="","id",-1+COUNTA($AF$1:ActionListNData[[#This Row],[Resource List]])+IF(ISNUMBER(VLOOKUP('Table Seed Map'!$A$37,SeedMap[],9,0)),VLOOKUP('Table Seed Map'!$A$37,SeedMap[],9,0),0))</f>
        <v>803513</v>
      </c>
      <c r="AJ15" s="60">
        <f>ActionListNData[[#This Row],[Action]]</f>
        <v>803218</v>
      </c>
      <c r="AK15" s="60">
        <f>IF(ActionListNData[[#This Row],[Action Name]]="","resource_list",IFERROR(VLOOKUP(ActionListNData[[#This Row],[Resource List]],ResourceList[[ListDisplayName]:[No]],2,0),""))</f>
        <v>802211</v>
      </c>
      <c r="AL15" s="60" t="str">
        <f>'Table Seed Map'!$A$38&amp;"-"&amp;-1+COUNTA($AG$1:ActionListNData[[#This Row],[Resource Data]])</f>
        <v>Action Data-0</v>
      </c>
      <c r="AM1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5" s="60">
        <f>ActionListNData[[#This Row],[Action]]</f>
        <v>803218</v>
      </c>
      <c r="AO15" s="60" t="str">
        <f>IF(ActionListNData[[#This Row],[Action Name]]="","resource_data",IFERROR(VLOOKUP(ActionListNData[[#This Row],[Resource Data]],ResourceData[[DataDisplayName]:[No]],2,0),""))</f>
        <v/>
      </c>
    </row>
    <row r="16" spans="1:48" x14ac:dyDescent="0.25">
      <c r="A16" s="37" t="str">
        <f>'Table Seed Map'!$A$34&amp;"-"&amp;(COUNTA($E$1:ResourceAction[[#This Row],[Resource]])-2)</f>
        <v>Resource Actions-14</v>
      </c>
      <c r="B16" s="37" t="str">
        <f>ResourceAction[[#This Row],[Resource Name]]&amp;"/"&amp;ResourceAction[[#This Row],[Name]]</f>
        <v>PartnerTask/ListDismissedTasksAction</v>
      </c>
      <c r="C16" s="35" t="s">
        <v>846</v>
      </c>
      <c r="D16" s="37">
        <f>IF(ResourceAction[[#This Row],[Resource Name]]="","id",COUNTA($C$1:ResourceAction[[#This Row],[Resource Name]])-1+IF(VLOOKUP('Table Seed Map'!$A$34,SeedMap[],9,0),VLOOKUP('Table Seed Map'!$A$34,SeedMap[],9,0),0))</f>
        <v>803214</v>
      </c>
      <c r="E16" s="37">
        <f>IFERROR(VLOOKUP(ResourceAction[[#This Row],[Resource Name]],ResourceTable[[RName]:[No]],3,0),"resource")</f>
        <v>800507</v>
      </c>
      <c r="F16" s="37" t="s">
        <v>1006</v>
      </c>
      <c r="G16" s="37" t="s">
        <v>1010</v>
      </c>
      <c r="H16" s="37"/>
      <c r="I16" s="37"/>
      <c r="J16" s="37" t="s">
        <v>1002</v>
      </c>
      <c r="K16" s="37"/>
      <c r="L16" s="37"/>
      <c r="M16" s="37"/>
      <c r="N16" s="39" t="str">
        <f>'Table Seed Map'!$A$35&amp;"-"&amp;(COUNTA($E$1:ResourceAction[[#This Row],[Resource]])-2)</f>
        <v>Action Method-14</v>
      </c>
      <c r="O16" s="37">
        <f>IF(ResourceAction[[#This Row],[No]]="id","id",-2+COUNTA($E$1:ResourceAction[[#This Row],[Resource]])+IF(ISNUMBER(VLOOKUP('Table Seed Map'!$A$35,SeedMap[],9,0)),VLOOKUP('Table Seed Map'!$A$35,SeedMap[],9,0),0))</f>
        <v>803314</v>
      </c>
      <c r="P16" s="37">
        <f>IF(ResourceAction[[#This Row],[No]]="id","resource_action",ResourceAction[[#This Row],[No]])</f>
        <v>803214</v>
      </c>
      <c r="Q16" s="48" t="s">
        <v>122</v>
      </c>
      <c r="R16" s="49">
        <f ca="1">IF(ResourceAction[[#This Row],[Resource Name]]="","idn1",IF(ResourceAction[[#This Row],[IDN1]]="","",VLOOKUP(ResourceAction[[#This Row],[IDN1]],IDNMaps[[Display]:[ID]],2,0)))</f>
        <v>802206</v>
      </c>
      <c r="S16" s="49" t="str">
        <f>IF(ResourceAction[[#This Row],[Resource Name]]="","idn2",IF(ResourceAction[[#This Row],[IDN2]]="","",VLOOKUP(ResourceAction[[#This Row],[IDN2]],IDNMaps[[Display]:[ID]],2,0)))</f>
        <v/>
      </c>
      <c r="T16" s="49" t="str">
        <f>IF(ResourceAction[[#This Row],[Resource Name]]="","idn3",IF(ResourceAction[[#This Row],[IDN3]]="","",VLOOKUP(ResourceAction[[#This Row],[IDN3]],IDNMaps[[Display]:[ID]],2,0)))</f>
        <v/>
      </c>
      <c r="U16" s="49" t="str">
        <f>IF(ResourceAction[[#This Row],[Resource Name]]="","idn4",IF(ResourceAction[[#This Row],[IDN4]]="","",VLOOKUP(ResourceAction[[#This Row],[IDN4]],IDNMaps[[Display]:[ID]],2,0)))</f>
        <v/>
      </c>
      <c r="V16" s="49" t="str">
        <f>IF(ResourceAction[[#This Row],[Resource Name]]="","idn5",IF(ResourceAction[[#This Row],[IDN5]]="","",VLOOKUP(ResourceAction[[#This Row],[IDN5]],IDNMaps[[Display]:[ID]],2,0)))</f>
        <v/>
      </c>
      <c r="W16" s="83" t="s">
        <v>999</v>
      </c>
      <c r="X16" s="57"/>
      <c r="Y16" s="57"/>
      <c r="Z16" s="57"/>
      <c r="AA16" s="57"/>
      <c r="AB16" s="54">
        <f>ResourceAction[No]</f>
        <v>803214</v>
      </c>
      <c r="AD16" s="63" t="s">
        <v>1173</v>
      </c>
      <c r="AE16" s="60">
        <f>VLOOKUP(ActionListNData[[#This Row],[Action Name]],ResourceAction[[Display]:[No]],3,0)</f>
        <v>803224</v>
      </c>
      <c r="AF16" s="60" t="s">
        <v>1162</v>
      </c>
      <c r="AG16" s="60"/>
      <c r="AH16" s="60" t="str">
        <f>'Table Seed Map'!$A$37&amp;"-"&amp;-1+COUNTA($AF$1:ActionListNData[[#This Row],[Resource List]])</f>
        <v>Action List-14</v>
      </c>
      <c r="AI16" s="60">
        <f>IF(ActionListNData[[#This Row],[Action Name]]="","id",-1+COUNTA($AF$1:ActionListNData[[#This Row],[Resource List]])+IF(ISNUMBER(VLOOKUP('Table Seed Map'!$A$37,SeedMap[],9,0)),VLOOKUP('Table Seed Map'!$A$37,SeedMap[],9,0),0))</f>
        <v>803514</v>
      </c>
      <c r="AJ16" s="60">
        <f>ActionListNData[[#This Row],[Action]]</f>
        <v>803224</v>
      </c>
      <c r="AK16" s="60">
        <f>IF(ActionListNData[[#This Row],[Action Name]]="","resource_list",IFERROR(VLOOKUP(ActionListNData[[#This Row],[Resource List]],ResourceList[[ListDisplayName]:[No]],2,0),""))</f>
        <v>802213</v>
      </c>
      <c r="AL16" s="60" t="str">
        <f>'Table Seed Map'!$A$38&amp;"-"&amp;-1+COUNTA($AG$1:ActionListNData[[#This Row],[Resource Data]])</f>
        <v>Action Data-0</v>
      </c>
      <c r="AM1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6" s="60">
        <f>ActionListNData[[#This Row],[Action]]</f>
        <v>803224</v>
      </c>
      <c r="AO16" s="60" t="str">
        <f>IF(ActionListNData[[#This Row],[Action Name]]="","resource_data",IFERROR(VLOOKUP(ActionListNData[[#This Row],[Resource Data]],ResourceData[[DataDisplayName]:[No]],2,0),""))</f>
        <v/>
      </c>
    </row>
    <row r="17" spans="1:41" x14ac:dyDescent="0.25">
      <c r="A17" s="37" t="str">
        <f>'Table Seed Map'!$A$34&amp;"-"&amp;(COUNTA($E$1:ResourceAction[[#This Row],[Resource]])-2)</f>
        <v>Resource Actions-15</v>
      </c>
      <c r="B17" s="37" t="str">
        <f>ResourceAction[[#This Row],[Resource Name]]&amp;"/"&amp;ResourceAction[[#This Row],[Name]]</f>
        <v>PartnerTask/ListReturnedTasksAction</v>
      </c>
      <c r="C17" s="35" t="s">
        <v>846</v>
      </c>
      <c r="D17" s="37">
        <f>IF(ResourceAction[[#This Row],[Resource Name]]="","id",COUNTA($C$1:ResourceAction[[#This Row],[Resource Name]])-1+IF(VLOOKUP('Table Seed Map'!$A$34,SeedMap[],9,0),VLOOKUP('Table Seed Map'!$A$34,SeedMap[],9,0),0))</f>
        <v>803215</v>
      </c>
      <c r="E17" s="37">
        <f>IFERROR(VLOOKUP(ResourceAction[[#This Row],[Resource Name]],ResourceTable[[RName]:[No]],3,0),"resource")</f>
        <v>800507</v>
      </c>
      <c r="F17" s="37" t="s">
        <v>1007</v>
      </c>
      <c r="G17" s="37" t="s">
        <v>1011</v>
      </c>
      <c r="H17" s="37"/>
      <c r="I17" s="37"/>
      <c r="J17" s="37" t="s">
        <v>1004</v>
      </c>
      <c r="K17" s="37"/>
      <c r="L17" s="37"/>
      <c r="M17" s="37"/>
      <c r="N17" s="39" t="str">
        <f>'Table Seed Map'!$A$35&amp;"-"&amp;(COUNTA($E$1:ResourceAction[[#This Row],[Resource]])-2)</f>
        <v>Action Method-15</v>
      </c>
      <c r="O17" s="37">
        <f>IF(ResourceAction[[#This Row],[No]]="id","id",-2+COUNTA($E$1:ResourceAction[[#This Row],[Resource]])+IF(ISNUMBER(VLOOKUP('Table Seed Map'!$A$35,SeedMap[],9,0)),VLOOKUP('Table Seed Map'!$A$35,SeedMap[],9,0),0))</f>
        <v>803315</v>
      </c>
      <c r="P17" s="37">
        <f>IF(ResourceAction[[#This Row],[No]]="id","resource_action",ResourceAction[[#This Row],[No]])</f>
        <v>803215</v>
      </c>
      <c r="Q17" s="48" t="s">
        <v>122</v>
      </c>
      <c r="R17" s="49">
        <f ca="1">IF(ResourceAction[[#This Row],[Resource Name]]="","idn1",IF(ResourceAction[[#This Row],[IDN1]]="","",VLOOKUP(ResourceAction[[#This Row],[IDN1]],IDNMaps[[Display]:[ID]],2,0)))</f>
        <v>802207</v>
      </c>
      <c r="S17" s="49" t="str">
        <f>IF(ResourceAction[[#This Row],[Resource Name]]="","idn2",IF(ResourceAction[[#This Row],[IDN2]]="","",VLOOKUP(ResourceAction[[#This Row],[IDN2]],IDNMaps[[Display]:[ID]],2,0)))</f>
        <v/>
      </c>
      <c r="T17" s="49" t="str">
        <f>IF(ResourceAction[[#This Row],[Resource Name]]="","idn3",IF(ResourceAction[[#This Row],[IDN3]]="","",VLOOKUP(ResourceAction[[#This Row],[IDN3]],IDNMaps[[Display]:[ID]],2,0)))</f>
        <v/>
      </c>
      <c r="U17" s="49" t="str">
        <f>IF(ResourceAction[[#This Row],[Resource Name]]="","idn4",IF(ResourceAction[[#This Row],[IDN4]]="","",VLOOKUP(ResourceAction[[#This Row],[IDN4]],IDNMaps[[Display]:[ID]],2,0)))</f>
        <v/>
      </c>
      <c r="V17" s="49" t="str">
        <f>IF(ResourceAction[[#This Row],[Resource Name]]="","idn5",IF(ResourceAction[[#This Row],[IDN5]]="","",VLOOKUP(ResourceAction[[#This Row],[IDN5]],IDNMaps[[Display]:[ID]],2,0)))</f>
        <v/>
      </c>
      <c r="W17" s="57" t="s">
        <v>1000</v>
      </c>
      <c r="X17" s="57"/>
      <c r="Y17" s="57"/>
      <c r="Z17" s="57"/>
      <c r="AA17" s="57"/>
      <c r="AB17" s="54">
        <f>ResourceAction[No]</f>
        <v>803215</v>
      </c>
      <c r="AD17" s="63" t="s">
        <v>1178</v>
      </c>
      <c r="AE17" s="60">
        <f>VLOOKUP(ActionListNData[[#This Row],[Action Name]],ResourceAction[[Display]:[No]],3,0)</f>
        <v>803225</v>
      </c>
      <c r="AF17" s="60" t="s">
        <v>1162</v>
      </c>
      <c r="AG17" s="60"/>
      <c r="AH17" s="60" t="str">
        <f>'Table Seed Map'!$A$37&amp;"-"&amp;-1+COUNTA($AF$1:ActionListNData[[#This Row],[Resource List]])</f>
        <v>Action List-15</v>
      </c>
      <c r="AI17" s="60">
        <f>IF(ActionListNData[[#This Row],[Action Name]]="","id",-1+COUNTA($AF$1:ActionListNData[[#This Row],[Resource List]])+IF(ISNUMBER(VLOOKUP('Table Seed Map'!$A$37,SeedMap[],9,0)),VLOOKUP('Table Seed Map'!$A$37,SeedMap[],9,0),0))</f>
        <v>803515</v>
      </c>
      <c r="AJ17" s="60">
        <f>ActionListNData[[#This Row],[Action]]</f>
        <v>803225</v>
      </c>
      <c r="AK17" s="60">
        <f>IF(ActionListNData[[#This Row],[Action Name]]="","resource_list",IFERROR(VLOOKUP(ActionListNData[[#This Row],[Resource List]],ResourceList[[ListDisplayName]:[No]],2,0),""))</f>
        <v>802213</v>
      </c>
      <c r="AL17" s="60" t="str">
        <f>'Table Seed Map'!$A$38&amp;"-"&amp;-1+COUNTA($AG$1:ActionListNData[[#This Row],[Resource Data]])</f>
        <v>Action Data-0</v>
      </c>
      <c r="AM1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7" s="60">
        <f>ActionListNData[[#This Row],[Action]]</f>
        <v>803225</v>
      </c>
      <c r="AO17" s="60" t="str">
        <f>IF(ActionListNData[[#This Row],[Action Name]]="","resource_data",IFERROR(VLOOKUP(ActionListNData[[#This Row],[Resource Data]],ResourceData[[DataDisplayName]:[No]],2,0),""))</f>
        <v/>
      </c>
    </row>
    <row r="18" spans="1:41" x14ac:dyDescent="0.25">
      <c r="A18" s="37" t="str">
        <f>'Table Seed Map'!$A$34&amp;"-"&amp;(COUNTA($E$1:ResourceAction[[#This Row],[Resource]])-2)</f>
        <v>Resource Actions-16</v>
      </c>
      <c r="B18" s="37" t="str">
        <f>ResourceAction[[#This Row],[Resource Name]]&amp;"/"&amp;ResourceAction[[#This Row],[Name]]</f>
        <v>PartnerTask/CompleteDescriptionTaskFormAction</v>
      </c>
      <c r="C18" s="35" t="s">
        <v>846</v>
      </c>
      <c r="D18" s="37">
        <f>IF(ResourceAction[[#This Row],[Resource Name]]="","id",COUNTA($C$1:ResourceAction[[#This Row],[Resource Name]])-1+IF(VLOOKUP('Table Seed Map'!$A$34,SeedMap[],9,0),VLOOKUP('Table Seed Map'!$A$34,SeedMap[],9,0),0))</f>
        <v>803216</v>
      </c>
      <c r="E18" s="37">
        <f>IFERROR(VLOOKUP(ResourceAction[[#This Row],[Resource Name]],ResourceTable[[RName]:[No]],3,0),"resource")</f>
        <v>800507</v>
      </c>
      <c r="F18" s="37" t="s">
        <v>1026</v>
      </c>
      <c r="G18" s="37" t="s">
        <v>1043</v>
      </c>
      <c r="H18" s="37" t="s">
        <v>1015</v>
      </c>
      <c r="I18" s="37"/>
      <c r="J18" s="37"/>
      <c r="K18" s="37"/>
      <c r="L18" s="37" t="s">
        <v>1050</v>
      </c>
      <c r="M18" s="37"/>
      <c r="N18" s="39" t="str">
        <f>'Table Seed Map'!$A$35&amp;"-"&amp;(COUNTA($E$1:ResourceAction[[#This Row],[Resource]])-2)</f>
        <v>Action Method-16</v>
      </c>
      <c r="O18" s="37">
        <f>IF(ResourceAction[[#This Row],[No]]="id","id",-2+COUNTA($E$1:ResourceAction[[#This Row],[Resource]])+IF(ISNUMBER(VLOOKUP('Table Seed Map'!$A$35,SeedMap[],9,0)),VLOOKUP('Table Seed Map'!$A$35,SeedMap[],9,0),0))</f>
        <v>803316</v>
      </c>
      <c r="P18" s="37">
        <f>IF(ResourceAction[[#This Row],[No]]="id","resource_action",ResourceAction[[#This Row],[No]])</f>
        <v>803216</v>
      </c>
      <c r="Q18" s="48" t="s">
        <v>224</v>
      </c>
      <c r="R18" s="49">
        <f ca="1">IF(ResourceAction[[#This Row],[Resource Name]]="","idn1",IF(ResourceAction[[#This Row],[IDN1]]="","",VLOOKUP(ResourceAction[[#This Row],[IDN1]],IDNMaps[[Display]:[ID]],2,0)))</f>
        <v>800904</v>
      </c>
      <c r="S18" s="49">
        <f ca="1">IF(ResourceAction[[#This Row],[Resource Name]]="","idn2",IF(ResourceAction[[#This Row],[IDN2]]="","",VLOOKUP(ResourceAction[[#This Row],[IDN2]],IDNMaps[[Display]:[ID]],2,0)))</f>
        <v>802701</v>
      </c>
      <c r="T18" s="49" t="str">
        <f>IF(ResourceAction[[#This Row],[Resource Name]]="","idn3",IF(ResourceAction[[#This Row],[IDN3]]="","",VLOOKUP(ResourceAction[[#This Row],[IDN3]],IDNMaps[[Display]:[ID]],2,0)))</f>
        <v/>
      </c>
      <c r="U18" s="49" t="str">
        <f>IF(ResourceAction[[#This Row],[Resource Name]]="","idn4",IF(ResourceAction[[#This Row],[IDN4]]="","",VLOOKUP(ResourceAction[[#This Row],[IDN4]],IDNMaps[[Display]:[ID]],2,0)))</f>
        <v/>
      </c>
      <c r="V18" s="49" t="str">
        <f>IF(ResourceAction[[#This Row],[Resource Name]]="","idn5",IF(ResourceAction[[#This Row],[IDN5]]="","",VLOOKUP(ResourceAction[[#This Row],[IDN5]],IDNMaps[[Display]:[ID]],2,0)))</f>
        <v/>
      </c>
      <c r="W18" s="57" t="s">
        <v>1027</v>
      </c>
      <c r="X18" s="57" t="s">
        <v>1028</v>
      </c>
      <c r="Y18" s="57"/>
      <c r="Z18" s="57"/>
      <c r="AA18" s="57"/>
      <c r="AB18" s="54">
        <f>ResourceAction[No]</f>
        <v>803216</v>
      </c>
      <c r="AD18" s="63" t="s">
        <v>1179</v>
      </c>
      <c r="AE18" s="60">
        <f>VLOOKUP(ActionListNData[[#This Row],[Action Name]],ResourceAction[[Display]:[No]],3,0)</f>
        <v>803226</v>
      </c>
      <c r="AF18" s="60" t="s">
        <v>1162</v>
      </c>
      <c r="AG18" s="60"/>
      <c r="AH18" s="60" t="str">
        <f>'Table Seed Map'!$A$37&amp;"-"&amp;-1+COUNTA($AF$1:ActionListNData[[#This Row],[Resource List]])</f>
        <v>Action List-16</v>
      </c>
      <c r="AI18" s="60">
        <f>IF(ActionListNData[[#This Row],[Action Name]]="","id",-1+COUNTA($AF$1:ActionListNData[[#This Row],[Resource List]])+IF(ISNUMBER(VLOOKUP('Table Seed Map'!$A$37,SeedMap[],9,0)),VLOOKUP('Table Seed Map'!$A$37,SeedMap[],9,0),0))</f>
        <v>803516</v>
      </c>
      <c r="AJ18" s="60">
        <f>ActionListNData[[#This Row],[Action]]</f>
        <v>803226</v>
      </c>
      <c r="AK18" s="60">
        <f>IF(ActionListNData[[#This Row],[Action Name]]="","resource_list",IFERROR(VLOOKUP(ActionListNData[[#This Row],[Resource List]],ResourceList[[ListDisplayName]:[No]],2,0),""))</f>
        <v>802213</v>
      </c>
      <c r="AL18" s="60" t="str">
        <f>'Table Seed Map'!$A$38&amp;"-"&amp;-1+COUNTA($AG$1:ActionListNData[[#This Row],[Resource Data]])</f>
        <v>Action Data-0</v>
      </c>
      <c r="AM18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8" s="60">
        <f>ActionListNData[[#This Row],[Action]]</f>
        <v>803226</v>
      </c>
      <c r="AO18" s="60" t="str">
        <f>IF(ActionListNData[[#This Row],[Action Name]]="","resource_data",IFERROR(VLOOKUP(ActionListNData[[#This Row],[Resource Data]],ResourceData[[DataDisplayName]:[No]],2,0),""))</f>
        <v/>
      </c>
    </row>
    <row r="19" spans="1:41" x14ac:dyDescent="0.25">
      <c r="A19" s="71" t="str">
        <f>'Table Seed Map'!$A$34&amp;"-"&amp;(COUNTA($E$1:ResourceAction[[#This Row],[Resource]])-2)</f>
        <v>Resource Actions-17</v>
      </c>
      <c r="B19" s="71" t="str">
        <f>ResourceAction[[#This Row],[Resource Name]]&amp;"/"&amp;ResourceAction[[#This Row],[Name]]</f>
        <v>PartnerTask/CompleteAttachmentTaskFormAction</v>
      </c>
      <c r="C19" s="58" t="s">
        <v>846</v>
      </c>
      <c r="D19" s="71">
        <f>IF(ResourceAction[[#This Row],[Resource Name]]="","id",COUNTA($C$1:ResourceAction[[#This Row],[Resource Name]])-1+IF(VLOOKUP('Table Seed Map'!$A$34,SeedMap[],9,0),VLOOKUP('Table Seed Map'!$A$34,SeedMap[],9,0),0))</f>
        <v>803217</v>
      </c>
      <c r="E19" s="71">
        <f>IFERROR(VLOOKUP(ResourceAction[[#This Row],[Resource Name]],ResourceTable[[RName]:[No]],3,0),"resource")</f>
        <v>800507</v>
      </c>
      <c r="F19" s="37" t="s">
        <v>1041</v>
      </c>
      <c r="G19" s="37" t="s">
        <v>1042</v>
      </c>
      <c r="H19" s="37" t="s">
        <v>1015</v>
      </c>
      <c r="I19" s="71"/>
      <c r="J19" s="71"/>
      <c r="K19" s="71"/>
      <c r="L19" s="37" t="s">
        <v>1051</v>
      </c>
      <c r="M19" s="71"/>
      <c r="N19" s="70" t="str">
        <f>'Table Seed Map'!$A$35&amp;"-"&amp;(COUNTA($E$1:ResourceAction[[#This Row],[Resource]])-2)</f>
        <v>Action Method-17</v>
      </c>
      <c r="O19" s="71">
        <f>IF(ResourceAction[[#This Row],[No]]="id","id",-2+COUNTA($E$1:ResourceAction[[#This Row],[Resource]])+IF(ISNUMBER(VLOOKUP('Table Seed Map'!$A$35,SeedMap[],9,0)),VLOOKUP('Table Seed Map'!$A$35,SeedMap[],9,0),0))</f>
        <v>803317</v>
      </c>
      <c r="P19" s="71">
        <f>IF(ResourceAction[[#This Row],[No]]="id","resource_action",ResourceAction[[#This Row],[No]])</f>
        <v>803217</v>
      </c>
      <c r="Q19" s="48" t="s">
        <v>224</v>
      </c>
      <c r="R19" s="82">
        <f ca="1">IF(ResourceAction[[#This Row],[Resource Name]]="","idn1",IF(ResourceAction[[#This Row],[IDN1]]="","",VLOOKUP(ResourceAction[[#This Row],[IDN1]],IDNMaps[[Display]:[ID]],2,0)))</f>
        <v>800905</v>
      </c>
      <c r="S19" s="49">
        <f ca="1">IF(ResourceAction[[#This Row],[Resource Name]]="","idn2",IF(ResourceAction[[#This Row],[IDN2]]="","",VLOOKUP(ResourceAction[[#This Row],[IDN2]],IDNMaps[[Display]:[ID]],2,0)))</f>
        <v>802701</v>
      </c>
      <c r="T19" s="49" t="str">
        <f>IF(ResourceAction[[#This Row],[Resource Name]]="","idn3",IF(ResourceAction[[#This Row],[IDN3]]="","",VLOOKUP(ResourceAction[[#This Row],[IDN3]],IDNMaps[[Display]:[ID]],2,0)))</f>
        <v/>
      </c>
      <c r="U19" s="49" t="str">
        <f>IF(ResourceAction[[#This Row],[Resource Name]]="","idn4",IF(ResourceAction[[#This Row],[IDN4]]="","",VLOOKUP(ResourceAction[[#This Row],[IDN4]],IDNMaps[[Display]:[ID]],2,0)))</f>
        <v/>
      </c>
      <c r="V19" s="49" t="str">
        <f>IF(ResourceAction[[#This Row],[Resource Name]]="","idn5",IF(ResourceAction[[#This Row],[IDN5]]="","",VLOOKUP(ResourceAction[[#This Row],[IDN5]],IDNMaps[[Display]:[ID]],2,0)))</f>
        <v/>
      </c>
      <c r="W19" s="57" t="s">
        <v>1044</v>
      </c>
      <c r="X19" s="57" t="s">
        <v>1028</v>
      </c>
      <c r="Y19" s="83"/>
      <c r="Z19" s="83"/>
      <c r="AA19" s="83"/>
      <c r="AB19" s="78">
        <f>ResourceAction[No]</f>
        <v>803217</v>
      </c>
      <c r="AD19" s="63" t="s">
        <v>1195</v>
      </c>
      <c r="AE19" s="60">
        <f>VLOOKUP(ActionListNData[[#This Row],[Action Name]],ResourceAction[[Display]:[No]],3,0)</f>
        <v>803227</v>
      </c>
      <c r="AF19" s="60" t="s">
        <v>1147</v>
      </c>
      <c r="AG19" s="60"/>
      <c r="AH19" s="60" t="str">
        <f>'Table Seed Map'!$A$37&amp;"-"&amp;-1+COUNTA($AF$1:ActionListNData[[#This Row],[Resource List]])</f>
        <v>Action List-17</v>
      </c>
      <c r="AI19" s="60">
        <f>IF(ActionListNData[[#This Row],[Action Name]]="","id",-1+COUNTA($AF$1:ActionListNData[[#This Row],[Resource List]])+IF(ISNUMBER(VLOOKUP('Table Seed Map'!$A$37,SeedMap[],9,0)),VLOOKUP('Table Seed Map'!$A$37,SeedMap[],9,0),0))</f>
        <v>803517</v>
      </c>
      <c r="AJ19" s="60">
        <f>ActionListNData[[#This Row],[Action]]</f>
        <v>803227</v>
      </c>
      <c r="AK19" s="60">
        <f>IF(ActionListNData[[#This Row],[Action Name]]="","resource_list",IFERROR(VLOOKUP(ActionListNData[[#This Row],[Resource List]],ResourceList[[ListDisplayName]:[No]],2,0),""))</f>
        <v>802212</v>
      </c>
      <c r="AL19" s="60" t="str">
        <f>'Table Seed Map'!$A$38&amp;"-"&amp;-1+COUNTA($AG$1:ActionListNData[[#This Row],[Resource Data]])</f>
        <v>Action Data-0</v>
      </c>
      <c r="AM19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19" s="60">
        <f>ActionListNData[[#This Row],[Action]]</f>
        <v>803227</v>
      </c>
      <c r="AO19" s="60" t="str">
        <f>IF(ActionListNData[[#This Row],[Action Name]]="","resource_data",IFERROR(VLOOKUP(ActionListNData[[#This Row],[Resource Data]],ResourceData[[DataDisplayName]:[No]],2,0),""))</f>
        <v/>
      </c>
    </row>
    <row r="20" spans="1:41" x14ac:dyDescent="0.25">
      <c r="A20" s="71" t="str">
        <f>'Table Seed Map'!$A$34&amp;"-"&amp;(COUNTA($E$1:ResourceAction[[#This Row],[Resource]])-2)</f>
        <v>Resource Actions-18</v>
      </c>
      <c r="B20" s="71" t="str">
        <f>ResourceAction[[#This Row],[Resource Name]]&amp;"/"&amp;ResourceAction[[#This Row],[Name]]</f>
        <v>PartnerTask/TaskProgressDetails</v>
      </c>
      <c r="C20" s="58" t="s">
        <v>846</v>
      </c>
      <c r="D20" s="71">
        <f>IF(ResourceAction[[#This Row],[Resource Name]]="","id",COUNTA($C$1:ResourceAction[[#This Row],[Resource Name]])-1+IF(VLOOKUP('Table Seed Map'!$A$34,SeedMap[],9,0),VLOOKUP('Table Seed Map'!$A$34,SeedMap[],9,0),0))</f>
        <v>803218</v>
      </c>
      <c r="E20" s="71">
        <f>IFERROR(VLOOKUP(ResourceAction[[#This Row],[Resource Name]],ResourceTable[[RName]:[No]],3,0),"resource")</f>
        <v>800507</v>
      </c>
      <c r="F20" s="71" t="s">
        <v>1119</v>
      </c>
      <c r="G20" s="71" t="s">
        <v>1078</v>
      </c>
      <c r="H20" s="71" t="s">
        <v>1120</v>
      </c>
      <c r="I20" s="71"/>
      <c r="J20" s="71"/>
      <c r="K20" s="71"/>
      <c r="L20" s="71"/>
      <c r="M20" s="71"/>
      <c r="N20" s="70" t="str">
        <f>'Table Seed Map'!$A$35&amp;"-"&amp;(COUNTA($E$1:ResourceAction[[#This Row],[Resource]])-2)</f>
        <v>Action Method-18</v>
      </c>
      <c r="O20" s="71">
        <f>IF(ResourceAction[[#This Row],[No]]="id","id",-2+COUNTA($E$1:ResourceAction[[#This Row],[Resource]])+IF(ISNUMBER(VLOOKUP('Table Seed Map'!$A$35,SeedMap[],9,0)),VLOOKUP('Table Seed Map'!$A$35,SeedMap[],9,0),0))</f>
        <v>803318</v>
      </c>
      <c r="P20" s="71">
        <f>IF(ResourceAction[[#This Row],[No]]="id","resource_action",ResourceAction[[#This Row],[No]])</f>
        <v>803218</v>
      </c>
      <c r="Q20" s="48" t="s">
        <v>130</v>
      </c>
      <c r="R20" s="82">
        <f ca="1">IF(ResourceAction[[#This Row],[Resource Name]]="","idn1",IF(ResourceAction[[#This Row],[IDN1]]="","",VLOOKUP(ResourceAction[[#This Row],[IDN1]],IDNMaps[[Display]:[ID]],2,0)))</f>
        <v>802701</v>
      </c>
      <c r="S20" s="49" t="str">
        <f>IF(ResourceAction[[#This Row],[Resource Name]]="","idn2",IF(ResourceAction[[#This Row],[IDN2]]="","",VLOOKUP(ResourceAction[[#This Row],[IDN2]],IDNMaps[[Display]:[ID]],2,0)))</f>
        <v/>
      </c>
      <c r="T20" s="49" t="str">
        <f>IF(ResourceAction[[#This Row],[Resource Name]]="","idn3",IF(ResourceAction[[#This Row],[IDN3]]="","",VLOOKUP(ResourceAction[[#This Row],[IDN3]],IDNMaps[[Display]:[ID]],2,0)))</f>
        <v/>
      </c>
      <c r="U20" s="49" t="str">
        <f>IF(ResourceAction[[#This Row],[Resource Name]]="","idn4",IF(ResourceAction[[#This Row],[IDN4]]="","",VLOOKUP(ResourceAction[[#This Row],[IDN4]],IDNMaps[[Display]:[ID]],2,0)))</f>
        <v/>
      </c>
      <c r="V20" s="49" t="str">
        <f>IF(ResourceAction[[#This Row],[Resource Name]]="","idn5",IF(ResourceAction[[#This Row],[IDN5]]="","",VLOOKUP(ResourceAction[[#This Row],[IDN5]],IDNMaps[[Display]:[ID]],2,0)))</f>
        <v/>
      </c>
      <c r="W20" s="57" t="s">
        <v>1028</v>
      </c>
      <c r="X20" s="83"/>
      <c r="Y20" s="83"/>
      <c r="Z20" s="83"/>
      <c r="AA20" s="83"/>
      <c r="AB20" s="78">
        <f>ResourceAction[No]</f>
        <v>803218</v>
      </c>
      <c r="AD20" s="1" t="s">
        <v>1222</v>
      </c>
      <c r="AE20" s="15">
        <f>VLOOKUP(ActionListNData[[#This Row],[Action Name]],ResourceAction[[Display]:[No]],3,0)</f>
        <v>803228</v>
      </c>
      <c r="AF20" s="15" t="s">
        <v>933</v>
      </c>
      <c r="AG20" s="15"/>
      <c r="AH20" s="15" t="str">
        <f>'Table Seed Map'!$A$37&amp;"-"&amp;-1+COUNTA($AF$1:ActionListNData[[#This Row],[Resource List]])</f>
        <v>Action List-18</v>
      </c>
      <c r="AI20" s="15">
        <f>IF(ActionListNData[[#This Row],[Action Name]]="","id",-1+COUNTA($AF$1:ActionListNData[[#This Row],[Resource List]])+IF(ISNUMBER(VLOOKUP('Table Seed Map'!$A$37,SeedMap[],9,0)),VLOOKUP('Table Seed Map'!$A$37,SeedMap[],9,0),0))</f>
        <v>803518</v>
      </c>
      <c r="AJ20" s="15">
        <f>ActionListNData[[#This Row],[Action]]</f>
        <v>803228</v>
      </c>
      <c r="AK20" s="15">
        <f>IF(ActionListNData[[#This Row],[Action Name]]="","resource_list",IFERROR(VLOOKUP(ActionListNData[[#This Row],[Resource List]],ResourceList[[ListDisplayName]:[No]],2,0),""))</f>
        <v>802202</v>
      </c>
      <c r="AL20" s="15" t="str">
        <f>'Table Seed Map'!$A$38&amp;"-"&amp;-1+COUNTA($AG$1:ActionListNData[[#This Row],[Resource Data]])</f>
        <v>Action Data-0</v>
      </c>
      <c r="AM20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0" s="15">
        <f>ActionListNData[[#This Row],[Action]]</f>
        <v>803228</v>
      </c>
      <c r="AO20" s="15" t="str">
        <f>IF(ActionListNData[[#This Row],[Action Name]]="","resource_data",IFERROR(VLOOKUP(ActionListNData[[#This Row],[Resource Data]],ResourceData[[DataDisplayName]:[No]],2,0),""))</f>
        <v/>
      </c>
    </row>
    <row r="21" spans="1:41" x14ac:dyDescent="0.25">
      <c r="A21" s="71" t="str">
        <f>'Table Seed Map'!$A$34&amp;"-"&amp;(COUNTA($E$1:ResourceAction[[#This Row],[Resource]])-2)</f>
        <v>Resource Actions-19</v>
      </c>
      <c r="B21" s="71" t="str">
        <f>ResourceAction[[#This Row],[Resource Name]]&amp;"/"&amp;ResourceAction[[#This Row],[Name]]</f>
        <v>PartnerTask/DismissTaskAction</v>
      </c>
      <c r="C21" s="58" t="s">
        <v>846</v>
      </c>
      <c r="D21" s="71">
        <f>IF(ResourceAction[[#This Row],[Resource Name]]="","id",COUNTA($C$1:ResourceAction[[#This Row],[Resource Name]])-1+IF(VLOOKUP('Table Seed Map'!$A$34,SeedMap[],9,0),VLOOKUP('Table Seed Map'!$A$34,SeedMap[],9,0),0))</f>
        <v>803219</v>
      </c>
      <c r="E21" s="71">
        <f>IFERROR(VLOOKUP(ResourceAction[[#This Row],[Resource Name]],ResourceTable[[RName]:[No]],3,0),"resource")</f>
        <v>800507</v>
      </c>
      <c r="F21" s="71" t="s">
        <v>1085</v>
      </c>
      <c r="G21" s="71" t="s">
        <v>1086</v>
      </c>
      <c r="H21" s="71" t="s">
        <v>1081</v>
      </c>
      <c r="I21" s="71"/>
      <c r="J21" s="71"/>
      <c r="K21" s="71"/>
      <c r="L21" s="71" t="s">
        <v>1121</v>
      </c>
      <c r="M21" s="71"/>
      <c r="N21" s="70" t="str">
        <f>'Table Seed Map'!$A$35&amp;"-"&amp;(COUNTA($E$1:ResourceAction[[#This Row],[Resource]])-2)</f>
        <v>Action Method-19</v>
      </c>
      <c r="O21" s="71">
        <f>IF(ResourceAction[[#This Row],[No]]="id","id",-2+COUNTA($E$1:ResourceAction[[#This Row],[Resource]])+IF(ISNUMBER(VLOOKUP('Table Seed Map'!$A$35,SeedMap[],9,0)),VLOOKUP('Table Seed Map'!$A$35,SeedMap[],9,0),0))</f>
        <v>803319</v>
      </c>
      <c r="P21" s="71">
        <f>IF(ResourceAction[[#This Row],[No]]="id","resource_action",ResourceAction[[#This Row],[No]])</f>
        <v>803219</v>
      </c>
      <c r="Q21" s="48" t="s">
        <v>224</v>
      </c>
      <c r="R21" s="82">
        <f ca="1">IF(ResourceAction[[#This Row],[Resource Name]]="","idn1",IF(ResourceAction[[#This Row],[IDN1]]="","",VLOOKUP(ResourceAction[[#This Row],[IDN1]],IDNMaps[[Display]:[ID]],2,0)))</f>
        <v>800906</v>
      </c>
      <c r="S21" s="49">
        <f ca="1">IF(ResourceAction[[#This Row],[Resource Name]]="","idn2",IF(ResourceAction[[#This Row],[IDN2]]="","",VLOOKUP(ResourceAction[[#This Row],[IDN2]],IDNMaps[[Display]:[ID]],2,0)))</f>
        <v>802701</v>
      </c>
      <c r="T21" s="49" t="str">
        <f>IF(ResourceAction[[#This Row],[Resource Name]]="","idn3",IF(ResourceAction[[#This Row],[IDN3]]="","",VLOOKUP(ResourceAction[[#This Row],[IDN3]],IDNMaps[[Display]:[ID]],2,0)))</f>
        <v/>
      </c>
      <c r="U21" s="49" t="str">
        <f>IF(ResourceAction[[#This Row],[Resource Name]]="","idn4",IF(ResourceAction[[#This Row],[IDN4]]="","",VLOOKUP(ResourceAction[[#This Row],[IDN4]],IDNMaps[[Display]:[ID]],2,0)))</f>
        <v/>
      </c>
      <c r="V21" s="49" t="str">
        <f>IF(ResourceAction[[#This Row],[Resource Name]]="","idn5",IF(ResourceAction[[#This Row],[IDN5]]="","",VLOOKUP(ResourceAction[[#This Row],[IDN5]],IDNMaps[[Display]:[ID]],2,0)))</f>
        <v/>
      </c>
      <c r="W21" s="57" t="s">
        <v>1087</v>
      </c>
      <c r="X21" s="83" t="s">
        <v>1028</v>
      </c>
      <c r="Y21" s="83"/>
      <c r="Z21" s="83"/>
      <c r="AA21" s="83"/>
      <c r="AB21" s="78">
        <f>ResourceAction[No]</f>
        <v>803219</v>
      </c>
      <c r="AD21" s="1" t="s">
        <v>1223</v>
      </c>
      <c r="AE21" s="15">
        <f>VLOOKUP(ActionListNData[[#This Row],[Action Name]],ResourceAction[[Display]:[No]],3,0)</f>
        <v>803229</v>
      </c>
      <c r="AF21" s="15" t="s">
        <v>912</v>
      </c>
      <c r="AG21" s="15"/>
      <c r="AH21" s="15" t="str">
        <f>'Table Seed Map'!$A$37&amp;"-"&amp;-1+COUNTA($AF$1:ActionListNData[[#This Row],[Resource List]])</f>
        <v>Action List-19</v>
      </c>
      <c r="AI21" s="15">
        <f>IF(ActionListNData[[#This Row],[Action Name]]="","id",-1+COUNTA($AF$1:ActionListNData[[#This Row],[Resource List]])+IF(ISNUMBER(VLOOKUP('Table Seed Map'!$A$37,SeedMap[],9,0)),VLOOKUP('Table Seed Map'!$A$37,SeedMap[],9,0),0))</f>
        <v>803519</v>
      </c>
      <c r="AJ21" s="15">
        <f>ActionListNData[[#This Row],[Action]]</f>
        <v>803229</v>
      </c>
      <c r="AK21" s="15">
        <f>IF(ActionListNData[[#This Row],[Action Name]]="","resource_list",IFERROR(VLOOKUP(ActionListNData[[#This Row],[Resource List]],ResourceList[[ListDisplayName]:[No]],2,0),""))</f>
        <v>802201</v>
      </c>
      <c r="AL21" s="15" t="str">
        <f>'Table Seed Map'!$A$38&amp;"-"&amp;-1+COUNTA($AG$1:ActionListNData[[#This Row],[Resource Data]])</f>
        <v>Action Data-0</v>
      </c>
      <c r="AM21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1" s="15">
        <f>ActionListNData[[#This Row],[Action]]</f>
        <v>803229</v>
      </c>
      <c r="AO21" s="15" t="str">
        <f>IF(ActionListNData[[#This Row],[Action Name]]="","resource_data",IFERROR(VLOOKUP(ActionListNData[[#This Row],[Resource Data]],ResourceData[[DataDisplayName]:[No]],2,0),""))</f>
        <v/>
      </c>
    </row>
    <row r="22" spans="1:41" x14ac:dyDescent="0.25">
      <c r="A22" s="71" t="str">
        <f>'Table Seed Map'!$A$34&amp;"-"&amp;(COUNTA($E$1:ResourceAction[[#This Row],[Resource]])-2)</f>
        <v>Resource Actions-20</v>
      </c>
      <c r="B22" s="71" t="str">
        <f>ResourceAction[[#This Row],[Resource Name]]&amp;"/"&amp;ResourceAction[[#This Row],[Name]]</f>
        <v>Partner/PartnerTaskProgressAction</v>
      </c>
      <c r="C22" s="58" t="s">
        <v>843</v>
      </c>
      <c r="D22" s="71">
        <f>IF(ResourceAction[[#This Row],[Resource Name]]="","id",COUNTA($C$1:ResourceAction[[#This Row],[Resource Name]])-1+IF(VLOOKUP('Table Seed Map'!$A$34,SeedMap[],9,0),VLOOKUP('Table Seed Map'!$A$34,SeedMap[],9,0),0))</f>
        <v>803220</v>
      </c>
      <c r="E22" s="71">
        <f>IFERROR(VLOOKUP(ResourceAction[[#This Row],[Resource Name]],ResourceTable[[RName]:[No]],3,0),"resource")</f>
        <v>800501</v>
      </c>
      <c r="F22" s="71" t="s">
        <v>1101</v>
      </c>
      <c r="G22" s="71" t="s">
        <v>1102</v>
      </c>
      <c r="H22" s="71" t="s">
        <v>1092</v>
      </c>
      <c r="I22" s="71"/>
      <c r="J22" s="71"/>
      <c r="K22" s="71"/>
      <c r="L22" s="71"/>
      <c r="M22" s="71"/>
      <c r="N22" s="70" t="str">
        <f>'Table Seed Map'!$A$35&amp;"-"&amp;(COUNTA($E$1:ResourceAction[[#This Row],[Resource]])-2)</f>
        <v>Action Method-20</v>
      </c>
      <c r="O22" s="71">
        <f>IF(ResourceAction[[#This Row],[No]]="id","id",-2+COUNTA($E$1:ResourceAction[[#This Row],[Resource]])+IF(ISNUMBER(VLOOKUP('Table Seed Map'!$A$35,SeedMap[],9,0)),VLOOKUP('Table Seed Map'!$A$35,SeedMap[],9,0),0))</f>
        <v>803320</v>
      </c>
      <c r="P22" s="71">
        <f>IF(ResourceAction[[#This Row],[No]]="id","resource_action",ResourceAction[[#This Row],[No]])</f>
        <v>803220</v>
      </c>
      <c r="Q22" s="48" t="s">
        <v>1067</v>
      </c>
      <c r="R22" s="82">
        <f ca="1">IF(ResourceAction[[#This Row],[Resource Name]]="","idn1",IF(ResourceAction[[#This Row],[IDN1]]="","",VLOOKUP(ResourceAction[[#This Row],[IDN1]],IDNMaps[[Display]:[ID]],2,0)))</f>
        <v>800808</v>
      </c>
      <c r="S22" s="49">
        <f ca="1">IF(ResourceAction[[#This Row],[Resource Name]]="","idn2",IF(ResourceAction[[#This Row],[IDN2]]="","",VLOOKUP(ResourceAction[[#This Row],[IDN2]],IDNMaps[[Display]:[ID]],2,0)))</f>
        <v>802211</v>
      </c>
      <c r="T22" s="49" t="str">
        <f>IF(ResourceAction[[#This Row],[Resource Name]]="","idn3",IF(ResourceAction[[#This Row],[IDN3]]="","",VLOOKUP(ResourceAction[[#This Row],[IDN3]],IDNMaps[[Display]:[ID]],2,0)))</f>
        <v/>
      </c>
      <c r="U22" s="49" t="str">
        <f>IF(ResourceAction[[#This Row],[Resource Name]]="","idn4",IF(ResourceAction[[#This Row],[IDN4]]="","",VLOOKUP(ResourceAction[[#This Row],[IDN4]],IDNMaps[[Display]:[ID]],2,0)))</f>
        <v/>
      </c>
      <c r="V22" s="49" t="str">
        <f>IF(ResourceAction[[#This Row],[Resource Name]]="","idn5",IF(ResourceAction[[#This Row],[IDN5]]="","",VLOOKUP(ResourceAction[[#This Row],[IDN5]],IDNMaps[[Display]:[ID]],2,0)))</f>
        <v/>
      </c>
      <c r="W22" s="57" t="s">
        <v>1103</v>
      </c>
      <c r="X22" s="83" t="s">
        <v>1104</v>
      </c>
      <c r="Y22" s="83"/>
      <c r="Z22" s="83"/>
      <c r="AA22" s="83"/>
      <c r="AB22" s="78">
        <f>ResourceAction[No]</f>
        <v>803220</v>
      </c>
      <c r="AD22" s="1" t="s">
        <v>1225</v>
      </c>
      <c r="AE22" s="15">
        <f>VLOOKUP(ActionListNData[[#This Row],[Action Name]],ResourceAction[[Display]:[No]],3,0)</f>
        <v>803230</v>
      </c>
      <c r="AF22" s="15" t="s">
        <v>1147</v>
      </c>
      <c r="AG22" s="15"/>
      <c r="AH22" s="15" t="str">
        <f>'Table Seed Map'!$A$37&amp;"-"&amp;-1+COUNTA($AF$1:ActionListNData[[#This Row],[Resource List]])</f>
        <v>Action List-20</v>
      </c>
      <c r="AI22" s="15">
        <f>IF(ActionListNData[[#This Row],[Action Name]]="","id",-1+COUNTA($AF$1:ActionListNData[[#This Row],[Resource List]])+IF(ISNUMBER(VLOOKUP('Table Seed Map'!$A$37,SeedMap[],9,0)),VLOOKUP('Table Seed Map'!$A$37,SeedMap[],9,0),0))</f>
        <v>803520</v>
      </c>
      <c r="AJ22" s="15">
        <f>ActionListNData[[#This Row],[Action]]</f>
        <v>803230</v>
      </c>
      <c r="AK22" s="15">
        <f>IF(ActionListNData[[#This Row],[Action Name]]="","resource_list",IFERROR(VLOOKUP(ActionListNData[[#This Row],[Resource List]],ResourceList[[ListDisplayName]:[No]],2,0),""))</f>
        <v>802212</v>
      </c>
      <c r="AL22" s="15" t="str">
        <f>'Table Seed Map'!$A$38&amp;"-"&amp;-1+COUNTA($AG$1:ActionListNData[[#This Row],[Resource Data]])</f>
        <v>Action Data-0</v>
      </c>
      <c r="AM22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2" s="15">
        <f>ActionListNData[[#This Row],[Action]]</f>
        <v>803230</v>
      </c>
      <c r="AO22" s="15" t="str">
        <f>IF(ActionListNData[[#This Row],[Action Name]]="","resource_data",IFERROR(VLOOKUP(ActionListNData[[#This Row],[Resource Data]],ResourceData[[DataDisplayName]:[No]],2,0),""))</f>
        <v/>
      </c>
    </row>
    <row r="23" spans="1:41" x14ac:dyDescent="0.25">
      <c r="A23" s="71" t="str">
        <f>'Table Seed Map'!$A$34&amp;"-"&amp;(COUNTA($E$1:ResourceAction[[#This Row],[Resource]])-2)</f>
        <v>Resource Actions-21</v>
      </c>
      <c r="B23" s="71" t="str">
        <f>ResourceAction[[#This Row],[Resource Name]]&amp;"/"&amp;ResourceAction[[#This Row],[Name]]</f>
        <v>Category/CreateCategoryFormAction</v>
      </c>
      <c r="C23" s="58" t="s">
        <v>1126</v>
      </c>
      <c r="D23" s="71">
        <f>IF(ResourceAction[[#This Row],[Resource Name]]="","id",COUNTA($C$1:ResourceAction[[#This Row],[Resource Name]])-1+IF(VLOOKUP('Table Seed Map'!$A$34,SeedMap[],9,0),VLOOKUP('Table Seed Map'!$A$34,SeedMap[],9,0),0))</f>
        <v>803221</v>
      </c>
      <c r="E23" s="71">
        <f>IFERROR(VLOOKUP(ResourceAction[[#This Row],[Resource Name]],ResourceTable[[RName]:[No]],3,0),"resource")</f>
        <v>800503</v>
      </c>
      <c r="F23" s="71" t="s">
        <v>1141</v>
      </c>
      <c r="G23" s="71" t="s">
        <v>1142</v>
      </c>
      <c r="H23" s="71"/>
      <c r="I23" s="71"/>
      <c r="J23" s="71" t="s">
        <v>1151</v>
      </c>
      <c r="K23" s="71"/>
      <c r="L23" s="71"/>
      <c r="M23" s="71"/>
      <c r="N23" s="70" t="str">
        <f>'Table Seed Map'!$A$35&amp;"-"&amp;(COUNTA($E$1:ResourceAction[[#This Row],[Resource]])-2)</f>
        <v>Action Method-21</v>
      </c>
      <c r="O23" s="71">
        <f>IF(ResourceAction[[#This Row],[No]]="id","id",-2+COUNTA($E$1:ResourceAction[[#This Row],[Resource]])+IF(ISNUMBER(VLOOKUP('Table Seed Map'!$A$35,SeedMap[],9,0)),VLOOKUP('Table Seed Map'!$A$35,SeedMap[],9,0),0))</f>
        <v>803321</v>
      </c>
      <c r="P23" s="71">
        <f>IF(ResourceAction[[#This Row],[No]]="id","resource_action",ResourceAction[[#This Row],[No]])</f>
        <v>803221</v>
      </c>
      <c r="Q23" s="81" t="s">
        <v>121</v>
      </c>
      <c r="R23" s="82">
        <f ca="1">IF(ResourceAction[[#This Row],[Resource Name]]="","idn1",IF(ResourceAction[[#This Row],[IDN1]]="","",VLOOKUP(ResourceAction[[#This Row],[IDN1]],IDNMaps[[Display]:[ID]],2,0)))</f>
        <v>800907</v>
      </c>
      <c r="S23" s="49" t="str">
        <f>IF(ResourceAction[[#This Row],[Resource Name]]="","idn2",IF(ResourceAction[[#This Row],[IDN2]]="","",VLOOKUP(ResourceAction[[#This Row],[IDN2]],IDNMaps[[Display]:[ID]],2,0)))</f>
        <v/>
      </c>
      <c r="T23" s="49" t="str">
        <f>IF(ResourceAction[[#This Row],[Resource Name]]="","idn3",IF(ResourceAction[[#This Row],[IDN3]]="","",VLOOKUP(ResourceAction[[#This Row],[IDN3]],IDNMaps[[Display]:[ID]],2,0)))</f>
        <v/>
      </c>
      <c r="U23" s="49" t="str">
        <f>IF(ResourceAction[[#This Row],[Resource Name]]="","idn4",IF(ResourceAction[[#This Row],[IDN4]]="","",VLOOKUP(ResourceAction[[#This Row],[IDN4]],IDNMaps[[Display]:[ID]],2,0)))</f>
        <v/>
      </c>
      <c r="V23" s="49" t="str">
        <f>IF(ResourceAction[[#This Row],[Resource Name]]="","idn5",IF(ResourceAction[[#This Row],[IDN5]]="","",VLOOKUP(ResourceAction[[#This Row],[IDN5]],IDNMaps[[Display]:[ID]],2,0)))</f>
        <v/>
      </c>
      <c r="W23" s="83" t="s">
        <v>1144</v>
      </c>
      <c r="X23" s="83"/>
      <c r="Y23" s="83"/>
      <c r="Z23" s="83"/>
      <c r="AA23" s="83"/>
      <c r="AB23" s="78">
        <f>ResourceAction[No]</f>
        <v>803221</v>
      </c>
      <c r="AD23" s="1" t="s">
        <v>1224</v>
      </c>
      <c r="AE23" s="15">
        <f>VLOOKUP(ActionListNData[[#This Row],[Action Name]],ResourceAction[[Display]:[No]],3,0)</f>
        <v>803231</v>
      </c>
      <c r="AF23" s="15" t="s">
        <v>961</v>
      </c>
      <c r="AG23" s="15"/>
      <c r="AH23" s="15" t="str">
        <f>'Table Seed Map'!$A$37&amp;"-"&amp;-1+COUNTA($AF$1:ActionListNData[[#This Row],[Resource List]])</f>
        <v>Action List-21</v>
      </c>
      <c r="AI23" s="15">
        <f>IF(ActionListNData[[#This Row],[Action Name]]="","id",-1+COUNTA($AF$1:ActionListNData[[#This Row],[Resource List]])+IF(ISNUMBER(VLOOKUP('Table Seed Map'!$A$37,SeedMap[],9,0)),VLOOKUP('Table Seed Map'!$A$37,SeedMap[],9,0),0))</f>
        <v>803521</v>
      </c>
      <c r="AJ23" s="15">
        <f>ActionListNData[[#This Row],[Action]]</f>
        <v>803231</v>
      </c>
      <c r="AK23" s="15">
        <f>IF(ActionListNData[[#This Row],[Action Name]]="","resource_list",IFERROR(VLOOKUP(ActionListNData[[#This Row],[Resource List]],ResourceList[[ListDisplayName]:[No]],2,0),""))</f>
        <v>802203</v>
      </c>
      <c r="AL23" s="15" t="str">
        <f>'Table Seed Map'!$A$38&amp;"-"&amp;-1+COUNTA($AG$1:ActionListNData[[#This Row],[Resource Data]])</f>
        <v>Action Data-0</v>
      </c>
      <c r="AM23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3" s="15">
        <f>ActionListNData[[#This Row],[Action]]</f>
        <v>803231</v>
      </c>
      <c r="AO23" s="15" t="str">
        <f>IF(ActionListNData[[#This Row],[Action Name]]="","resource_data",IFERROR(VLOOKUP(ActionListNData[[#This Row],[Resource Data]],ResourceData[[DataDisplayName]:[No]],2,0),""))</f>
        <v/>
      </c>
    </row>
    <row r="24" spans="1:41" x14ac:dyDescent="0.25">
      <c r="A24" s="71" t="str">
        <f>'Table Seed Map'!$A$34&amp;"-"&amp;(COUNTA($E$1:ResourceAction[[#This Row],[Resource]])-2)</f>
        <v>Resource Actions-22</v>
      </c>
      <c r="B24" s="71" t="str">
        <f>ResourceAction[[#This Row],[Resource Name]]&amp;"/"&amp;ResourceAction[[#This Row],[Name]]</f>
        <v>Category/ListCategoryAction</v>
      </c>
      <c r="C24" s="58" t="s">
        <v>1126</v>
      </c>
      <c r="D24" s="71">
        <f>IF(ResourceAction[[#This Row],[Resource Name]]="","id",COUNTA($C$1:ResourceAction[[#This Row],[Resource Name]])-1+IF(VLOOKUP('Table Seed Map'!$A$34,SeedMap[],9,0),VLOOKUP('Table Seed Map'!$A$34,SeedMap[],9,0),0))</f>
        <v>803222</v>
      </c>
      <c r="E24" s="71">
        <f>IFERROR(VLOOKUP(ResourceAction[[#This Row],[Resource Name]],ResourceTable[[RName]:[No]],3,0),"resource")</f>
        <v>800503</v>
      </c>
      <c r="F24" s="71" t="s">
        <v>1149</v>
      </c>
      <c r="G24" s="71" t="s">
        <v>1150</v>
      </c>
      <c r="H24" s="71"/>
      <c r="I24" s="71"/>
      <c r="J24" s="71" t="s">
        <v>914</v>
      </c>
      <c r="K24" s="71"/>
      <c r="L24" s="71"/>
      <c r="M24" s="71"/>
      <c r="N24" s="70" t="str">
        <f>'Table Seed Map'!$A$35&amp;"-"&amp;(COUNTA($E$1:ResourceAction[[#This Row],[Resource]])-2)</f>
        <v>Action Method-22</v>
      </c>
      <c r="O24" s="71">
        <f>IF(ResourceAction[[#This Row],[No]]="id","id",-2+COUNTA($E$1:ResourceAction[[#This Row],[Resource]])+IF(ISNUMBER(VLOOKUP('Table Seed Map'!$A$35,SeedMap[],9,0)),VLOOKUP('Table Seed Map'!$A$35,SeedMap[],9,0),0))</f>
        <v>803322</v>
      </c>
      <c r="P24" s="71">
        <f>IF(ResourceAction[[#This Row],[No]]="id","resource_action",ResourceAction[[#This Row],[No]])</f>
        <v>803222</v>
      </c>
      <c r="Q24" s="81" t="s">
        <v>122</v>
      </c>
      <c r="R24" s="82">
        <f ca="1">IF(ResourceAction[[#This Row],[Resource Name]]="","idn1",IF(ResourceAction[[#This Row],[IDN1]]="","",VLOOKUP(ResourceAction[[#This Row],[IDN1]],IDNMaps[[Display]:[ID]],2,0)))</f>
        <v>802212</v>
      </c>
      <c r="S24" s="49" t="str">
        <f>IF(ResourceAction[[#This Row],[Resource Name]]="","idn2",IF(ResourceAction[[#This Row],[IDN2]]="","",VLOOKUP(ResourceAction[[#This Row],[IDN2]],IDNMaps[[Display]:[ID]],2,0)))</f>
        <v/>
      </c>
      <c r="T24" s="49" t="str">
        <f>IF(ResourceAction[[#This Row],[Resource Name]]="","idn3",IF(ResourceAction[[#This Row],[IDN3]]="","",VLOOKUP(ResourceAction[[#This Row],[IDN3]],IDNMaps[[Display]:[ID]],2,0)))</f>
        <v/>
      </c>
      <c r="U24" s="49" t="str">
        <f>IF(ResourceAction[[#This Row],[Resource Name]]="","idn4",IF(ResourceAction[[#This Row],[IDN4]]="","",VLOOKUP(ResourceAction[[#This Row],[IDN4]],IDNMaps[[Display]:[ID]],2,0)))</f>
        <v/>
      </c>
      <c r="V24" s="49" t="str">
        <f>IF(ResourceAction[[#This Row],[Resource Name]]="","idn5",IF(ResourceAction[[#This Row],[IDN5]]="","",VLOOKUP(ResourceAction[[#This Row],[IDN5]],IDNMaps[[Display]:[ID]],2,0)))</f>
        <v/>
      </c>
      <c r="W24" s="83" t="s">
        <v>1152</v>
      </c>
      <c r="X24" s="83"/>
      <c r="Y24" s="83"/>
      <c r="Z24" s="83"/>
      <c r="AA24" s="83"/>
      <c r="AB24" s="78">
        <f>ResourceAction[No]</f>
        <v>803222</v>
      </c>
      <c r="AD24" s="1" t="s">
        <v>1241</v>
      </c>
      <c r="AE24" s="15">
        <f>VLOOKUP(ActionListNData[[#This Row],[Action Name]],ResourceAction[[Display]:[No]],3,0)</f>
        <v>803233</v>
      </c>
      <c r="AF24" s="15" t="s">
        <v>1230</v>
      </c>
      <c r="AG24" s="15"/>
      <c r="AH24" s="15" t="str">
        <f>'Table Seed Map'!$A$37&amp;"-"&amp;-1+COUNTA($AF$1:ActionListNData[[#This Row],[Resource List]])</f>
        <v>Action List-22</v>
      </c>
      <c r="AI24" s="15">
        <f>IF(ActionListNData[[#This Row],[Action Name]]="","id",-1+COUNTA($AF$1:ActionListNData[[#This Row],[Resource List]])+IF(ISNUMBER(VLOOKUP('Table Seed Map'!$A$37,SeedMap[],9,0)),VLOOKUP('Table Seed Map'!$A$37,SeedMap[],9,0),0))</f>
        <v>803522</v>
      </c>
      <c r="AJ24" s="15">
        <f>ActionListNData[[#This Row],[Action]]</f>
        <v>803233</v>
      </c>
      <c r="AK24" s="15">
        <f>IF(ActionListNData[[#This Row],[Action Name]]="","resource_list",IFERROR(VLOOKUP(ActionListNData[[#This Row],[Resource List]],ResourceList[[ListDisplayName]:[No]],2,0),""))</f>
        <v>802214</v>
      </c>
      <c r="AL24" s="15" t="str">
        <f>'Table Seed Map'!$A$38&amp;"-"&amp;-1+COUNTA($AG$1:ActionListNData[[#This Row],[Resource Data]])</f>
        <v>Action Data-0</v>
      </c>
      <c r="AM24" s="15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4" s="15">
        <f>ActionListNData[[#This Row],[Action]]</f>
        <v>803233</v>
      </c>
      <c r="AO24" s="15" t="str">
        <f>IF(ActionListNData[[#This Row],[Action Name]]="","resource_data",IFERROR(VLOOKUP(ActionListNData[[#This Row],[Resource Data]],ResourceData[[DataDisplayName]:[No]],2,0),""))</f>
        <v/>
      </c>
    </row>
    <row r="25" spans="1:41" x14ac:dyDescent="0.25">
      <c r="A25" s="71" t="str">
        <f>'Table Seed Map'!$A$34&amp;"-"&amp;(COUNTA($E$1:ResourceAction[[#This Row],[Resource]])-2)</f>
        <v>Resource Actions-23</v>
      </c>
      <c r="B25" s="71" t="str">
        <f>ResourceAction[[#This Row],[Resource Name]]&amp;"/"&amp;ResourceAction[[#This Row],[Name]]</f>
        <v>CategoryTask/ListCategoryTaskAction</v>
      </c>
      <c r="C25" s="58" t="s">
        <v>1137</v>
      </c>
      <c r="D25" s="71">
        <f>IF(ResourceAction[[#This Row],[Resource Name]]="","id",COUNTA($C$1:ResourceAction[[#This Row],[Resource Name]])-1+IF(VLOOKUP('Table Seed Map'!$A$34,SeedMap[],9,0),VLOOKUP('Table Seed Map'!$A$34,SeedMap[],9,0),0))</f>
        <v>803223</v>
      </c>
      <c r="E25" s="71">
        <f>IFERROR(VLOOKUP(ResourceAction[[#This Row],[Resource Name]],ResourceTable[[RName]:[No]],3,0),"resource")</f>
        <v>800504</v>
      </c>
      <c r="F25" s="71" t="s">
        <v>1165</v>
      </c>
      <c r="G25" s="71" t="s">
        <v>1166</v>
      </c>
      <c r="H25" s="71"/>
      <c r="I25" s="71"/>
      <c r="J25" s="37" t="s">
        <v>1180</v>
      </c>
      <c r="K25" s="71"/>
      <c r="L25" s="71"/>
      <c r="M25" s="71"/>
      <c r="N25" s="70" t="str">
        <f>'Table Seed Map'!$A$35&amp;"-"&amp;(COUNTA($E$1:ResourceAction[[#This Row],[Resource]])-2)</f>
        <v>Action Method-23</v>
      </c>
      <c r="O25" s="71">
        <f>IF(ResourceAction[[#This Row],[No]]="id","id",-2+COUNTA($E$1:ResourceAction[[#This Row],[Resource]])+IF(ISNUMBER(VLOOKUP('Table Seed Map'!$A$35,SeedMap[],9,0)),VLOOKUP('Table Seed Map'!$A$35,SeedMap[],9,0),0))</f>
        <v>803323</v>
      </c>
      <c r="P25" s="71">
        <f>IF(ResourceAction[[#This Row],[No]]="id","resource_action",ResourceAction[[#This Row],[No]])</f>
        <v>803223</v>
      </c>
      <c r="Q25" s="81" t="s">
        <v>122</v>
      </c>
      <c r="R25" s="82">
        <f ca="1">IF(ResourceAction[[#This Row],[Resource Name]]="","idn1",IF(ResourceAction[[#This Row],[IDN1]]="","",VLOOKUP(ResourceAction[[#This Row],[IDN1]],IDNMaps[[Display]:[ID]],2,0)))</f>
        <v>802213</v>
      </c>
      <c r="S25" s="49" t="str">
        <f>IF(ResourceAction[[#This Row],[Resource Name]]="","idn2",IF(ResourceAction[[#This Row],[IDN2]]="","",VLOOKUP(ResourceAction[[#This Row],[IDN2]],IDNMaps[[Display]:[ID]],2,0)))</f>
        <v/>
      </c>
      <c r="T25" s="49" t="str">
        <f>IF(ResourceAction[[#This Row],[Resource Name]]="","idn3",IF(ResourceAction[[#This Row],[IDN3]]="","",VLOOKUP(ResourceAction[[#This Row],[IDN3]],IDNMaps[[Display]:[ID]],2,0)))</f>
        <v/>
      </c>
      <c r="U25" s="49" t="str">
        <f>IF(ResourceAction[[#This Row],[Resource Name]]="","idn4",IF(ResourceAction[[#This Row],[IDN4]]="","",VLOOKUP(ResourceAction[[#This Row],[IDN4]],IDNMaps[[Display]:[ID]],2,0)))</f>
        <v/>
      </c>
      <c r="V25" s="49" t="str">
        <f>IF(ResourceAction[[#This Row],[Resource Name]]="","idn5",IF(ResourceAction[[#This Row],[IDN5]]="","",VLOOKUP(ResourceAction[[#This Row],[IDN5]],IDNMaps[[Display]:[ID]],2,0)))</f>
        <v/>
      </c>
      <c r="W25" s="83" t="s">
        <v>1167</v>
      </c>
      <c r="X25" s="83"/>
      <c r="Y25" s="83"/>
      <c r="Z25" s="83"/>
      <c r="AA25" s="83"/>
      <c r="AB25" s="78">
        <f>ResourceAction[No]</f>
        <v>803223</v>
      </c>
      <c r="AD25" s="63" t="s">
        <v>1258</v>
      </c>
      <c r="AE25" s="60">
        <f>VLOOKUP(ActionListNData[[#This Row],[Action Name]],ResourceAction[[Display]:[No]],3,0)</f>
        <v>803234</v>
      </c>
      <c r="AF25" s="15" t="s">
        <v>996</v>
      </c>
      <c r="AG25" s="60"/>
      <c r="AH25" s="60" t="str">
        <f>'Table Seed Map'!$A$37&amp;"-"&amp;-1+COUNTA($AF$1:ActionListNData[[#This Row],[Resource List]])</f>
        <v>Action List-23</v>
      </c>
      <c r="AI25" s="60">
        <f>IF(ActionListNData[[#This Row],[Action Name]]="","id",-1+COUNTA($AF$1:ActionListNData[[#This Row],[Resource List]])+IF(ISNUMBER(VLOOKUP('Table Seed Map'!$A$37,SeedMap[],9,0)),VLOOKUP('Table Seed Map'!$A$37,SeedMap[],9,0),0))</f>
        <v>803523</v>
      </c>
      <c r="AJ25" s="60">
        <f>ActionListNData[[#This Row],[Action]]</f>
        <v>803234</v>
      </c>
      <c r="AK25" s="60">
        <f>IF(ActionListNData[[#This Row],[Action Name]]="","resource_list",IFERROR(VLOOKUP(ActionListNData[[#This Row],[Resource List]],ResourceList[[ListDisplayName]:[No]],2,0),""))</f>
        <v>802208</v>
      </c>
      <c r="AL25" s="60" t="str">
        <f>'Table Seed Map'!$A$38&amp;"-"&amp;-1+COUNTA($AG$1:ActionListNData[[#This Row],[Resource Data]])</f>
        <v>Action Data-0</v>
      </c>
      <c r="AM25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5" s="60">
        <f>ActionListNData[[#This Row],[Action]]</f>
        <v>803234</v>
      </c>
      <c r="AO25" s="60" t="str">
        <f>IF(ActionListNData[[#This Row],[Action Name]]="","resource_data",IFERROR(VLOOKUP(ActionListNData[[#This Row],[Resource Data]],ResourceData[[DataDisplayName]:[No]],2,0),""))</f>
        <v/>
      </c>
    </row>
    <row r="26" spans="1:41" x14ac:dyDescent="0.25">
      <c r="A26" s="71" t="str">
        <f>'Table Seed Map'!$A$34&amp;"-"&amp;(COUNTA($E$1:ResourceAction[[#This Row],[Resource]])-2)</f>
        <v>Resource Actions-24</v>
      </c>
      <c r="B26" s="71" t="str">
        <f>ResourceAction[[#This Row],[Resource Name]]&amp;"/"&amp;ResourceAction[[#This Row],[Name]]</f>
        <v>CategoryTask/ListCategorysTasksAction</v>
      </c>
      <c r="C26" s="58" t="s">
        <v>1137</v>
      </c>
      <c r="D26" s="71">
        <f>IF(ResourceAction[[#This Row],[Resource Name]]="","id",COUNTA($C$1:ResourceAction[[#This Row],[Resource Name]])-1+IF(VLOOKUP('Table Seed Map'!$A$34,SeedMap[],9,0),VLOOKUP('Table Seed Map'!$A$34,SeedMap[],9,0),0))</f>
        <v>803224</v>
      </c>
      <c r="E26" s="71">
        <f>IFERROR(VLOOKUP(ResourceAction[[#This Row],[Resource Name]],ResourceTable[[RName]:[No]],3,0),"resource")</f>
        <v>800504</v>
      </c>
      <c r="F26" s="71" t="s">
        <v>1170</v>
      </c>
      <c r="G26" s="71" t="s">
        <v>1171</v>
      </c>
      <c r="H26" s="71" t="s">
        <v>1180</v>
      </c>
      <c r="I26" s="71"/>
      <c r="J26" s="71"/>
      <c r="K26" s="71"/>
      <c r="L26" s="71" t="s">
        <v>1188</v>
      </c>
      <c r="M26" s="71"/>
      <c r="N26" s="70" t="str">
        <f>'Table Seed Map'!$A$35&amp;"-"&amp;(COUNTA($E$1:ResourceAction[[#This Row],[Resource]])-2)</f>
        <v>Action Method-24</v>
      </c>
      <c r="O26" s="71">
        <f>IF(ResourceAction[[#This Row],[No]]="id","id",-2+COUNTA($E$1:ResourceAction[[#This Row],[Resource]])+IF(ISNUMBER(VLOOKUP('Table Seed Map'!$A$35,SeedMap[],9,0)),VLOOKUP('Table Seed Map'!$A$35,SeedMap[],9,0),0))</f>
        <v>803324</v>
      </c>
      <c r="P26" s="71">
        <f>IF(ResourceAction[[#This Row],[No]]="id","resource_action",ResourceAction[[#This Row],[No]])</f>
        <v>803224</v>
      </c>
      <c r="Q26" s="81" t="s">
        <v>1067</v>
      </c>
      <c r="R26" s="82">
        <f ca="1">IF(ResourceAction[[#This Row],[Resource Name]]="","idn1",IF(ResourceAction[[#This Row],[IDN1]]="","",VLOOKUP(ResourceAction[[#This Row],[IDN1]],IDNMaps[[Display]:[ID]],2,0)))</f>
        <v>800815</v>
      </c>
      <c r="S26" s="82">
        <f ca="1">IF(ResourceAction[[#This Row],[Resource Name]]="","idn2",IF(ResourceAction[[#This Row],[IDN2]]="","",VLOOKUP(ResourceAction[[#This Row],[IDN2]],IDNMaps[[Display]:[ID]],2,0)))</f>
        <v>802211</v>
      </c>
      <c r="T26" s="82" t="str">
        <f>IF(ResourceAction[[#This Row],[Resource Name]]="","idn3",IF(ResourceAction[[#This Row],[IDN3]]="","",VLOOKUP(ResourceAction[[#This Row],[IDN3]],IDNMaps[[Display]:[ID]],2,0)))</f>
        <v/>
      </c>
      <c r="U26" s="82" t="str">
        <f>IF(ResourceAction[[#This Row],[Resource Name]]="","idn4",IF(ResourceAction[[#This Row],[IDN4]]="","",VLOOKUP(ResourceAction[[#This Row],[IDN4]],IDNMaps[[Display]:[ID]],2,0)))</f>
        <v/>
      </c>
      <c r="V26" s="82" t="str">
        <f>IF(ResourceAction[[#This Row],[Resource Name]]="","idn5",IF(ResourceAction[[#This Row],[IDN5]]="","",VLOOKUP(ResourceAction[[#This Row],[IDN5]],IDNMaps[[Display]:[ID]],2,0)))</f>
        <v/>
      </c>
      <c r="W26" s="83" t="s">
        <v>1172</v>
      </c>
      <c r="X26" s="83" t="s">
        <v>1104</v>
      </c>
      <c r="Y26" s="83"/>
      <c r="Z26" s="83"/>
      <c r="AA26" s="83"/>
      <c r="AB26" s="78">
        <f>ResourceAction[No]</f>
        <v>803224</v>
      </c>
      <c r="AD26" s="63" t="s">
        <v>1258</v>
      </c>
      <c r="AE26" s="60">
        <f>VLOOKUP(ActionListNData[[#This Row],[Action Name]],ResourceAction[[Display]:[No]],3,0)</f>
        <v>803234</v>
      </c>
      <c r="AF26" s="60" t="s">
        <v>1093</v>
      </c>
      <c r="AG26" s="60"/>
      <c r="AH26" s="60" t="str">
        <f>'Table Seed Map'!$A$37&amp;"-"&amp;-1+COUNTA($AF$1:ActionListNData[[#This Row],[Resource List]])</f>
        <v>Action List-24</v>
      </c>
      <c r="AI26" s="60">
        <f>IF(ActionListNData[[#This Row],[Action Name]]="","id",-1+COUNTA($AF$1:ActionListNData[[#This Row],[Resource List]])+IF(ISNUMBER(VLOOKUP('Table Seed Map'!$A$37,SeedMap[],9,0)),VLOOKUP('Table Seed Map'!$A$37,SeedMap[],9,0),0))</f>
        <v>803524</v>
      </c>
      <c r="AJ26" s="60">
        <f>ActionListNData[[#This Row],[Action]]</f>
        <v>803234</v>
      </c>
      <c r="AK26" s="60">
        <f>IF(ActionListNData[[#This Row],[Action Name]]="","resource_list",IFERROR(VLOOKUP(ActionListNData[[#This Row],[Resource List]],ResourceList[[ListDisplayName]:[No]],2,0),""))</f>
        <v>802210</v>
      </c>
      <c r="AL26" s="60" t="str">
        <f>'Table Seed Map'!$A$38&amp;"-"&amp;-1+COUNTA($AG$1:ActionListNData[[#This Row],[Resource Data]])</f>
        <v>Action Data-0</v>
      </c>
      <c r="AM26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6" s="60">
        <f>ActionListNData[[#This Row],[Action]]</f>
        <v>803234</v>
      </c>
      <c r="AO26" s="60" t="str">
        <f>IF(ActionListNData[[#This Row],[Action Name]]="","resource_data",IFERROR(VLOOKUP(ActionListNData[[#This Row],[Resource Data]],ResourceData[[DataDisplayName]:[No]],2,0),""))</f>
        <v/>
      </c>
    </row>
    <row r="27" spans="1:41" x14ac:dyDescent="0.25">
      <c r="A27" s="71" t="str">
        <f>'Table Seed Map'!$A$34&amp;"-"&amp;(COUNTA($E$1:ResourceAction[[#This Row],[Resource]])-2)</f>
        <v>Resource Actions-25</v>
      </c>
      <c r="B27" s="71" t="str">
        <f>ResourceAction[[#This Row],[Resource Name]]&amp;"/"&amp;ResourceAction[[#This Row],[Name]]</f>
        <v>CategoryTask/CategorysCompletedTasks</v>
      </c>
      <c r="C27" s="58" t="s">
        <v>1137</v>
      </c>
      <c r="D27" s="71">
        <f>IF(ResourceAction[[#This Row],[Resource Name]]="","id",COUNTA($C$1:ResourceAction[[#This Row],[Resource Name]])-1+IF(VLOOKUP('Table Seed Map'!$A$34,SeedMap[],9,0),VLOOKUP('Table Seed Map'!$A$34,SeedMap[],9,0),0))</f>
        <v>803225</v>
      </c>
      <c r="E27" s="71">
        <f>IFERROR(VLOOKUP(ResourceAction[[#This Row],[Resource Name]],ResourceTable[[RName]:[No]],3,0),"resource")</f>
        <v>800504</v>
      </c>
      <c r="F27" s="71" t="s">
        <v>1175</v>
      </c>
      <c r="G27" s="71" t="s">
        <v>1174</v>
      </c>
      <c r="H27" s="71" t="s">
        <v>993</v>
      </c>
      <c r="I27" s="71"/>
      <c r="J27" s="71"/>
      <c r="K27" s="71"/>
      <c r="L27" s="71" t="s">
        <v>1186</v>
      </c>
      <c r="M27" s="71"/>
      <c r="N27" s="70" t="str">
        <f>'Table Seed Map'!$A$35&amp;"-"&amp;(COUNTA($E$1:ResourceAction[[#This Row],[Resource]])-2)</f>
        <v>Action Method-25</v>
      </c>
      <c r="O27" s="71">
        <f>IF(ResourceAction[[#This Row],[No]]="id","id",-2+COUNTA($E$1:ResourceAction[[#This Row],[Resource]])+IF(ISNUMBER(VLOOKUP('Table Seed Map'!$A$35,SeedMap[],9,0)),VLOOKUP('Table Seed Map'!$A$35,SeedMap[],9,0),0))</f>
        <v>803325</v>
      </c>
      <c r="P27" s="71">
        <f>IF(ResourceAction[[#This Row],[No]]="id","resource_action",ResourceAction[[#This Row],[No]])</f>
        <v>803225</v>
      </c>
      <c r="Q27" s="81" t="s">
        <v>1067</v>
      </c>
      <c r="R27" s="82">
        <f ca="1">IF(ResourceAction[[#This Row],[Resource Name]]="","idn1",IF(ResourceAction[[#This Row],[IDN1]]="","",VLOOKUP(ResourceAction[[#This Row],[IDN1]],IDNMaps[[Display]:[ID]],2,0)))</f>
        <v>800815</v>
      </c>
      <c r="S27" s="82">
        <f ca="1">IF(ResourceAction[[#This Row],[Resource Name]]="","idn2",IF(ResourceAction[[#This Row],[IDN2]]="","",VLOOKUP(ResourceAction[[#This Row],[IDN2]],IDNMaps[[Display]:[ID]],2,0)))</f>
        <v>802208</v>
      </c>
      <c r="T27" s="82" t="str">
        <f>IF(ResourceAction[[#This Row],[Resource Name]]="","idn3",IF(ResourceAction[[#This Row],[IDN3]]="","",VLOOKUP(ResourceAction[[#This Row],[IDN3]],IDNMaps[[Display]:[ID]],2,0)))</f>
        <v/>
      </c>
      <c r="U27" s="82" t="str">
        <f>IF(ResourceAction[[#This Row],[Resource Name]]="","idn4",IF(ResourceAction[[#This Row],[IDN4]]="","",VLOOKUP(ResourceAction[[#This Row],[IDN4]],IDNMaps[[Display]:[ID]],2,0)))</f>
        <v/>
      </c>
      <c r="V27" s="82" t="str">
        <f>IF(ResourceAction[[#This Row],[Resource Name]]="","idn5",IF(ResourceAction[[#This Row],[IDN5]]="","",VLOOKUP(ResourceAction[[#This Row],[IDN5]],IDNMaps[[Display]:[ID]],2,0)))</f>
        <v/>
      </c>
      <c r="W27" s="83" t="s">
        <v>1172</v>
      </c>
      <c r="X27" s="83" t="s">
        <v>1001</v>
      </c>
      <c r="Y27" s="83"/>
      <c r="Z27" s="83"/>
      <c r="AA27" s="83"/>
      <c r="AB27" s="78">
        <f>ResourceAction[No]</f>
        <v>803225</v>
      </c>
      <c r="AD27" s="63" t="s">
        <v>1258</v>
      </c>
      <c r="AE27" s="60">
        <f>VLOOKUP(ActionListNData[[#This Row],[Action Name]],ResourceAction[[Display]:[No]],3,0)</f>
        <v>803234</v>
      </c>
      <c r="AF27" s="60" t="s">
        <v>1100</v>
      </c>
      <c r="AG27" s="60"/>
      <c r="AH27" s="60" t="str">
        <f>'Table Seed Map'!$A$37&amp;"-"&amp;-1+COUNTA($AF$1:ActionListNData[[#This Row],[Resource List]])</f>
        <v>Action List-25</v>
      </c>
      <c r="AI27" s="60">
        <f>IF(ActionListNData[[#This Row],[Action Name]]="","id",-1+COUNTA($AF$1:ActionListNData[[#This Row],[Resource List]])+IF(ISNUMBER(VLOOKUP('Table Seed Map'!$A$37,SeedMap[],9,0)),VLOOKUP('Table Seed Map'!$A$37,SeedMap[],9,0),0))</f>
        <v>803525</v>
      </c>
      <c r="AJ27" s="60">
        <f>ActionListNData[[#This Row],[Action]]</f>
        <v>803234</v>
      </c>
      <c r="AK27" s="60">
        <f>IF(ActionListNData[[#This Row],[Action Name]]="","resource_list",IFERROR(VLOOKUP(ActionListNData[[#This Row],[Resource List]],ResourceList[[ListDisplayName]:[No]],2,0),""))</f>
        <v>802211</v>
      </c>
      <c r="AL27" s="60" t="str">
        <f>'Table Seed Map'!$A$38&amp;"-"&amp;-1+COUNTA($AG$1:ActionListNData[[#This Row],[Resource Data]])</f>
        <v>Action Data-0</v>
      </c>
      <c r="AM27" s="60">
        <f>IF(ActionListNData[[#This Row],[Action Name]]="","id",-1+COUNTA($AG$1:ActionListNData[[#This Row],[Resource Data]])+IF(ISNUMBER(VLOOKUP('Table Seed Map'!$A$38,SeedMap[],9,0)),VLOOKUP('Table Seed Map'!$A$38,SeedMap[],9,0),0))</f>
        <v>803600</v>
      </c>
      <c r="AN27" s="60">
        <f>ActionListNData[[#This Row],[Action]]</f>
        <v>803234</v>
      </c>
      <c r="AO27" s="60" t="str">
        <f>IF(ActionListNData[[#This Row],[Action Name]]="","resource_data",IFERROR(VLOOKUP(ActionListNData[[#This Row],[Resource Data]],ResourceData[[DataDisplayName]:[No]],2,0),""))</f>
        <v/>
      </c>
    </row>
    <row r="28" spans="1:41" x14ac:dyDescent="0.25">
      <c r="A28" s="71" t="str">
        <f>'Table Seed Map'!$A$34&amp;"-"&amp;(COUNTA($E$1:ResourceAction[[#This Row],[Resource]])-2)</f>
        <v>Resource Actions-26</v>
      </c>
      <c r="B28" s="71" t="str">
        <f>ResourceAction[[#This Row],[Resource Name]]&amp;"/"&amp;ResourceAction[[#This Row],[Name]]</f>
        <v>CategoryTask/CategorysNewTasks</v>
      </c>
      <c r="C28" s="58" t="s">
        <v>1137</v>
      </c>
      <c r="D28" s="71">
        <f>IF(ResourceAction[[#This Row],[Resource Name]]="","id",COUNTA($C$1:ResourceAction[[#This Row],[Resource Name]])-1+IF(VLOOKUP('Table Seed Map'!$A$34,SeedMap[],9,0),VLOOKUP('Table Seed Map'!$A$34,SeedMap[],9,0),0))</f>
        <v>803226</v>
      </c>
      <c r="E28" s="71">
        <f>IFERROR(VLOOKUP(ResourceAction[[#This Row],[Resource Name]],ResourceTable[[RName]:[No]],3,0),"resource")</f>
        <v>800504</v>
      </c>
      <c r="F28" s="71" t="s">
        <v>1176</v>
      </c>
      <c r="G28" s="71" t="s">
        <v>1177</v>
      </c>
      <c r="H28" s="71" t="s">
        <v>1181</v>
      </c>
      <c r="I28" s="71"/>
      <c r="J28" s="71"/>
      <c r="K28" s="71"/>
      <c r="L28" s="71" t="s">
        <v>1187</v>
      </c>
      <c r="M28" s="71"/>
      <c r="N28" s="70" t="str">
        <f>'Table Seed Map'!$A$35&amp;"-"&amp;(COUNTA($E$1:ResourceAction[[#This Row],[Resource]])-2)</f>
        <v>Action Method-26</v>
      </c>
      <c r="O28" s="71">
        <f>IF(ResourceAction[[#This Row],[No]]="id","id",-2+COUNTA($E$1:ResourceAction[[#This Row],[Resource]])+IF(ISNUMBER(VLOOKUP('Table Seed Map'!$A$35,SeedMap[],9,0)),VLOOKUP('Table Seed Map'!$A$35,SeedMap[],9,0),0))</f>
        <v>803326</v>
      </c>
      <c r="P28" s="71">
        <f>IF(ResourceAction[[#This Row],[No]]="id","resource_action",ResourceAction[[#This Row],[No]])</f>
        <v>803226</v>
      </c>
      <c r="Q28" s="81" t="s">
        <v>1067</v>
      </c>
      <c r="R28" s="82">
        <f ca="1">IF(ResourceAction[[#This Row],[Resource Name]]="","idn1",IF(ResourceAction[[#This Row],[IDN1]]="","",VLOOKUP(ResourceAction[[#This Row],[IDN1]],IDNMaps[[Display]:[ID]],2,0)))</f>
        <v>800815</v>
      </c>
      <c r="S28" s="82">
        <f ca="1">IF(ResourceAction[[#This Row],[Resource Name]]="","idn2",IF(ResourceAction[[#This Row],[IDN2]]="","",VLOOKUP(ResourceAction[[#This Row],[IDN2]],IDNMaps[[Display]:[ID]],2,0)))</f>
        <v>802205</v>
      </c>
      <c r="T28" s="82" t="str">
        <f>IF(ResourceAction[[#This Row],[Resource Name]]="","idn3",IF(ResourceAction[[#This Row],[IDN3]]="","",VLOOKUP(ResourceAction[[#This Row],[IDN3]],IDNMaps[[Display]:[ID]],2,0)))</f>
        <v/>
      </c>
      <c r="U28" s="82" t="str">
        <f>IF(ResourceAction[[#This Row],[Resource Name]]="","idn4",IF(ResourceAction[[#This Row],[IDN4]]="","",VLOOKUP(ResourceAction[[#This Row],[IDN4]],IDNMaps[[Display]:[ID]],2,0)))</f>
        <v/>
      </c>
      <c r="V28" s="82" t="str">
        <f>IF(ResourceAction[[#This Row],[Resource Name]]="","idn5",IF(ResourceAction[[#This Row],[IDN5]]="","",VLOOKUP(ResourceAction[[#This Row],[IDN5]],IDNMaps[[Display]:[ID]],2,0)))</f>
        <v/>
      </c>
      <c r="W28" s="83" t="s">
        <v>1172</v>
      </c>
      <c r="X28" s="83" t="s">
        <v>998</v>
      </c>
      <c r="Y28" s="83"/>
      <c r="Z28" s="83"/>
      <c r="AA28" s="83"/>
      <c r="AB28" s="78">
        <f>ResourceAction[No]</f>
        <v>803226</v>
      </c>
    </row>
    <row r="29" spans="1:41" x14ac:dyDescent="0.25">
      <c r="A29" s="71" t="str">
        <f>'Table Seed Map'!$A$34&amp;"-"&amp;(COUNTA($E$1:ResourceAction[[#This Row],[Resource]])-2)</f>
        <v>Resource Actions-27</v>
      </c>
      <c r="B29" s="71" t="str">
        <f>ResourceAction[[#This Row],[Resource Name]]&amp;"/"&amp;ResourceAction[[#This Row],[Name]]</f>
        <v>Category/CategoryAddTasks</v>
      </c>
      <c r="C29" s="58" t="s">
        <v>1126</v>
      </c>
      <c r="D29" s="71">
        <f>IF(ResourceAction[[#This Row],[Resource Name]]="","id",COUNTA($C$1:ResourceAction[[#This Row],[Resource Name]])-1+IF(VLOOKUP('Table Seed Map'!$A$34,SeedMap[],9,0),VLOOKUP('Table Seed Map'!$A$34,SeedMap[],9,0),0))</f>
        <v>803227</v>
      </c>
      <c r="E29" s="71">
        <f>IFERROR(VLOOKUP(ResourceAction[[#This Row],[Resource Name]],ResourceTable[[RName]:[No]],3,0),"resource")</f>
        <v>800503</v>
      </c>
      <c r="F29" s="71" t="s">
        <v>1190</v>
      </c>
      <c r="G29" s="71" t="s">
        <v>1191</v>
      </c>
      <c r="H29" s="71" t="s">
        <v>1197</v>
      </c>
      <c r="I29" s="71"/>
      <c r="J29" s="71"/>
      <c r="K29" s="71"/>
      <c r="L29" s="71"/>
      <c r="M29" s="71"/>
      <c r="N29" s="70" t="str">
        <f>'Table Seed Map'!$A$35&amp;"-"&amp;(COUNTA($E$1:ResourceAction[[#This Row],[Resource]])-2)</f>
        <v>Action Method-27</v>
      </c>
      <c r="O29" s="71">
        <f>IF(ResourceAction[[#This Row],[No]]="id","id",-2+COUNTA($E$1:ResourceAction[[#This Row],[Resource]])+IF(ISNUMBER(VLOOKUP('Table Seed Map'!$A$35,SeedMap[],9,0)),VLOOKUP('Table Seed Map'!$A$35,SeedMap[],9,0),0))</f>
        <v>803327</v>
      </c>
      <c r="P29" s="71">
        <f>IF(ResourceAction[[#This Row],[No]]="id","resource_action",ResourceAction[[#This Row],[No]])</f>
        <v>803227</v>
      </c>
      <c r="Q29" s="81" t="s">
        <v>1192</v>
      </c>
      <c r="R29" s="82">
        <f ca="1">IF(ResourceAction[[#This Row],[Resource Name]]="","idn1",IF(ResourceAction[[#This Row],[IDN1]]="","",VLOOKUP(ResourceAction[[#This Row],[IDN1]],IDNMaps[[Display]:[ID]],2,0)))</f>
        <v>800811</v>
      </c>
      <c r="S29" s="82">
        <f ca="1">IF(ResourceAction[[#This Row],[Resource Name]]="","idn2",IF(ResourceAction[[#This Row],[IDN2]]="","",VLOOKUP(ResourceAction[[#This Row],[IDN2]],IDNMaps[[Display]:[ID]],2,0)))</f>
        <v>800903</v>
      </c>
      <c r="T29" s="82">
        <f ca="1">IF(ResourceAction[[#This Row],[Resource Name]]="","idn3",IF(ResourceAction[[#This Row],[IDN3]]="","",VLOOKUP(ResourceAction[[#This Row],[IDN3]],IDNMaps[[Display]:[ID]],2,0)))</f>
        <v>801009</v>
      </c>
      <c r="U29" s="82" t="str">
        <f>IF(ResourceAction[[#This Row],[Resource Name]]="","idn4",IF(ResourceAction[[#This Row],[IDN4]]="","",VLOOKUP(ResourceAction[[#This Row],[IDN4]],IDNMaps[[Display]:[ID]],2,0)))</f>
        <v/>
      </c>
      <c r="V29" s="82" t="str">
        <f>IF(ResourceAction[[#This Row],[Resource Name]]="","idn5",IF(ResourceAction[[#This Row],[IDN5]]="","",VLOOKUP(ResourceAction[[#This Row],[IDN5]],IDNMaps[[Display]:[ID]],2,0)))</f>
        <v/>
      </c>
      <c r="W29" s="83" t="s">
        <v>1193</v>
      </c>
      <c r="X29" s="83" t="s">
        <v>965</v>
      </c>
      <c r="Y29" s="83" t="s">
        <v>1194</v>
      </c>
      <c r="Z29" s="83"/>
      <c r="AA29" s="83"/>
      <c r="AB29" s="78">
        <f>ResourceAction[No]</f>
        <v>803227</v>
      </c>
    </row>
    <row r="30" spans="1:41" x14ac:dyDescent="0.25">
      <c r="A30" s="37" t="str">
        <f>'Table Seed Map'!$A$34&amp;"-"&amp;(COUNTA($E$1:ResourceAction[[#This Row],[Resource]])-2)</f>
        <v>Resource Actions-28</v>
      </c>
      <c r="B30" s="37" t="str">
        <f>ResourceAction[[#This Row],[Resource Name]]&amp;"/"&amp;ResourceAction[[#This Row],[Name]]</f>
        <v>Partner/EditPartnerFormAction</v>
      </c>
      <c r="C30" s="35" t="s">
        <v>843</v>
      </c>
      <c r="D30" s="37">
        <f>IF(ResourceAction[[#This Row],[Resource Name]]="","id",COUNTA($C$1:ResourceAction[[#This Row],[Resource Name]])-1+IF(VLOOKUP('Table Seed Map'!$A$34,SeedMap[],9,0),VLOOKUP('Table Seed Map'!$A$34,SeedMap[],9,0),0))</f>
        <v>803228</v>
      </c>
      <c r="E30" s="37">
        <f>IFERROR(VLOOKUP(ResourceAction[[#This Row],[Resource Name]],ResourceTable[[RName]:[No]],3,0),"resource")</f>
        <v>800501</v>
      </c>
      <c r="F30" s="37" t="s">
        <v>1209</v>
      </c>
      <c r="G30" s="37" t="s">
        <v>1213</v>
      </c>
      <c r="H30" s="37" t="s">
        <v>1218</v>
      </c>
      <c r="I30" s="37"/>
      <c r="J30" s="37"/>
      <c r="K30" s="37"/>
      <c r="L30" s="37"/>
      <c r="M30" s="37"/>
      <c r="N30" s="39" t="str">
        <f>'Table Seed Map'!$A$35&amp;"-"&amp;(COUNTA($E$1:ResourceAction[[#This Row],[Resource]])-2)</f>
        <v>Action Method-28</v>
      </c>
      <c r="O30" s="37">
        <f>IF(ResourceAction[[#This Row],[No]]="id","id",-2+COUNTA($E$1:ResourceAction[[#This Row],[Resource]])+IF(ISNUMBER(VLOOKUP('Table Seed Map'!$A$35,SeedMap[],9,0)),VLOOKUP('Table Seed Map'!$A$35,SeedMap[],9,0),0))</f>
        <v>803328</v>
      </c>
      <c r="P30" s="37">
        <f>IF(ResourceAction[[#This Row],[No]]="id","resource_action",ResourceAction[[#This Row],[No]])</f>
        <v>803228</v>
      </c>
      <c r="Q30" s="48" t="s">
        <v>224</v>
      </c>
      <c r="R30" s="49">
        <f ca="1">IF(ResourceAction[[#This Row],[Resource Name]]="","idn1",IF(ResourceAction[[#This Row],[IDN1]]="","",VLOOKUP(ResourceAction[[#This Row],[IDN1]],IDNMaps[[Display]:[ID]],2,0)))</f>
        <v>800902</v>
      </c>
      <c r="S30" s="49">
        <f ca="1">IF(ResourceAction[[#This Row],[Resource Name]]="","idn2",IF(ResourceAction[[#This Row],[IDN2]]="","",VLOOKUP(ResourceAction[[#This Row],[IDN2]],IDNMaps[[Display]:[ID]],2,0)))</f>
        <v>802703</v>
      </c>
      <c r="T30" s="49" t="str">
        <f>IF(ResourceAction[[#This Row],[Resource Name]]="","idn3",IF(ResourceAction[[#This Row],[IDN3]]="","",VLOOKUP(ResourceAction[[#This Row],[IDN3]],IDNMaps[[Display]:[ID]],2,0)))</f>
        <v/>
      </c>
      <c r="U30" s="49" t="str">
        <f>IF(ResourceAction[[#This Row],[Resource Name]]="","idn4",IF(ResourceAction[[#This Row],[IDN4]]="","",VLOOKUP(ResourceAction[[#This Row],[IDN4]],IDNMaps[[Display]:[ID]],2,0)))</f>
        <v/>
      </c>
      <c r="V30" s="49" t="str">
        <f>IF(ResourceAction[[#This Row],[Resource Name]]="","idn5",IF(ResourceAction[[#This Row],[IDN5]]="","",VLOOKUP(ResourceAction[[#This Row],[IDN5]],IDNMaps[[Display]:[ID]],2,0)))</f>
        <v/>
      </c>
      <c r="W30" s="57" t="s">
        <v>927</v>
      </c>
      <c r="X30" s="57" t="s">
        <v>1214</v>
      </c>
      <c r="Y30" s="57"/>
      <c r="Z30" s="57"/>
      <c r="AA30" s="57"/>
      <c r="AB30" s="54">
        <f>ResourceAction[No]</f>
        <v>803228</v>
      </c>
    </row>
    <row r="31" spans="1:41" x14ac:dyDescent="0.25">
      <c r="A31" s="37" t="str">
        <f>'Table Seed Map'!$A$34&amp;"-"&amp;(COUNTA($E$1:ResourceAction[[#This Row],[Resource]])-2)</f>
        <v>Resource Actions-29</v>
      </c>
      <c r="B31" s="37" t="str">
        <f>ResourceAction[[#This Row],[Resource Name]]&amp;"/"&amp;ResourceAction[[#This Row],[Name]]</f>
        <v>Group/EditGroupFormAction</v>
      </c>
      <c r="C31" s="35" t="s">
        <v>96</v>
      </c>
      <c r="D31" s="37">
        <f>IF(ResourceAction[[#This Row],[Resource Name]]="","id",COUNTA($C$1:ResourceAction[[#This Row],[Resource Name]])-1+IF(VLOOKUP('Table Seed Map'!$A$34,SeedMap[],9,0),VLOOKUP('Table Seed Map'!$A$34,SeedMap[],9,0),0))</f>
        <v>803229</v>
      </c>
      <c r="E31" s="37">
        <f>IFERROR(VLOOKUP(ResourceAction[[#This Row],[Resource Name]],ResourceTable[[RName]:[No]],3,0),"resource")</f>
        <v>800502</v>
      </c>
      <c r="F31" s="37" t="s">
        <v>1210</v>
      </c>
      <c r="G31" s="37" t="s">
        <v>1215</v>
      </c>
      <c r="H31" s="37" t="s">
        <v>1218</v>
      </c>
      <c r="I31" s="37"/>
      <c r="J31" s="37"/>
      <c r="K31" s="37"/>
      <c r="L31" s="37"/>
      <c r="M31" s="37"/>
      <c r="N31" s="39" t="str">
        <f>'Table Seed Map'!$A$35&amp;"-"&amp;(COUNTA($E$1:ResourceAction[[#This Row],[Resource]])-2)</f>
        <v>Action Method-29</v>
      </c>
      <c r="O31" s="37">
        <f>IF(ResourceAction[[#This Row],[No]]="id","id",-2+COUNTA($E$1:ResourceAction[[#This Row],[Resource]])+IF(ISNUMBER(VLOOKUP('Table Seed Map'!$A$35,SeedMap[],9,0)),VLOOKUP('Table Seed Map'!$A$35,SeedMap[],9,0),0))</f>
        <v>803329</v>
      </c>
      <c r="P31" s="37">
        <f>IF(ResourceAction[[#This Row],[No]]="id","resource_action",ResourceAction[[#This Row],[No]])</f>
        <v>803229</v>
      </c>
      <c r="Q31" s="48" t="s">
        <v>224</v>
      </c>
      <c r="R31" s="49">
        <f ca="1">IF(ResourceAction[[#This Row],[Resource Name]]="","idn1",IF(ResourceAction[[#This Row],[IDN1]]="","",VLOOKUP(ResourceAction[[#This Row],[IDN1]],IDNMaps[[Display]:[ID]],2,0)))</f>
        <v>800901</v>
      </c>
      <c r="S31" s="49">
        <f ca="1">IF(ResourceAction[[#This Row],[Resource Name]]="","idn2",IF(ResourceAction[[#This Row],[IDN2]]="","",VLOOKUP(ResourceAction[[#This Row],[IDN2]],IDNMaps[[Display]:[ID]],2,0)))</f>
        <v>802702</v>
      </c>
      <c r="T31" s="49" t="str">
        <f>IF(ResourceAction[[#This Row],[Resource Name]]="","idn3",IF(ResourceAction[[#This Row],[IDN3]]="","",VLOOKUP(ResourceAction[[#This Row],[IDN3]],IDNMaps[[Display]:[ID]],2,0)))</f>
        <v/>
      </c>
      <c r="U31" s="49" t="str">
        <f>IF(ResourceAction[[#This Row],[Resource Name]]="","idn4",IF(ResourceAction[[#This Row],[IDN4]]="","",VLOOKUP(ResourceAction[[#This Row],[IDN4]],IDNMaps[[Display]:[ID]],2,0)))</f>
        <v/>
      </c>
      <c r="V31" s="49" t="str">
        <f>IF(ResourceAction[[#This Row],[Resource Name]]="","idn5",IF(ResourceAction[[#This Row],[IDN5]]="","",VLOOKUP(ResourceAction[[#This Row],[IDN5]],IDNMaps[[Display]:[ID]],2,0)))</f>
        <v/>
      </c>
      <c r="W31" s="57" t="s">
        <v>909</v>
      </c>
      <c r="X31" s="57" t="s">
        <v>1219</v>
      </c>
      <c r="Y31" s="57"/>
      <c r="Z31" s="57"/>
      <c r="AA31" s="57"/>
      <c r="AB31" s="54">
        <f>ResourceAction[No]</f>
        <v>803229</v>
      </c>
    </row>
    <row r="32" spans="1:41" x14ac:dyDescent="0.25">
      <c r="A32" s="37" t="str">
        <f>'Table Seed Map'!$A$34&amp;"-"&amp;(COUNTA($E$1:ResourceAction[[#This Row],[Resource]])-2)</f>
        <v>Resource Actions-30</v>
      </c>
      <c r="B32" s="37" t="str">
        <f>ResourceAction[[#This Row],[Resource Name]]&amp;"/"&amp;ResourceAction[[#This Row],[Name]]</f>
        <v>Category/EditCategoryFormAction</v>
      </c>
      <c r="C32" s="35" t="s">
        <v>1126</v>
      </c>
      <c r="D32" s="37">
        <f>IF(ResourceAction[[#This Row],[Resource Name]]="","id",COUNTA($C$1:ResourceAction[[#This Row],[Resource Name]])-1+IF(VLOOKUP('Table Seed Map'!$A$34,SeedMap[],9,0),VLOOKUP('Table Seed Map'!$A$34,SeedMap[],9,0),0))</f>
        <v>803230</v>
      </c>
      <c r="E32" s="37">
        <f>IFERROR(VLOOKUP(ResourceAction[[#This Row],[Resource Name]],ResourceTable[[RName]:[No]],3,0),"resource")</f>
        <v>800503</v>
      </c>
      <c r="F32" s="37" t="s">
        <v>1211</v>
      </c>
      <c r="G32" s="37" t="s">
        <v>1216</v>
      </c>
      <c r="H32" s="37" t="s">
        <v>1218</v>
      </c>
      <c r="I32" s="37"/>
      <c r="J32" s="37"/>
      <c r="K32" s="37"/>
      <c r="L32" s="37"/>
      <c r="M32" s="37"/>
      <c r="N32" s="39" t="str">
        <f>'Table Seed Map'!$A$35&amp;"-"&amp;(COUNTA($E$1:ResourceAction[[#This Row],[Resource]])-2)</f>
        <v>Action Method-30</v>
      </c>
      <c r="O32" s="37">
        <f>IF(ResourceAction[[#This Row],[No]]="id","id",-2+COUNTA($E$1:ResourceAction[[#This Row],[Resource]])+IF(ISNUMBER(VLOOKUP('Table Seed Map'!$A$35,SeedMap[],9,0)),VLOOKUP('Table Seed Map'!$A$35,SeedMap[],9,0),0))</f>
        <v>803330</v>
      </c>
      <c r="P32" s="37">
        <f>IF(ResourceAction[[#This Row],[No]]="id","resource_action",ResourceAction[[#This Row],[No]])</f>
        <v>803230</v>
      </c>
      <c r="Q32" s="48" t="s">
        <v>224</v>
      </c>
      <c r="R32" s="49">
        <f ca="1">IF(ResourceAction[[#This Row],[Resource Name]]="","idn1",IF(ResourceAction[[#This Row],[IDN1]]="","",VLOOKUP(ResourceAction[[#This Row],[IDN1]],IDNMaps[[Display]:[ID]],2,0)))</f>
        <v>800907</v>
      </c>
      <c r="S32" s="49">
        <f ca="1">IF(ResourceAction[[#This Row],[Resource Name]]="","idn2",IF(ResourceAction[[#This Row],[IDN2]]="","",VLOOKUP(ResourceAction[[#This Row],[IDN2]],IDNMaps[[Display]:[ID]],2,0)))</f>
        <v>802705</v>
      </c>
      <c r="T32" s="49" t="str">
        <f>IF(ResourceAction[[#This Row],[Resource Name]]="","idn3",IF(ResourceAction[[#This Row],[IDN3]]="","",VLOOKUP(ResourceAction[[#This Row],[IDN3]],IDNMaps[[Display]:[ID]],2,0)))</f>
        <v/>
      </c>
      <c r="U32" s="49" t="str">
        <f>IF(ResourceAction[[#This Row],[Resource Name]]="","idn4",IF(ResourceAction[[#This Row],[IDN4]]="","",VLOOKUP(ResourceAction[[#This Row],[IDN4]],IDNMaps[[Display]:[ID]],2,0)))</f>
        <v/>
      </c>
      <c r="V32" s="49" t="str">
        <f>IF(ResourceAction[[#This Row],[Resource Name]]="","idn5",IF(ResourceAction[[#This Row],[IDN5]]="","",VLOOKUP(ResourceAction[[#This Row],[IDN5]],IDNMaps[[Display]:[ID]],2,0)))</f>
        <v/>
      </c>
      <c r="W32" s="57" t="s">
        <v>1144</v>
      </c>
      <c r="X32" s="57" t="s">
        <v>1220</v>
      </c>
      <c r="Y32" s="57"/>
      <c r="Z32" s="57"/>
      <c r="AA32" s="57"/>
      <c r="AB32" s="54">
        <f>ResourceAction[No]</f>
        <v>803230</v>
      </c>
    </row>
    <row r="33" spans="1:28" x14ac:dyDescent="0.25">
      <c r="A33" s="37" t="str">
        <f>'Table Seed Map'!$A$34&amp;"-"&amp;(COUNTA($E$1:ResourceAction[[#This Row],[Resource]])-2)</f>
        <v>Resource Actions-31</v>
      </c>
      <c r="B33" s="37" t="str">
        <f>ResourceAction[[#This Row],[Resource Name]]&amp;"/"&amp;ResourceAction[[#This Row],[Name]]</f>
        <v>Task/EditTaskFormAction</v>
      </c>
      <c r="C33" s="35" t="s">
        <v>845</v>
      </c>
      <c r="D33" s="37">
        <f>IF(ResourceAction[[#This Row],[Resource Name]]="","id",COUNTA($C$1:ResourceAction[[#This Row],[Resource Name]])-1+IF(VLOOKUP('Table Seed Map'!$A$34,SeedMap[],9,0),VLOOKUP('Table Seed Map'!$A$34,SeedMap[],9,0),0))</f>
        <v>803231</v>
      </c>
      <c r="E33" s="37">
        <f>IFERROR(VLOOKUP(ResourceAction[[#This Row],[Resource Name]],ResourceTable[[RName]:[No]],3,0),"resource")</f>
        <v>800506</v>
      </c>
      <c r="F33" s="37" t="s">
        <v>1212</v>
      </c>
      <c r="G33" s="37" t="s">
        <v>1217</v>
      </c>
      <c r="H33" s="37" t="s">
        <v>1218</v>
      </c>
      <c r="I33" s="37"/>
      <c r="J33" s="37"/>
      <c r="K33" s="37"/>
      <c r="L33" s="37"/>
      <c r="M33" s="37"/>
      <c r="N33" s="39" t="str">
        <f>'Table Seed Map'!$A$35&amp;"-"&amp;(COUNTA($E$1:ResourceAction[[#This Row],[Resource]])-2)</f>
        <v>Action Method-31</v>
      </c>
      <c r="O33" s="37">
        <f>IF(ResourceAction[[#This Row],[No]]="id","id",-2+COUNTA($E$1:ResourceAction[[#This Row],[Resource]])+IF(ISNUMBER(VLOOKUP('Table Seed Map'!$A$35,SeedMap[],9,0)),VLOOKUP('Table Seed Map'!$A$35,SeedMap[],9,0),0))</f>
        <v>803331</v>
      </c>
      <c r="P33" s="37">
        <f>IF(ResourceAction[[#This Row],[No]]="id","resource_action",ResourceAction[[#This Row],[No]])</f>
        <v>803231</v>
      </c>
      <c r="Q33" s="48" t="s">
        <v>224</v>
      </c>
      <c r="R33" s="49">
        <f ca="1">IF(ResourceAction[[#This Row],[Resource Name]]="","idn1",IF(ResourceAction[[#This Row],[IDN1]]="","",VLOOKUP(ResourceAction[[#This Row],[IDN1]],IDNMaps[[Display]:[ID]],2,0)))</f>
        <v>800903</v>
      </c>
      <c r="S33" s="49">
        <f ca="1">IF(ResourceAction[[#This Row],[Resource Name]]="","idn2",IF(ResourceAction[[#This Row],[IDN2]]="","",VLOOKUP(ResourceAction[[#This Row],[IDN2]],IDNMaps[[Display]:[ID]],2,0)))</f>
        <v>802704</v>
      </c>
      <c r="T33" s="49" t="str">
        <f>IF(ResourceAction[[#This Row],[Resource Name]]="","idn3",IF(ResourceAction[[#This Row],[IDN3]]="","",VLOOKUP(ResourceAction[[#This Row],[IDN3]],IDNMaps[[Display]:[ID]],2,0)))</f>
        <v/>
      </c>
      <c r="U33" s="49" t="str">
        <f>IF(ResourceAction[[#This Row],[Resource Name]]="","idn4",IF(ResourceAction[[#This Row],[IDN4]]="","",VLOOKUP(ResourceAction[[#This Row],[IDN4]],IDNMaps[[Display]:[ID]],2,0)))</f>
        <v/>
      </c>
      <c r="V33" s="49" t="str">
        <f>IF(ResourceAction[[#This Row],[Resource Name]]="","idn5",IF(ResourceAction[[#This Row],[IDN5]]="","",VLOOKUP(ResourceAction[[#This Row],[IDN5]],IDNMaps[[Display]:[ID]],2,0)))</f>
        <v/>
      </c>
      <c r="W33" s="57" t="s">
        <v>965</v>
      </c>
      <c r="X33" s="57" t="s">
        <v>1221</v>
      </c>
      <c r="Y33" s="57"/>
      <c r="Z33" s="57"/>
      <c r="AA33" s="57"/>
      <c r="AB33" s="54">
        <f>ResourceAction[No]</f>
        <v>803231</v>
      </c>
    </row>
    <row r="34" spans="1:28" x14ac:dyDescent="0.25">
      <c r="A34" s="37" t="str">
        <f>'Table Seed Map'!$A$34&amp;"-"&amp;(COUNTA($E$1:ResourceAction[[#This Row],[Resource]])-2)</f>
        <v>Resource Actions-32</v>
      </c>
      <c r="B34" s="37" t="str">
        <f>ResourceAction[[#This Row],[Resource Name]]&amp;"/"&amp;ResourceAction[[#This Row],[Name]]</f>
        <v>Profile/ListPartnerProfile</v>
      </c>
      <c r="C34" s="35" t="s">
        <v>1226</v>
      </c>
      <c r="D34" s="37">
        <f>IF(ResourceAction[[#This Row],[Resource Name]]="","id",COUNTA($C$1:ResourceAction[[#This Row],[Resource Name]])-1+IF(VLOOKUP('Table Seed Map'!$A$34,SeedMap[],9,0),VLOOKUP('Table Seed Map'!$A$34,SeedMap[],9,0),0))</f>
        <v>803232</v>
      </c>
      <c r="E34" s="37">
        <f>IFERROR(VLOOKUP(ResourceAction[[#This Row],[Resource Name]],ResourceTable[[RName]:[No]],3,0),"resource")</f>
        <v>800508</v>
      </c>
      <c r="F34" s="37" t="s">
        <v>1231</v>
      </c>
      <c r="G34" s="37" t="s">
        <v>1232</v>
      </c>
      <c r="H34" s="37"/>
      <c r="I34" s="37"/>
      <c r="J34" s="37" t="s">
        <v>1233</v>
      </c>
      <c r="K34" s="37"/>
      <c r="L34" s="37"/>
      <c r="M34" s="37"/>
      <c r="N34" s="39" t="str">
        <f>'Table Seed Map'!$A$35&amp;"-"&amp;(COUNTA($E$1:ResourceAction[[#This Row],[Resource]])-2)</f>
        <v>Action Method-32</v>
      </c>
      <c r="O34" s="37">
        <f>IF(ResourceAction[[#This Row],[No]]="id","id",-2+COUNTA($E$1:ResourceAction[[#This Row],[Resource]])+IF(ISNUMBER(VLOOKUP('Table Seed Map'!$A$35,SeedMap[],9,0)),VLOOKUP('Table Seed Map'!$A$35,SeedMap[],9,0),0))</f>
        <v>803332</v>
      </c>
      <c r="P34" s="37">
        <f>IF(ResourceAction[[#This Row],[No]]="id","resource_action",ResourceAction[[#This Row],[No]])</f>
        <v>803232</v>
      </c>
      <c r="Q34" s="48" t="s">
        <v>122</v>
      </c>
      <c r="R34" s="49">
        <f ca="1">IF(ResourceAction[[#This Row],[Resource Name]]="","idn1",IF(ResourceAction[[#This Row],[IDN1]]="","",VLOOKUP(ResourceAction[[#This Row],[IDN1]],IDNMaps[[Display]:[ID]],2,0)))</f>
        <v>802214</v>
      </c>
      <c r="S34" s="49" t="str">
        <f>IF(ResourceAction[[#This Row],[Resource Name]]="","idn2",IF(ResourceAction[[#This Row],[IDN2]]="","",VLOOKUP(ResourceAction[[#This Row],[IDN2]],IDNMaps[[Display]:[ID]],2,0)))</f>
        <v/>
      </c>
      <c r="T34" s="49" t="str">
        <f>IF(ResourceAction[[#This Row],[Resource Name]]="","idn3",IF(ResourceAction[[#This Row],[IDN3]]="","",VLOOKUP(ResourceAction[[#This Row],[IDN3]],IDNMaps[[Display]:[ID]],2,0)))</f>
        <v/>
      </c>
      <c r="U34" s="49" t="str">
        <f>IF(ResourceAction[[#This Row],[Resource Name]]="","idn4",IF(ResourceAction[[#This Row],[IDN4]]="","",VLOOKUP(ResourceAction[[#This Row],[IDN4]],IDNMaps[[Display]:[ID]],2,0)))</f>
        <v/>
      </c>
      <c r="V34" s="49" t="str">
        <f>IF(ResourceAction[[#This Row],[Resource Name]]="","idn5",IF(ResourceAction[[#This Row],[IDN5]]="","",VLOOKUP(ResourceAction[[#This Row],[IDN5]],IDNMaps[[Display]:[ID]],2,0)))</f>
        <v/>
      </c>
      <c r="W34" s="57" t="s">
        <v>1234</v>
      </c>
      <c r="X34" s="57"/>
      <c r="Y34" s="57"/>
      <c r="Z34" s="57"/>
      <c r="AA34" s="57"/>
      <c r="AB34" s="54">
        <f>ResourceAction[No]</f>
        <v>803232</v>
      </c>
    </row>
    <row r="35" spans="1:28" x14ac:dyDescent="0.25">
      <c r="A35" s="37" t="str">
        <f>'Table Seed Map'!$A$34&amp;"-"&amp;(COUNTA($E$1:ResourceAction[[#This Row],[Resource]])-2)</f>
        <v>Resource Actions-33</v>
      </c>
      <c r="B35" s="37" t="str">
        <f>ResourceAction[[#This Row],[Resource Name]]&amp;"/"&amp;ResourceAction[[#This Row],[Name]]</f>
        <v>Profile/EditProfileAction</v>
      </c>
      <c r="C35" s="35" t="s">
        <v>1226</v>
      </c>
      <c r="D35" s="37">
        <f>IF(ResourceAction[[#This Row],[Resource Name]]="","id",COUNTA($C$1:ResourceAction[[#This Row],[Resource Name]])-1+IF(VLOOKUP('Table Seed Map'!$A$34,SeedMap[],9,0),VLOOKUP('Table Seed Map'!$A$34,SeedMap[],9,0),0))</f>
        <v>803233</v>
      </c>
      <c r="E35" s="37">
        <f>IFERROR(VLOOKUP(ResourceAction[[#This Row],[Resource Name]],ResourceTable[[RName]:[No]],3,0),"resource")</f>
        <v>800508</v>
      </c>
      <c r="F35" s="37" t="s">
        <v>1235</v>
      </c>
      <c r="G35" s="37" t="s">
        <v>1236</v>
      </c>
      <c r="H35" s="37" t="s">
        <v>1218</v>
      </c>
      <c r="I35" s="37"/>
      <c r="J35" s="37"/>
      <c r="K35" s="37"/>
      <c r="L35" s="37"/>
      <c r="M35" s="37"/>
      <c r="N35" s="39" t="str">
        <f>'Table Seed Map'!$A$35&amp;"-"&amp;(COUNTA($E$1:ResourceAction[[#This Row],[Resource]])-2)</f>
        <v>Action Method-33</v>
      </c>
      <c r="O35" s="37">
        <f>IF(ResourceAction[[#This Row],[No]]="id","id",-2+COUNTA($E$1:ResourceAction[[#This Row],[Resource]])+IF(ISNUMBER(VLOOKUP('Table Seed Map'!$A$35,SeedMap[],9,0)),VLOOKUP('Table Seed Map'!$A$35,SeedMap[],9,0),0))</f>
        <v>803333</v>
      </c>
      <c r="P35" s="37">
        <f>IF(ResourceAction[[#This Row],[No]]="id","resource_action",ResourceAction[[#This Row],[No]])</f>
        <v>803233</v>
      </c>
      <c r="Q35" s="48" t="s">
        <v>224</v>
      </c>
      <c r="R35" s="49">
        <f ca="1">IF(ResourceAction[[#This Row],[Resource Name]]="","idn1",IF(ResourceAction[[#This Row],[IDN1]]="","",VLOOKUP(ResourceAction[[#This Row],[IDN1]],IDNMaps[[Display]:[ID]],2,0)))</f>
        <v>800908</v>
      </c>
      <c r="S35" s="49">
        <f ca="1">IF(ResourceAction[[#This Row],[Resource Name]]="","idn2",IF(ResourceAction[[#This Row],[IDN2]]="","",VLOOKUP(ResourceAction[[#This Row],[IDN2]],IDNMaps[[Display]:[ID]],2,0)))</f>
        <v>802706</v>
      </c>
      <c r="T35" s="49" t="str">
        <f>IF(ResourceAction[[#This Row],[Resource Name]]="","idn3",IF(ResourceAction[[#This Row],[IDN3]]="","",VLOOKUP(ResourceAction[[#This Row],[IDN3]],IDNMaps[[Display]:[ID]],2,0)))</f>
        <v/>
      </c>
      <c r="U35" s="49" t="str">
        <f>IF(ResourceAction[[#This Row],[Resource Name]]="","idn4",IF(ResourceAction[[#This Row],[IDN4]]="","",VLOOKUP(ResourceAction[[#This Row],[IDN4]],IDNMaps[[Display]:[ID]],2,0)))</f>
        <v/>
      </c>
      <c r="V35" s="49" t="str">
        <f>IF(ResourceAction[[#This Row],[Resource Name]]="","idn5",IF(ResourceAction[[#This Row],[IDN5]]="","",VLOOKUP(ResourceAction[[#This Row],[IDN5]],IDNMaps[[Display]:[ID]],2,0)))</f>
        <v/>
      </c>
      <c r="W35" s="57" t="s">
        <v>1246</v>
      </c>
      <c r="X35" s="57" t="s">
        <v>1240</v>
      </c>
      <c r="Y35" s="57"/>
      <c r="Z35" s="57"/>
      <c r="AA35" s="57"/>
      <c r="AB35" s="54">
        <f>ResourceAction[No]</f>
        <v>803233</v>
      </c>
    </row>
    <row r="36" spans="1:28" x14ac:dyDescent="0.25">
      <c r="A36" s="71" t="str">
        <f>'Table Seed Map'!$A$34&amp;"-"&amp;(COUNTA($E$1:ResourceAction[[#This Row],[Resource]])-2)</f>
        <v>Resource Actions-34</v>
      </c>
      <c r="B36" s="71" t="str">
        <f>ResourceAction[[#This Row],[Resource Name]]&amp;"/"&amp;ResourceAction[[#This Row],[Name]]</f>
        <v>PartnerTask/PartnerTaskStatusUpdateAction</v>
      </c>
      <c r="C36" s="58" t="s">
        <v>846</v>
      </c>
      <c r="D36" s="71">
        <f>IF(ResourceAction[[#This Row],[Resource Name]]="","id",COUNTA($C$1:ResourceAction[[#This Row],[Resource Name]])-1+IF(VLOOKUP('Table Seed Map'!$A$34,SeedMap[],9,0),VLOOKUP('Table Seed Map'!$A$34,SeedMap[],9,0),0))</f>
        <v>803234</v>
      </c>
      <c r="E36" s="71">
        <f>IFERROR(VLOOKUP(ResourceAction[[#This Row],[Resource Name]],ResourceTable[[RName]:[No]],3,0),"resource")</f>
        <v>800507</v>
      </c>
      <c r="F36" s="71" t="s">
        <v>1254</v>
      </c>
      <c r="G36" s="71" t="s">
        <v>1255</v>
      </c>
      <c r="H36" s="71" t="s">
        <v>1256</v>
      </c>
      <c r="I36" s="71"/>
      <c r="J36" s="71"/>
      <c r="K36" s="71"/>
      <c r="L36" s="71"/>
      <c r="M36" s="71"/>
      <c r="N36" s="70" t="str">
        <f>'Table Seed Map'!$A$35&amp;"-"&amp;(COUNTA($E$1:ResourceAction[[#This Row],[Resource]])-2)</f>
        <v>Action Method-34</v>
      </c>
      <c r="O36" s="71">
        <f>IF(ResourceAction[[#This Row],[No]]="id","id",-2+COUNTA($E$1:ResourceAction[[#This Row],[Resource]])+IF(ISNUMBER(VLOOKUP('Table Seed Map'!$A$35,SeedMap[],9,0)),VLOOKUP('Table Seed Map'!$A$35,SeedMap[],9,0),0))</f>
        <v>803334</v>
      </c>
      <c r="P36" s="71">
        <f>IF(ResourceAction[[#This Row],[No]]="id","resource_action",ResourceAction[[#This Row],[No]])</f>
        <v>803234</v>
      </c>
      <c r="Q36" s="48" t="s">
        <v>224</v>
      </c>
      <c r="R36" s="82">
        <f ca="1">IF(ResourceAction[[#This Row],[Resource Name]]="","idn1",IF(ResourceAction[[#This Row],[IDN1]]="","",VLOOKUP(ResourceAction[[#This Row],[IDN1]],IDNMaps[[Display]:[ID]],2,0)))</f>
        <v>800909</v>
      </c>
      <c r="S36" s="82">
        <f ca="1">IF(ResourceAction[[#This Row],[Resource Name]]="","idn2",IF(ResourceAction[[#This Row],[IDN2]]="","",VLOOKUP(ResourceAction[[#This Row],[IDN2]],IDNMaps[[Display]:[ID]],2,0)))</f>
        <v>802701</v>
      </c>
      <c r="T36" s="82" t="str">
        <f>IF(ResourceAction[[#This Row],[Resource Name]]="","idn3",IF(ResourceAction[[#This Row],[IDN3]]="","",VLOOKUP(ResourceAction[[#This Row],[IDN3]],IDNMaps[[Display]:[ID]],2,0)))</f>
        <v/>
      </c>
      <c r="U36" s="82" t="str">
        <f>IF(ResourceAction[[#This Row],[Resource Name]]="","idn4",IF(ResourceAction[[#This Row],[IDN4]]="","",VLOOKUP(ResourceAction[[#This Row],[IDN4]],IDNMaps[[Display]:[ID]],2,0)))</f>
        <v/>
      </c>
      <c r="V36" s="82" t="str">
        <f>IF(ResourceAction[[#This Row],[Resource Name]]="","idn5",IF(ResourceAction[[#This Row],[IDN5]]="","",VLOOKUP(ResourceAction[[#This Row],[IDN5]],IDNMaps[[Display]:[ID]],2,0)))</f>
        <v/>
      </c>
      <c r="W36" s="57" t="s">
        <v>1257</v>
      </c>
      <c r="X36" s="57" t="s">
        <v>1028</v>
      </c>
      <c r="Y36" s="83"/>
      <c r="Z36" s="83"/>
      <c r="AA36" s="83"/>
      <c r="AB36" s="78">
        <f>ResourceAction[No]</f>
        <v>803234</v>
      </c>
    </row>
    <row r="37" spans="1:28" x14ac:dyDescent="0.25">
      <c r="A37" s="71" t="str">
        <f>'Table Seed Map'!$A$34&amp;"-"&amp;(COUNTA($E$1:ResourceAction[[#This Row],[Resource]])-2)</f>
        <v>Resource Actions-35</v>
      </c>
      <c r="B37" s="71" t="str">
        <f>ResourceAction[[#This Row],[Resource Name]]&amp;"/"&amp;ResourceAction[[#This Row],[Name]]</f>
        <v>Task/RecentlyUpdatedTaskList24Action</v>
      </c>
      <c r="C37" s="58" t="s">
        <v>845</v>
      </c>
      <c r="D37" s="71">
        <f>IF(ResourceAction[[#This Row],[Resource Name]]="","id",COUNTA($C$1:ResourceAction[[#This Row],[Resource Name]])-1+IF(VLOOKUP('Table Seed Map'!$A$34,SeedMap[],9,0),VLOOKUP('Table Seed Map'!$A$34,SeedMap[],9,0),0))</f>
        <v>803235</v>
      </c>
      <c r="E37" s="71">
        <f>IFERROR(VLOOKUP(ResourceAction[[#This Row],[Resource Name]],ResourceTable[[RName]:[No]],3,0),"resource")</f>
        <v>800506</v>
      </c>
      <c r="F37" s="71" t="s">
        <v>1276</v>
      </c>
      <c r="G37" s="71" t="s">
        <v>1279</v>
      </c>
      <c r="H37" s="71"/>
      <c r="I37" s="71"/>
      <c r="J37" s="71" t="s">
        <v>1274</v>
      </c>
      <c r="K37" s="71"/>
      <c r="L37" s="71"/>
      <c r="M37" s="71"/>
      <c r="N37" s="70" t="str">
        <f>'Table Seed Map'!$A$35&amp;"-"&amp;(COUNTA($E$1:ResourceAction[[#This Row],[Resource]])-2)</f>
        <v>Action Method-35</v>
      </c>
      <c r="O37" s="71">
        <f>IF(ResourceAction[[#This Row],[No]]="id","id",-2+COUNTA($E$1:ResourceAction[[#This Row],[Resource]])+IF(ISNUMBER(VLOOKUP('Table Seed Map'!$A$35,SeedMap[],9,0)),VLOOKUP('Table Seed Map'!$A$35,SeedMap[],9,0),0))</f>
        <v>803335</v>
      </c>
      <c r="P37" s="71">
        <f>IF(ResourceAction[[#This Row],[No]]="id","resource_action",ResourceAction[[#This Row],[No]])</f>
        <v>803235</v>
      </c>
      <c r="Q37" s="48" t="s">
        <v>122</v>
      </c>
      <c r="R37" s="82">
        <f ca="1">IF(ResourceAction[[#This Row],[Resource Name]]="","idn1",IF(ResourceAction[[#This Row],[IDN1]]="","",VLOOKUP(ResourceAction[[#This Row],[IDN1]],IDNMaps[[Display]:[ID]],2,0)))</f>
        <v>802215</v>
      </c>
      <c r="S37" s="82" t="str">
        <f>IF(ResourceAction[[#This Row],[Resource Name]]="","idn2",IF(ResourceAction[[#This Row],[IDN2]]="","",VLOOKUP(ResourceAction[[#This Row],[IDN2]],IDNMaps[[Display]:[ID]],2,0)))</f>
        <v/>
      </c>
      <c r="T37" s="82" t="str">
        <f>IF(ResourceAction[[#This Row],[Resource Name]]="","idn3",IF(ResourceAction[[#This Row],[IDN3]]="","",VLOOKUP(ResourceAction[[#This Row],[IDN3]],IDNMaps[[Display]:[ID]],2,0)))</f>
        <v/>
      </c>
      <c r="U37" s="82" t="str">
        <f>IF(ResourceAction[[#This Row],[Resource Name]]="","idn4",IF(ResourceAction[[#This Row],[IDN4]]="","",VLOOKUP(ResourceAction[[#This Row],[IDN4]],IDNMaps[[Display]:[ID]],2,0)))</f>
        <v/>
      </c>
      <c r="V37" s="82" t="str">
        <f>IF(ResourceAction[[#This Row],[Resource Name]]="","idn5",IF(ResourceAction[[#This Row],[IDN5]]="","",VLOOKUP(ResourceAction[[#This Row],[IDN5]],IDNMaps[[Display]:[ID]],2,0)))</f>
        <v/>
      </c>
      <c r="W37" s="57" t="s">
        <v>1275</v>
      </c>
      <c r="X37" s="83"/>
      <c r="Y37" s="83"/>
      <c r="Z37" s="83"/>
      <c r="AA37" s="83"/>
      <c r="AB37" s="78">
        <f>ResourceAction[No]</f>
        <v>803235</v>
      </c>
    </row>
    <row r="38" spans="1:28" x14ac:dyDescent="0.25">
      <c r="A38" s="71" t="str">
        <f>'Table Seed Map'!$A$34&amp;"-"&amp;(COUNTA($E$1:ResourceAction[[#This Row],[Resource]])-2)</f>
        <v>Resource Actions-36</v>
      </c>
      <c r="B38" s="71" t="str">
        <f>ResourceAction[[#This Row],[Resource Name]]&amp;"/"&amp;ResourceAction[[#This Row],[Name]]</f>
        <v>Task/RecentlyUpdatedTaskList48Action</v>
      </c>
      <c r="C38" s="58" t="s">
        <v>845</v>
      </c>
      <c r="D38" s="71">
        <f>IF(ResourceAction[[#This Row],[Resource Name]]="","id",COUNTA($C$1:ResourceAction[[#This Row],[Resource Name]])-1+IF(VLOOKUP('Table Seed Map'!$A$34,SeedMap[],9,0),VLOOKUP('Table Seed Map'!$A$34,SeedMap[],9,0),0))</f>
        <v>803236</v>
      </c>
      <c r="E38" s="71">
        <f>IFERROR(VLOOKUP(ResourceAction[[#This Row],[Resource Name]],ResourceTable[[RName]:[No]],3,0),"resource")</f>
        <v>800506</v>
      </c>
      <c r="F38" s="71" t="s">
        <v>1277</v>
      </c>
      <c r="G38" s="71" t="s">
        <v>1278</v>
      </c>
      <c r="H38" s="71"/>
      <c r="I38" s="71"/>
      <c r="J38" s="71" t="s">
        <v>1280</v>
      </c>
      <c r="K38" s="71"/>
      <c r="L38" s="71"/>
      <c r="M38" s="71"/>
      <c r="N38" s="70" t="str">
        <f>'Table Seed Map'!$A$35&amp;"-"&amp;(COUNTA($E$1:ResourceAction[[#This Row],[Resource]])-2)</f>
        <v>Action Method-36</v>
      </c>
      <c r="O38" s="71">
        <f>IF(ResourceAction[[#This Row],[No]]="id","id",-2+COUNTA($E$1:ResourceAction[[#This Row],[Resource]])+IF(ISNUMBER(VLOOKUP('Table Seed Map'!$A$35,SeedMap[],9,0)),VLOOKUP('Table Seed Map'!$A$35,SeedMap[],9,0),0))</f>
        <v>803336</v>
      </c>
      <c r="P38" s="71">
        <f>IF(ResourceAction[[#This Row],[No]]="id","resource_action",ResourceAction[[#This Row],[No]])</f>
        <v>803236</v>
      </c>
      <c r="Q38" s="48" t="s">
        <v>122</v>
      </c>
      <c r="R38" s="82">
        <f ca="1">IF(ResourceAction[[#This Row],[Resource Name]]="","idn1",IF(ResourceAction[[#This Row],[IDN1]]="","",VLOOKUP(ResourceAction[[#This Row],[IDN1]],IDNMaps[[Display]:[ID]],2,0)))</f>
        <v>802216</v>
      </c>
      <c r="S38" s="82" t="str">
        <f>IF(ResourceAction[[#This Row],[Resource Name]]="","idn2",IF(ResourceAction[[#This Row],[IDN2]]="","",VLOOKUP(ResourceAction[[#This Row],[IDN2]],IDNMaps[[Display]:[ID]],2,0)))</f>
        <v/>
      </c>
      <c r="T38" s="82" t="str">
        <f>IF(ResourceAction[[#This Row],[Resource Name]]="","idn3",IF(ResourceAction[[#This Row],[IDN3]]="","",VLOOKUP(ResourceAction[[#This Row],[IDN3]],IDNMaps[[Display]:[ID]],2,0)))</f>
        <v/>
      </c>
      <c r="U38" s="82" t="str">
        <f>IF(ResourceAction[[#This Row],[Resource Name]]="","idn4",IF(ResourceAction[[#This Row],[IDN4]]="","",VLOOKUP(ResourceAction[[#This Row],[IDN4]],IDNMaps[[Display]:[ID]],2,0)))</f>
        <v/>
      </c>
      <c r="V38" s="82" t="str">
        <f>IF(ResourceAction[[#This Row],[Resource Name]]="","idn5",IF(ResourceAction[[#This Row],[IDN5]]="","",VLOOKUP(ResourceAction[[#This Row],[IDN5]],IDNMaps[[Display]:[ID]],2,0)))</f>
        <v/>
      </c>
      <c r="W38" s="57" t="s">
        <v>1281</v>
      </c>
      <c r="X38" s="83"/>
      <c r="Y38" s="83"/>
      <c r="Z38" s="83"/>
      <c r="AA38" s="83"/>
      <c r="AB38" s="78">
        <f>ResourceAction[No]</f>
        <v>803236</v>
      </c>
    </row>
  </sheetData>
  <dataValidations count="7">
    <dataValidation type="list" allowBlank="1" showInputMessage="1" showErrorMessage="1" sqref="AQ2 AD2:AD27">
      <formula1>ActionsName</formula1>
    </dataValidation>
    <dataValidation type="list" allowBlank="1" showInputMessage="1" showErrorMessage="1" sqref="AF2:AF27">
      <formula1>ListNames</formula1>
    </dataValidation>
    <dataValidation type="list" allowBlank="1" showInputMessage="1" showErrorMessage="1" sqref="AG2:AG27">
      <formula1>DataNames</formula1>
    </dataValidation>
    <dataValidation type="list" allowBlank="1" showInputMessage="1" showErrorMessage="1" sqref="I2:I3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8">
      <formula1>Resources</formula1>
    </dataValidation>
    <dataValidation type="list" allowBlank="1" showInputMessage="1" showErrorMessage="1" sqref="W2:AA38">
      <formula1>IDNs</formula1>
    </dataValidation>
    <dataValidation type="list" allowBlank="1" showInputMessage="1" showErrorMessage="1" sqref="Q2:Q3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Shemeer Ul Haq</cp:lastModifiedBy>
  <cp:lastPrinted>2019-12-20T10:31:15Z</cp:lastPrinted>
  <dcterms:created xsi:type="dcterms:W3CDTF">2018-07-10T07:59:28Z</dcterms:created>
  <dcterms:modified xsi:type="dcterms:W3CDTF">2020-01-21T06:49:07Z</dcterms:modified>
</cp:coreProperties>
</file>