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050" tabRatio="912" firstSheet="1" activeTab="5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V24" i="28" l="1"/>
  <c r="AZ24" i="28"/>
  <c r="BA24" i="28"/>
  <c r="BB24" i="28"/>
  <c r="AV20" i="28"/>
  <c r="AZ20" i="28"/>
  <c r="BA20" i="28"/>
  <c r="BB20" i="28"/>
  <c r="AH28" i="28"/>
  <c r="AK28" i="28"/>
  <c r="AL28" i="28"/>
  <c r="AM28" i="28"/>
  <c r="AN28" i="28"/>
  <c r="AH24" i="28"/>
  <c r="AK24" i="28"/>
  <c r="AL24" i="28"/>
  <c r="AM24" i="28"/>
  <c r="AN24" i="28"/>
  <c r="AH20" i="28"/>
  <c r="AK20" i="28"/>
  <c r="AL20" i="28"/>
  <c r="AM20" i="28"/>
  <c r="AN20" i="28"/>
  <c r="AH17" i="28"/>
  <c r="AK17" i="28"/>
  <c r="AL17" i="28"/>
  <c r="AM17" i="28"/>
  <c r="AN17" i="28"/>
  <c r="AH14" i="28"/>
  <c r="AK14" i="28"/>
  <c r="AL14" i="28"/>
  <c r="AM14" i="28"/>
  <c r="AN14" i="28"/>
  <c r="AH11" i="28"/>
  <c r="AK11" i="28"/>
  <c r="AL11" i="28"/>
  <c r="AM11" i="28"/>
  <c r="AN11" i="28"/>
  <c r="BD30" i="9"/>
  <c r="BE30" i="9"/>
  <c r="BD29" i="9"/>
  <c r="BE29" i="9"/>
  <c r="O30" i="9"/>
  <c r="M30" i="9" s="1"/>
  <c r="P30" i="9"/>
  <c r="AJ30" i="9"/>
  <c r="AT30" i="9"/>
  <c r="AE5" i="29"/>
  <c r="AH5" i="29"/>
  <c r="AL5" i="29"/>
  <c r="C26" i="3"/>
  <c r="D26" i="3"/>
  <c r="E26" i="3"/>
  <c r="F26" i="3"/>
  <c r="G26" i="3"/>
  <c r="H26" i="3"/>
  <c r="I26" i="3"/>
  <c r="J26" i="3"/>
  <c r="J18" i="2"/>
  <c r="A19" i="24"/>
  <c r="C19" i="24"/>
  <c r="AH15" i="27"/>
  <c r="AI15" i="27"/>
  <c r="AL15" i="27"/>
  <c r="AM15" i="27"/>
  <c r="AH14" i="27"/>
  <c r="AI14" i="27"/>
  <c r="AL14" i="27"/>
  <c r="AM14" i="27"/>
  <c r="AE30" i="9" l="1"/>
  <c r="AB30" i="9" s="1"/>
  <c r="Q30" i="9"/>
  <c r="AD30" i="9" s="1"/>
  <c r="K26" i="3"/>
  <c r="AH13" i="27"/>
  <c r="AI13" i="27"/>
  <c r="AL13" i="27"/>
  <c r="AM13" i="27"/>
  <c r="B21" i="27"/>
  <c r="D21" i="27"/>
  <c r="AB21" i="27" s="1"/>
  <c r="T21" i="27"/>
  <c r="U21" i="27"/>
  <c r="V21" i="27"/>
  <c r="AV25" i="28"/>
  <c r="AZ25" i="28"/>
  <c r="BA25" i="28"/>
  <c r="BB25" i="28"/>
  <c r="AV23" i="28"/>
  <c r="AZ23" i="28"/>
  <c r="BA23" i="28"/>
  <c r="BB23" i="28"/>
  <c r="AV22" i="28"/>
  <c r="BA22" i="28"/>
  <c r="BB22" i="28"/>
  <c r="AH27" i="28"/>
  <c r="AL27" i="28"/>
  <c r="AM27" i="28"/>
  <c r="AN27" i="28"/>
  <c r="AH26" i="28"/>
  <c r="AL26" i="28"/>
  <c r="AM26" i="28"/>
  <c r="AN26" i="28"/>
  <c r="A12" i="28"/>
  <c r="C12" i="28"/>
  <c r="D12" i="28"/>
  <c r="K12" i="28" s="1"/>
  <c r="AH12" i="27"/>
  <c r="AI12" i="27"/>
  <c r="AL12" i="27"/>
  <c r="AM12" i="27"/>
  <c r="AH11" i="27"/>
  <c r="AI11" i="27"/>
  <c r="AL11" i="27"/>
  <c r="AM11" i="27"/>
  <c r="AV21" i="28"/>
  <c r="AZ21" i="28"/>
  <c r="BA21" i="28"/>
  <c r="BB21" i="28"/>
  <c r="AV19" i="28"/>
  <c r="AZ19" i="28"/>
  <c r="BA19" i="28"/>
  <c r="BB19" i="28"/>
  <c r="AV18" i="28"/>
  <c r="BA18" i="28"/>
  <c r="BB18" i="28"/>
  <c r="AH25" i="28"/>
  <c r="AL25" i="28"/>
  <c r="AM25" i="28"/>
  <c r="AN25" i="28"/>
  <c r="A11" i="28"/>
  <c r="C11" i="28"/>
  <c r="D11" i="28"/>
  <c r="K11" i="28" s="1"/>
  <c r="B12" i="27"/>
  <c r="D12" i="27"/>
  <c r="P12" i="27" s="1"/>
  <c r="T12" i="27"/>
  <c r="U12" i="27"/>
  <c r="V12" i="27"/>
  <c r="B20" i="27"/>
  <c r="D20" i="27"/>
  <c r="P20" i="27" s="1"/>
  <c r="T20" i="27"/>
  <c r="U20" i="27"/>
  <c r="V20" i="27"/>
  <c r="BK12" i="9"/>
  <c r="BM12" i="9" s="1"/>
  <c r="BD28" i="9"/>
  <c r="BE28" i="9"/>
  <c r="BD27" i="9"/>
  <c r="BE27" i="9"/>
  <c r="BD26" i="9"/>
  <c r="BE26" i="9"/>
  <c r="O29" i="9"/>
  <c r="M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19" i="27"/>
  <c r="D19" i="27"/>
  <c r="AB19" i="27" s="1"/>
  <c r="S19" i="27"/>
  <c r="T19" i="27"/>
  <c r="U19" i="27"/>
  <c r="V19" i="27"/>
  <c r="AP10" i="29"/>
  <c r="AR10" i="29"/>
  <c r="AV10" i="29"/>
  <c r="AL4" i="29"/>
  <c r="AH4" i="29"/>
  <c r="AP9" i="29"/>
  <c r="AR9" i="29"/>
  <c r="AV9" i="29"/>
  <c r="AP8" i="29"/>
  <c r="AR8" i="29"/>
  <c r="AV8" i="29"/>
  <c r="AP7" i="29"/>
  <c r="AR7" i="29"/>
  <c r="AV7" i="29"/>
  <c r="AP6" i="29"/>
  <c r="AR6" i="29"/>
  <c r="AV6" i="29"/>
  <c r="AE4" i="29"/>
  <c r="AP5" i="29"/>
  <c r="AR5" i="29"/>
  <c r="AV5" i="29"/>
  <c r="AP4" i="29"/>
  <c r="AR4" i="29"/>
  <c r="AP3" i="29"/>
  <c r="AR3" i="29"/>
  <c r="AE3" i="29"/>
  <c r="AH3" i="29"/>
  <c r="AV17" i="28"/>
  <c r="AZ17" i="28"/>
  <c r="BA17" i="28"/>
  <c r="BB17" i="28"/>
  <c r="AH23" i="28"/>
  <c r="AK23" i="28"/>
  <c r="AL23" i="28"/>
  <c r="AM23" i="28"/>
  <c r="AN23" i="28"/>
  <c r="A12" i="19"/>
  <c r="B12" i="19"/>
  <c r="D12" i="19" s="1"/>
  <c r="N12" i="19" s="1"/>
  <c r="C12" i="19"/>
  <c r="AV16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W8" i="28" s="1"/>
  <c r="BD25" i="9"/>
  <c r="BE25" i="9"/>
  <c r="AH7" i="27"/>
  <c r="AI7" i="27"/>
  <c r="AL7" i="27"/>
  <c r="AM7" i="27"/>
  <c r="B18" i="27"/>
  <c r="D18" i="27"/>
  <c r="AB18" i="27" s="1"/>
  <c r="T18" i="27"/>
  <c r="U18" i="27"/>
  <c r="V18" i="27"/>
  <c r="BK11" i="9"/>
  <c r="BL11" i="9" s="1"/>
  <c r="BD24" i="9"/>
  <c r="BE24" i="9"/>
  <c r="BD23" i="9"/>
  <c r="BE23" i="9"/>
  <c r="BD22" i="9"/>
  <c r="BE22" i="9"/>
  <c r="BD21" i="9"/>
  <c r="BE21" i="9"/>
  <c r="O26" i="9"/>
  <c r="Q26" i="9" s="1"/>
  <c r="P26" i="9"/>
  <c r="AJ26" i="9"/>
  <c r="AT26" i="9"/>
  <c r="O25" i="9"/>
  <c r="Q25" i="9" s="1"/>
  <c r="P25" i="9"/>
  <c r="AJ25" i="9"/>
  <c r="AT25" i="9"/>
  <c r="O24" i="9"/>
  <c r="Q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O21" i="9"/>
  <c r="AB21" i="9" s="1"/>
  <c r="P21" i="9"/>
  <c r="AJ21" i="9"/>
  <c r="AT21" i="9"/>
  <c r="O20" i="9"/>
  <c r="M20" i="9" s="1"/>
  <c r="P20" i="9"/>
  <c r="AJ20" i="9"/>
  <c r="AT20" i="9"/>
  <c r="B7" i="9"/>
  <c r="AZ18" i="28" l="1"/>
  <c r="AA9" i="28"/>
  <c r="AY30" i="9"/>
  <c r="BA30" i="9"/>
  <c r="AN30" i="9"/>
  <c r="AK25" i="28"/>
  <c r="P21" i="27"/>
  <c r="AB12" i="27"/>
  <c r="AB20" i="27"/>
  <c r="BL12" i="9"/>
  <c r="Q29" i="9"/>
  <c r="AE29" i="9"/>
  <c r="AB29" i="9" s="1"/>
  <c r="Q28" i="9"/>
  <c r="AB28" i="9"/>
  <c r="AB27" i="9"/>
  <c r="Q27" i="9"/>
  <c r="P19" i="27"/>
  <c r="Z4" i="29"/>
  <c r="G12" i="19"/>
  <c r="P18" i="27"/>
  <c r="BM11" i="9"/>
  <c r="M26" i="9"/>
  <c r="AE26" i="9"/>
  <c r="AB26" i="9" s="1"/>
  <c r="AD26" i="9"/>
  <c r="AY26" i="9"/>
  <c r="AN26" i="9"/>
  <c r="BA26" i="9"/>
  <c r="AE24" i="9"/>
  <c r="AB24" i="9" s="1"/>
  <c r="AD25" i="9"/>
  <c r="BA25" i="9"/>
  <c r="AN25" i="9"/>
  <c r="AY25" i="9"/>
  <c r="M25" i="9"/>
  <c r="AE25" i="9"/>
  <c r="AB25" i="9" s="1"/>
  <c r="AN24" i="9"/>
  <c r="AD24" i="9"/>
  <c r="AY24" i="9"/>
  <c r="BA24" i="9"/>
  <c r="M24" i="9"/>
  <c r="Q23" i="9"/>
  <c r="AE23" i="9"/>
  <c r="AB23" i="9" s="1"/>
  <c r="M22" i="9"/>
  <c r="Q22" i="9"/>
  <c r="M21" i="9"/>
  <c r="Q21" i="9"/>
  <c r="Q20" i="9"/>
  <c r="AB20" i="9"/>
  <c r="BD20" i="9"/>
  <c r="BE20" i="9"/>
  <c r="AH6" i="27"/>
  <c r="AI6" i="27"/>
  <c r="AL6" i="27"/>
  <c r="AM6" i="27"/>
  <c r="B17" i="27"/>
  <c r="D17" i="27"/>
  <c r="AB17" i="27" s="1"/>
  <c r="T17" i="27"/>
  <c r="U17" i="27"/>
  <c r="V17" i="27"/>
  <c r="BD18" i="9"/>
  <c r="BE18" i="9"/>
  <c r="BK10" i="9"/>
  <c r="BL10" i="9" s="1"/>
  <c r="BD19" i="9"/>
  <c r="BE19" i="9"/>
  <c r="O19" i="9"/>
  <c r="M19" i="9" s="1"/>
  <c r="P19" i="9"/>
  <c r="AJ19" i="9"/>
  <c r="AT19" i="9"/>
  <c r="BK9" i="9"/>
  <c r="BM9" i="9" s="1"/>
  <c r="BD17" i="9"/>
  <c r="BE17" i="9"/>
  <c r="BD16" i="9"/>
  <c r="BE16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6" i="9"/>
  <c r="C3" i="29"/>
  <c r="B16" i="27"/>
  <c r="D16" i="27"/>
  <c r="S16" i="27"/>
  <c r="T16" i="27"/>
  <c r="U16" i="27"/>
  <c r="V16" i="27"/>
  <c r="B15" i="27"/>
  <c r="D15" i="27"/>
  <c r="S15" i="27"/>
  <c r="T15" i="27"/>
  <c r="U15" i="27"/>
  <c r="V15" i="27"/>
  <c r="B14" i="27"/>
  <c r="D14" i="27"/>
  <c r="P14" i="27" s="1"/>
  <c r="S14" i="27"/>
  <c r="T14" i="27"/>
  <c r="U14" i="27"/>
  <c r="V14" i="27"/>
  <c r="B13" i="27"/>
  <c r="D13" i="27"/>
  <c r="AB13" i="27" s="1"/>
  <c r="S13" i="27"/>
  <c r="T13" i="27"/>
  <c r="U13" i="27"/>
  <c r="V13" i="27"/>
  <c r="AV15" i="28"/>
  <c r="AV14" i="28"/>
  <c r="AV13" i="28"/>
  <c r="AV12" i="28"/>
  <c r="AV11" i="28"/>
  <c r="AV10" i="28"/>
  <c r="AH19" i="28"/>
  <c r="AH18" i="28"/>
  <c r="AH16" i="28"/>
  <c r="AH15" i="28"/>
  <c r="AH13" i="28"/>
  <c r="AH12" i="28"/>
  <c r="A9" i="28"/>
  <c r="C9" i="28"/>
  <c r="D9" i="28"/>
  <c r="K9" i="28" s="1"/>
  <c r="A8" i="28"/>
  <c r="C8" i="28"/>
  <c r="D8" i="28"/>
  <c r="K8" i="28" s="1"/>
  <c r="A7" i="28"/>
  <c r="C7" i="28"/>
  <c r="D7" i="28"/>
  <c r="K7" i="28" s="1"/>
  <c r="AV9" i="28"/>
  <c r="AH10" i="28"/>
  <c r="AH9" i="28"/>
  <c r="A11" i="19"/>
  <c r="B11" i="19"/>
  <c r="D11" i="19" s="1"/>
  <c r="C11" i="19"/>
  <c r="A6" i="28"/>
  <c r="C6" i="28"/>
  <c r="D6" i="28"/>
  <c r="AH5" i="27"/>
  <c r="AI5" i="27"/>
  <c r="AL5" i="27"/>
  <c r="AM5" i="27"/>
  <c r="B11" i="27"/>
  <c r="D11" i="27"/>
  <c r="AB11" i="27" s="1"/>
  <c r="T11" i="27"/>
  <c r="U11" i="27"/>
  <c r="V11" i="27"/>
  <c r="A8" i="19"/>
  <c r="B8" i="19"/>
  <c r="D8" i="19" s="1"/>
  <c r="N8" i="19" s="1"/>
  <c r="C8" i="19"/>
  <c r="BD15" i="9"/>
  <c r="BE15" i="9"/>
  <c r="BD14" i="9"/>
  <c r="BE14" i="9"/>
  <c r="BD13" i="9"/>
  <c r="BE13" i="9"/>
  <c r="BD12" i="9"/>
  <c r="BE12" i="9"/>
  <c r="BD11" i="9"/>
  <c r="BE11" i="9"/>
  <c r="O15" i="9"/>
  <c r="AE15" i="9" s="1"/>
  <c r="AB15" i="9" s="1"/>
  <c r="P15" i="9"/>
  <c r="AJ15" i="9"/>
  <c r="AT15" i="9"/>
  <c r="O14" i="9"/>
  <c r="M14" i="9" s="1"/>
  <c r="P14" i="9"/>
  <c r="AJ14" i="9"/>
  <c r="AT14" i="9"/>
  <c r="O13" i="9"/>
  <c r="AE13" i="9" s="1"/>
  <c r="AB13" i="9" s="1"/>
  <c r="P13" i="9"/>
  <c r="AJ13" i="9"/>
  <c r="AT13" i="9"/>
  <c r="O12" i="9"/>
  <c r="Q12" i="9" s="1"/>
  <c r="P12" i="9"/>
  <c r="AJ12" i="9"/>
  <c r="AT12" i="9"/>
  <c r="AV3" i="29" l="1"/>
  <c r="AV4" i="29"/>
  <c r="N11" i="19"/>
  <c r="AK26" i="28"/>
  <c r="AZ22" i="28"/>
  <c r="AL3" i="29"/>
  <c r="AK27" i="28"/>
  <c r="AA10" i="28"/>
  <c r="AD29" i="9"/>
  <c r="AY29" i="9"/>
  <c r="BA29" i="9"/>
  <c r="AN29" i="9"/>
  <c r="AD28" i="9"/>
  <c r="AY28" i="9"/>
  <c r="BA28" i="9"/>
  <c r="AN28" i="9"/>
  <c r="AD27" i="9"/>
  <c r="AY27" i="9"/>
  <c r="BA27" i="9"/>
  <c r="AN27" i="9"/>
  <c r="K6" i="28"/>
  <c r="AD23" i="9"/>
  <c r="AY23" i="9"/>
  <c r="BA23" i="9"/>
  <c r="AN23" i="9"/>
  <c r="AD22" i="9"/>
  <c r="BA22" i="9"/>
  <c r="AN22" i="9"/>
  <c r="AY22" i="9"/>
  <c r="BA21" i="9"/>
  <c r="AN21" i="9"/>
  <c r="AD21" i="9"/>
  <c r="AY21" i="9"/>
  <c r="AD20" i="9"/>
  <c r="AY20" i="9"/>
  <c r="BA20" i="9"/>
  <c r="AN20" i="9"/>
  <c r="P17" i="27"/>
  <c r="Q18" i="9"/>
  <c r="AD18" i="9" s="1"/>
  <c r="BM10" i="9"/>
  <c r="M18" i="9"/>
  <c r="Q19" i="9"/>
  <c r="AE19" i="9"/>
  <c r="AB19" i="9" s="1"/>
  <c r="BL9" i="9"/>
  <c r="Q17" i="9"/>
  <c r="AB17" i="9"/>
  <c r="AB16" i="9"/>
  <c r="Q16" i="9"/>
  <c r="AB16" i="27"/>
  <c r="P16" i="27"/>
  <c r="AB15" i="27"/>
  <c r="P15" i="27"/>
  <c r="AB14" i="27"/>
  <c r="P13" i="27"/>
  <c r="G11" i="19"/>
  <c r="P11" i="27"/>
  <c r="G8" i="19"/>
  <c r="M15" i="9"/>
  <c r="Q15" i="9"/>
  <c r="Q13" i="9"/>
  <c r="AY13" i="9" s="1"/>
  <c r="AE12" i="9"/>
  <c r="AB12" i="9" s="1"/>
  <c r="M13" i="9"/>
  <c r="Q14" i="9"/>
  <c r="AE14" i="9"/>
  <c r="AB14" i="9" s="1"/>
  <c r="M12" i="9"/>
  <c r="AD12" i="9"/>
  <c r="AY12" i="9"/>
  <c r="BA12" i="9"/>
  <c r="AN12" i="9"/>
  <c r="C21" i="3"/>
  <c r="D21" i="3"/>
  <c r="E21" i="3"/>
  <c r="F21" i="3"/>
  <c r="G21" i="3"/>
  <c r="H21" i="3"/>
  <c r="I21" i="3"/>
  <c r="J21" i="3"/>
  <c r="O11" i="9"/>
  <c r="M11" i="9" s="1"/>
  <c r="P11" i="9"/>
  <c r="AJ11" i="9"/>
  <c r="AT11" i="9"/>
  <c r="B10" i="27"/>
  <c r="D10" i="27"/>
  <c r="AB10" i="27" s="1"/>
  <c r="S10" i="27"/>
  <c r="T10" i="27"/>
  <c r="U10" i="27"/>
  <c r="V10" i="27"/>
  <c r="B9" i="27"/>
  <c r="D9" i="27"/>
  <c r="AB9" i="27" s="1"/>
  <c r="S9" i="27"/>
  <c r="T9" i="27"/>
  <c r="U9" i="27"/>
  <c r="V9" i="27"/>
  <c r="AV8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T8" i="27"/>
  <c r="U8" i="27"/>
  <c r="V8" i="27"/>
  <c r="AH3" i="27"/>
  <c r="AI3" i="27"/>
  <c r="AL3" i="27"/>
  <c r="AM3" i="27"/>
  <c r="B7" i="27"/>
  <c r="D7" i="27"/>
  <c r="P7" i="27" s="1"/>
  <c r="T7" i="27"/>
  <c r="U7" i="27"/>
  <c r="V7" i="27"/>
  <c r="AY18" i="9" l="1"/>
  <c r="BA18" i="9"/>
  <c r="AN18" i="9"/>
  <c r="AD19" i="9"/>
  <c r="AY19" i="9"/>
  <c r="BA19" i="9"/>
  <c r="AN19" i="9"/>
  <c r="AD17" i="9"/>
  <c r="AY17" i="9"/>
  <c r="BA17" i="9"/>
  <c r="AN17" i="9"/>
  <c r="AD16" i="9"/>
  <c r="AY16" i="9"/>
  <c r="BA16" i="9"/>
  <c r="AN16" i="9"/>
  <c r="AD13" i="9"/>
  <c r="AN13" i="9"/>
  <c r="BA13" i="9"/>
  <c r="AD15" i="9"/>
  <c r="AY15" i="9"/>
  <c r="BA15" i="9"/>
  <c r="AN15" i="9"/>
  <c r="AD14" i="9"/>
  <c r="AY14" i="9"/>
  <c r="BA14" i="9"/>
  <c r="AN14" i="9"/>
  <c r="K21" i="3"/>
  <c r="Q11" i="9"/>
  <c r="AE11" i="9"/>
  <c r="AB11" i="9" s="1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S6" i="27"/>
  <c r="T6" i="27"/>
  <c r="U6" i="27"/>
  <c r="V6" i="27"/>
  <c r="B5" i="27"/>
  <c r="D5" i="27"/>
  <c r="AB5" i="27" s="1"/>
  <c r="S5" i="27"/>
  <c r="T5" i="27"/>
  <c r="U5" i="27"/>
  <c r="V5" i="27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S4" i="27"/>
  <c r="T4" i="27"/>
  <c r="U4" i="27"/>
  <c r="V4" i="27"/>
  <c r="AV4" i="28"/>
  <c r="AV3" i="28"/>
  <c r="AH4" i="28"/>
  <c r="AH3" i="28"/>
  <c r="A3" i="28"/>
  <c r="C3" i="28"/>
  <c r="D3" i="28"/>
  <c r="K3" i="28" s="1"/>
  <c r="H7" i="14"/>
  <c r="H6" i="14"/>
  <c r="H5" i="14"/>
  <c r="H4" i="14"/>
  <c r="H3" i="14"/>
  <c r="K4" i="28" l="1"/>
  <c r="AD11" i="9"/>
  <c r="AY11" i="9"/>
  <c r="BA11" i="9"/>
  <c r="AN11" i="9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S3" i="27"/>
  <c r="T3" i="27"/>
  <c r="U3" i="27"/>
  <c r="V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5" i="14"/>
  <c r="A6" i="14"/>
  <c r="A7" i="14"/>
  <c r="B3" i="14"/>
  <c r="B4" i="14"/>
  <c r="B5" i="14"/>
  <c r="B6" i="14"/>
  <c r="B7" i="14"/>
  <c r="C32" i="3"/>
  <c r="D32" i="3"/>
  <c r="E32" i="3"/>
  <c r="F32" i="3"/>
  <c r="G32" i="3"/>
  <c r="H32" i="3"/>
  <c r="I32" i="3"/>
  <c r="J32" i="3"/>
  <c r="C27" i="3"/>
  <c r="C28" i="3"/>
  <c r="C29" i="3"/>
  <c r="C30" i="3"/>
  <c r="C31" i="3"/>
  <c r="D27" i="3"/>
  <c r="D28" i="3"/>
  <c r="D29" i="3"/>
  <c r="D30" i="3"/>
  <c r="D31" i="3"/>
  <c r="E27" i="3"/>
  <c r="E28" i="3"/>
  <c r="E29" i="3"/>
  <c r="E30" i="3"/>
  <c r="E31" i="3"/>
  <c r="F27" i="3"/>
  <c r="F28" i="3"/>
  <c r="F29" i="3"/>
  <c r="F30" i="3"/>
  <c r="F31" i="3"/>
  <c r="G27" i="3"/>
  <c r="G28" i="3"/>
  <c r="G29" i="3"/>
  <c r="G30" i="3"/>
  <c r="G31" i="3"/>
  <c r="H27" i="3"/>
  <c r="H28" i="3"/>
  <c r="H29" i="3"/>
  <c r="H30" i="3"/>
  <c r="H31" i="3"/>
  <c r="I27" i="3"/>
  <c r="I28" i="3"/>
  <c r="I29" i="3"/>
  <c r="I30" i="3"/>
  <c r="I31" i="3"/>
  <c r="J27" i="3"/>
  <c r="J28" i="3"/>
  <c r="J29" i="3"/>
  <c r="J30" i="3"/>
  <c r="J31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15" i="3"/>
  <c r="C16" i="3"/>
  <c r="C17" i="3"/>
  <c r="C18" i="3"/>
  <c r="C19" i="3"/>
  <c r="C20" i="3"/>
  <c r="D15" i="3"/>
  <c r="D16" i="3"/>
  <c r="D17" i="3"/>
  <c r="D18" i="3"/>
  <c r="D19" i="3"/>
  <c r="D20" i="3"/>
  <c r="E15" i="3"/>
  <c r="E16" i="3"/>
  <c r="E17" i="3"/>
  <c r="E18" i="3"/>
  <c r="E19" i="3"/>
  <c r="E20" i="3"/>
  <c r="F15" i="3"/>
  <c r="F16" i="3"/>
  <c r="F17" i="3"/>
  <c r="F18" i="3"/>
  <c r="F19" i="3"/>
  <c r="F20" i="3"/>
  <c r="G15" i="3"/>
  <c r="G16" i="3"/>
  <c r="G17" i="3"/>
  <c r="G18" i="3"/>
  <c r="G19" i="3"/>
  <c r="G20" i="3"/>
  <c r="H15" i="3"/>
  <c r="H16" i="3"/>
  <c r="H17" i="3"/>
  <c r="H18" i="3"/>
  <c r="H19" i="3"/>
  <c r="H20" i="3"/>
  <c r="I15" i="3"/>
  <c r="I16" i="3"/>
  <c r="I17" i="3"/>
  <c r="I18" i="3"/>
  <c r="I19" i="3"/>
  <c r="I20" i="3"/>
  <c r="J15" i="3"/>
  <c r="J16" i="3"/>
  <c r="J17" i="3"/>
  <c r="J18" i="3"/>
  <c r="J19" i="3"/>
  <c r="J20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2" i="3" l="1"/>
  <c r="K29" i="3"/>
  <c r="K28" i="3"/>
  <c r="K31" i="3"/>
  <c r="K30" i="3"/>
  <c r="K27" i="3"/>
  <c r="K25" i="3"/>
  <c r="K24" i="3"/>
  <c r="K23" i="3"/>
  <c r="K19" i="3"/>
  <c r="K15" i="3"/>
  <c r="K22" i="3"/>
  <c r="K17" i="3"/>
  <c r="K20" i="3"/>
  <c r="K18" i="3"/>
  <c r="K16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50" i="1" l="1"/>
  <c r="F50" i="1" s="1"/>
  <c r="C50" i="1"/>
  <c r="E50" i="1" s="1"/>
  <c r="D48" i="21" s="1"/>
  <c r="D50" i="1"/>
  <c r="C48" i="21" s="1"/>
  <c r="B49" i="1"/>
  <c r="F49" i="1" s="1"/>
  <c r="C49" i="1"/>
  <c r="E49" i="1" s="1"/>
  <c r="D47" i="21" s="1"/>
  <c r="D49" i="1"/>
  <c r="C47" i="21" s="1"/>
  <c r="B48" i="1"/>
  <c r="F48" i="1" s="1"/>
  <c r="C48" i="1"/>
  <c r="E48" i="1" s="1"/>
  <c r="D46" i="21" s="1"/>
  <c r="D48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20" i="28" l="1"/>
  <c r="AT24" i="28"/>
  <c r="AF24" i="28"/>
  <c r="AF28" i="28"/>
  <c r="AF17" i="28"/>
  <c r="AF20" i="28"/>
  <c r="AF11" i="28"/>
  <c r="AF14" i="28"/>
  <c r="AT25" i="28"/>
  <c r="AT22" i="28"/>
  <c r="AT23" i="28"/>
  <c r="AF26" i="28"/>
  <c r="AF27" i="28"/>
  <c r="AT19" i="28"/>
  <c r="AT21" i="28"/>
  <c r="AT18" i="28"/>
  <c r="AF23" i="28"/>
  <c r="AF25" i="28"/>
  <c r="AT16" i="28"/>
  <c r="AT17" i="28"/>
  <c r="AT15" i="28"/>
  <c r="AF21" i="28"/>
  <c r="AF22" i="28"/>
  <c r="AT13" i="28"/>
  <c r="AT14" i="28"/>
  <c r="AT11" i="28"/>
  <c r="AT12" i="28"/>
  <c r="AT9" i="28"/>
  <c r="AT10" i="28"/>
  <c r="AF18" i="28"/>
  <c r="AF19" i="28"/>
  <c r="AF15" i="28"/>
  <c r="AF16" i="28"/>
  <c r="AF12" i="28"/>
  <c r="AF13" i="28"/>
  <c r="AF9" i="28"/>
  <c r="AF10" i="28"/>
  <c r="H49" i="1"/>
  <c r="AT7" i="28"/>
  <c r="AT8" i="28"/>
  <c r="AF7" i="28"/>
  <c r="AF8" i="28"/>
  <c r="AT5" i="28"/>
  <c r="AT6" i="28"/>
  <c r="AF5" i="28"/>
  <c r="AF6" i="28"/>
  <c r="AT3" i="28"/>
  <c r="AT4" i="28"/>
  <c r="AF3" i="28"/>
  <c r="AF4" i="28"/>
  <c r="H50" i="1"/>
  <c r="J50" i="1"/>
  <c r="G50" i="1"/>
  <c r="I50" i="1"/>
  <c r="J48" i="1"/>
  <c r="I48" i="1"/>
  <c r="J49" i="1"/>
  <c r="G49" i="1"/>
  <c r="I49" i="1"/>
  <c r="H48" i="1"/>
  <c r="G48" i="1"/>
  <c r="H47" i="1"/>
  <c r="J47" i="1"/>
  <c r="I47" i="1"/>
  <c r="G47" i="1"/>
  <c r="BL2" i="9"/>
  <c r="CI2" i="9"/>
  <c r="AE2" i="9"/>
  <c r="AB2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J2" i="9"/>
  <c r="AL30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W20" i="28" l="1"/>
  <c r="AW24" i="28"/>
  <c r="AI24" i="28"/>
  <c r="AI28" i="28"/>
  <c r="AI17" i="28"/>
  <c r="AI20" i="28"/>
  <c r="AI11" i="28"/>
  <c r="AI14" i="28"/>
  <c r="AK15" i="27"/>
  <c r="AK14" i="27"/>
  <c r="AW22" i="28"/>
  <c r="N10" i="28"/>
  <c r="AW25" i="28"/>
  <c r="AI27" i="28"/>
  <c r="AI26" i="28"/>
  <c r="AW23" i="28"/>
  <c r="AK13" i="27"/>
  <c r="BF29" i="9"/>
  <c r="BF30" i="9"/>
  <c r="BF26" i="9"/>
  <c r="BN12" i="9"/>
  <c r="BF27" i="9"/>
  <c r="BF28" i="9"/>
  <c r="AA29" i="9"/>
  <c r="AF29" i="9" s="1"/>
  <c r="AA30" i="9"/>
  <c r="AK30" i="9"/>
  <c r="AM30" i="9"/>
  <c r="AV29" i="9"/>
  <c r="AW29" i="9" s="1"/>
  <c r="AV30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19" i="28"/>
  <c r="AW21" i="28"/>
  <c r="AW18" i="28"/>
  <c r="AK12" i="27"/>
  <c r="AI25" i="28"/>
  <c r="AE11" i="27"/>
  <c r="AJ11" i="27" s="1"/>
  <c r="AE12" i="27"/>
  <c r="AK8" i="27"/>
  <c r="AK9" i="27"/>
  <c r="AK10" i="27"/>
  <c r="AL29" i="9"/>
  <c r="AV28" i="9"/>
  <c r="AU28" i="9" s="1"/>
  <c r="AA28" i="9"/>
  <c r="AG28" i="9" s="1"/>
  <c r="AL27" i="9"/>
  <c r="AK27" i="9" s="1"/>
  <c r="AL28" i="9"/>
  <c r="BN11" i="9"/>
  <c r="BF25" i="9"/>
  <c r="AV26" i="9"/>
  <c r="AW26" i="9" s="1"/>
  <c r="AV27" i="9"/>
  <c r="AA26" i="9"/>
  <c r="AG26" i="9" s="1"/>
  <c r="AA27" i="9"/>
  <c r="AE10" i="27"/>
  <c r="AE8" i="27"/>
  <c r="AE9" i="27"/>
  <c r="AO5" i="27"/>
  <c r="AO7" i="27"/>
  <c r="AO6" i="27"/>
  <c r="AE7" i="27"/>
  <c r="AJ7" i="27" s="1"/>
  <c r="N7" i="28"/>
  <c r="AC7" i="28" s="1"/>
  <c r="N8" i="28"/>
  <c r="AI21" i="28"/>
  <c r="AW16" i="28"/>
  <c r="AW17" i="28"/>
  <c r="AI23" i="28"/>
  <c r="AI22" i="28"/>
  <c r="AK21" i="28"/>
  <c r="BA16" i="28"/>
  <c r="AL21" i="28"/>
  <c r="BB16" i="28"/>
  <c r="AK22" i="28"/>
  <c r="AM21" i="28"/>
  <c r="AL22" i="28"/>
  <c r="AN21" i="28"/>
  <c r="AM22" i="28"/>
  <c r="AN22" i="28"/>
  <c r="AZ16" i="28"/>
  <c r="AZ11" i="28"/>
  <c r="AM19" i="28"/>
  <c r="AM16" i="28"/>
  <c r="AL13" i="28"/>
  <c r="AL9" i="28"/>
  <c r="AZ13" i="28"/>
  <c r="BA11" i="28"/>
  <c r="AN19" i="28"/>
  <c r="AN16" i="28"/>
  <c r="AM13" i="28"/>
  <c r="BA9" i="28"/>
  <c r="AM9" i="28"/>
  <c r="BB14" i="28"/>
  <c r="AL16" i="28"/>
  <c r="AA7" i="28"/>
  <c r="AZ15" i="28"/>
  <c r="BA13" i="28"/>
  <c r="BB11" i="28"/>
  <c r="AN13" i="28"/>
  <c r="BB9" i="28"/>
  <c r="AN9" i="28"/>
  <c r="AL19" i="28"/>
  <c r="BA15" i="28"/>
  <c r="BB13" i="28"/>
  <c r="AL18" i="28"/>
  <c r="AK15" i="28"/>
  <c r="BB15" i="28"/>
  <c r="BA10" i="28"/>
  <c r="AM18" i="28"/>
  <c r="AL15" i="28"/>
  <c r="AL12" i="28"/>
  <c r="AL10" i="28"/>
  <c r="BA12" i="28"/>
  <c r="BB10" i="28"/>
  <c r="AN18" i="28"/>
  <c r="AM15" i="28"/>
  <c r="AM12" i="28"/>
  <c r="AM10" i="28"/>
  <c r="BA14" i="28"/>
  <c r="BB12" i="28"/>
  <c r="AN15" i="28"/>
  <c r="AN12" i="28"/>
  <c r="AN10" i="28"/>
  <c r="AK9" i="28"/>
  <c r="AA6" i="28"/>
  <c r="AZ12" i="28"/>
  <c r="AA5" i="28"/>
  <c r="AK13" i="28"/>
  <c r="AK16" i="28"/>
  <c r="AK19" i="28"/>
  <c r="AZ9" i="28"/>
  <c r="AK10" i="28"/>
  <c r="AZ10" i="28"/>
  <c r="Z3" i="29"/>
  <c r="AZ14" i="28"/>
  <c r="AK12" i="28"/>
  <c r="AK18" i="28"/>
  <c r="W7" i="28"/>
  <c r="AW10" i="28"/>
  <c r="AI15" i="28"/>
  <c r="N6" i="28"/>
  <c r="AI19" i="28"/>
  <c r="AW11" i="28"/>
  <c r="AW13" i="28"/>
  <c r="AK6" i="27"/>
  <c r="AW12" i="28"/>
  <c r="N4" i="28"/>
  <c r="AI12" i="28"/>
  <c r="AW15" i="28"/>
  <c r="N5" i="28"/>
  <c r="AI16" i="28"/>
  <c r="AW14" i="28"/>
  <c r="AK7" i="27"/>
  <c r="AI13" i="28"/>
  <c r="AI18" i="28"/>
  <c r="W4" i="28"/>
  <c r="W5" i="28"/>
  <c r="W3" i="28"/>
  <c r="W6" i="28"/>
  <c r="AE5" i="27"/>
  <c r="AJ5" i="27" s="1"/>
  <c r="AE6" i="27"/>
  <c r="BF20" i="9"/>
  <c r="BF22" i="9"/>
  <c r="BF24" i="9"/>
  <c r="BF21" i="9"/>
  <c r="BF23" i="9"/>
  <c r="AL25" i="9"/>
  <c r="AK25" i="9" s="1"/>
  <c r="AL26" i="9"/>
  <c r="AV24" i="9"/>
  <c r="AU24" i="9" s="1"/>
  <c r="AV25" i="9"/>
  <c r="AA24" i="9"/>
  <c r="AG24" i="9" s="1"/>
  <c r="AA25" i="9"/>
  <c r="AL23" i="9"/>
  <c r="AM23" i="9" s="1"/>
  <c r="AL24" i="9"/>
  <c r="AV22" i="9"/>
  <c r="AU22" i="9" s="1"/>
  <c r="AV23" i="9"/>
  <c r="AA22" i="9"/>
  <c r="AG22" i="9" s="1"/>
  <c r="AA23" i="9"/>
  <c r="AL21" i="9"/>
  <c r="AM21" i="9" s="1"/>
  <c r="AL22" i="9"/>
  <c r="AV20" i="9"/>
  <c r="AU20" i="9" s="1"/>
  <c r="AV21" i="9"/>
  <c r="AA20" i="9"/>
  <c r="AC20" i="9" s="1"/>
  <c r="AA21" i="9"/>
  <c r="AL19" i="9"/>
  <c r="AM19" i="9" s="1"/>
  <c r="AL20" i="9"/>
  <c r="BF18" i="9"/>
  <c r="BF19" i="9"/>
  <c r="BN10" i="9"/>
  <c r="AV18" i="9"/>
  <c r="AW18" i="9" s="1"/>
  <c r="AV19" i="9"/>
  <c r="AA18" i="9"/>
  <c r="AF18" i="9" s="1"/>
  <c r="AA19" i="9"/>
  <c r="BF17" i="9"/>
  <c r="BF16" i="9"/>
  <c r="BN9" i="9"/>
  <c r="AL17" i="9"/>
  <c r="AK17" i="9" s="1"/>
  <c r="AL18" i="9"/>
  <c r="AA16" i="9"/>
  <c r="AC16" i="9" s="1"/>
  <c r="AA17" i="9"/>
  <c r="AV15" i="9"/>
  <c r="AW15" i="9" s="1"/>
  <c r="AV17" i="9"/>
  <c r="AV16" i="9"/>
  <c r="AL15" i="9"/>
  <c r="AM15" i="9" s="1"/>
  <c r="AL16" i="9"/>
  <c r="BF12" i="9"/>
  <c r="BF14" i="9"/>
  <c r="BF15" i="9"/>
  <c r="BF13" i="9"/>
  <c r="BF11" i="9"/>
  <c r="AK5" i="27"/>
  <c r="AI9" i="28"/>
  <c r="N3" i="28"/>
  <c r="AD3" i="28" s="1"/>
  <c r="AI10" i="28"/>
  <c r="AW9" i="28"/>
  <c r="AA3" i="28"/>
  <c r="AI2" i="29"/>
  <c r="AO3" i="27"/>
  <c r="AO4" i="27"/>
  <c r="AI8" i="28"/>
  <c r="AI7" i="28"/>
  <c r="AW8" i="28"/>
  <c r="AW7" i="28"/>
  <c r="BA8" i="28"/>
  <c r="AK8" i="28"/>
  <c r="AN7" i="28"/>
  <c r="AM7" i="28"/>
  <c r="BB8" i="28"/>
  <c r="AL8" i="28"/>
  <c r="AM8" i="28"/>
  <c r="AK7" i="28"/>
  <c r="AZ7" i="28"/>
  <c r="AN8" i="28"/>
  <c r="BA7" i="28"/>
  <c r="BB7" i="28"/>
  <c r="AL7" i="28"/>
  <c r="AZ8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4" i="9"/>
  <c r="AC14" i="9" s="1"/>
  <c r="AA15" i="9"/>
  <c r="AL13" i="9"/>
  <c r="AM13" i="9" s="1"/>
  <c r="AL14" i="9"/>
  <c r="AV13" i="9"/>
  <c r="AW13" i="9" s="1"/>
  <c r="AV14" i="9"/>
  <c r="AA12" i="9"/>
  <c r="AI12" i="9" s="1"/>
  <c r="AA13" i="9"/>
  <c r="AL11" i="9"/>
  <c r="AK11" i="9" s="1"/>
  <c r="AL12" i="9"/>
  <c r="AV11" i="9"/>
  <c r="AU11" i="9" s="1"/>
  <c r="AV12" i="9"/>
  <c r="BF10" i="9"/>
  <c r="BF9" i="9"/>
  <c r="BN8" i="9"/>
  <c r="AA10" i="9"/>
  <c r="AF10" i="9" s="1"/>
  <c r="AA11" i="9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7" i="14"/>
  <c r="D7" i="14" s="1"/>
  <c r="C3" i="14"/>
  <c r="D3" i="14" s="1"/>
  <c r="E21" i="27" s="1"/>
  <c r="C4" i="14"/>
  <c r="D4" i="14" s="1"/>
  <c r="C5" i="14"/>
  <c r="D5" i="14" s="1"/>
  <c r="M5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U29" i="9" l="1"/>
  <c r="AB10" i="28"/>
  <c r="Z10" i="28"/>
  <c r="W10" i="28"/>
  <c r="U10" i="28" s="1"/>
  <c r="AD10" i="28"/>
  <c r="V10" i="28"/>
  <c r="AC10" i="28"/>
  <c r="AH29" i="9"/>
  <c r="AC29" i="9"/>
  <c r="AI29" i="9"/>
  <c r="AG29" i="9"/>
  <c r="Z29" i="9"/>
  <c r="AC30" i="9"/>
  <c r="AF30" i="9"/>
  <c r="AG30" i="9"/>
  <c r="Z30" i="9"/>
  <c r="AH30" i="9"/>
  <c r="AI30" i="9"/>
  <c r="AW30" i="9"/>
  <c r="AU30" i="9"/>
  <c r="AN13" i="27"/>
  <c r="AN14" i="27"/>
  <c r="AJ14" i="27"/>
  <c r="AJ15" i="27"/>
  <c r="AN15" i="27"/>
  <c r="E11" i="27"/>
  <c r="E12" i="27"/>
  <c r="E12" i="28"/>
  <c r="E11" i="28"/>
  <c r="E10" i="28"/>
  <c r="E20" i="27"/>
  <c r="E19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8" i="9"/>
  <c r="AK29" i="9"/>
  <c r="AM29" i="9"/>
  <c r="AF28" i="9"/>
  <c r="AC28" i="9"/>
  <c r="AK19" i="9"/>
  <c r="Z26" i="9"/>
  <c r="AI28" i="9"/>
  <c r="AF26" i="9"/>
  <c r="AH28" i="9"/>
  <c r="Z28" i="9"/>
  <c r="AM27" i="9"/>
  <c r="AU26" i="9"/>
  <c r="AM25" i="9"/>
  <c r="AH26" i="9"/>
  <c r="AK28" i="9"/>
  <c r="AM28" i="9"/>
  <c r="AC26" i="9"/>
  <c r="AC27" i="9"/>
  <c r="AF27" i="9"/>
  <c r="AG27" i="9"/>
  <c r="Z27" i="9"/>
  <c r="AH27" i="9"/>
  <c r="AI27" i="9"/>
  <c r="AU27" i="9"/>
  <c r="AW27" i="9"/>
  <c r="AI26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0" i="28" s="1"/>
  <c r="AC4" i="28"/>
  <c r="Z4" i="28"/>
  <c r="V4" i="28"/>
  <c r="AB4" i="28"/>
  <c r="AD4" i="28"/>
  <c r="F7" i="9"/>
  <c r="E18" i="27"/>
  <c r="AN5" i="27"/>
  <c r="AJ6" i="27"/>
  <c r="AN6" i="27"/>
  <c r="AH24" i="9"/>
  <c r="Z24" i="9"/>
  <c r="AF24" i="9"/>
  <c r="AC24" i="9"/>
  <c r="AI24" i="9"/>
  <c r="AW22" i="9"/>
  <c r="AK26" i="9"/>
  <c r="AM26" i="9"/>
  <c r="AF25" i="9"/>
  <c r="AG25" i="9"/>
  <c r="Z25" i="9"/>
  <c r="AH25" i="9"/>
  <c r="AI25" i="9"/>
  <c r="AC25" i="9"/>
  <c r="AU25" i="9"/>
  <c r="AW25" i="9"/>
  <c r="AW24" i="9"/>
  <c r="AK23" i="9"/>
  <c r="AC22" i="9"/>
  <c r="AI20" i="9"/>
  <c r="AF20" i="9"/>
  <c r="AH22" i="9"/>
  <c r="AF22" i="9"/>
  <c r="Z22" i="9"/>
  <c r="AK24" i="9"/>
  <c r="AM24" i="9"/>
  <c r="AW20" i="9"/>
  <c r="AI22" i="9"/>
  <c r="AC23" i="9"/>
  <c r="AF23" i="9"/>
  <c r="AI23" i="9"/>
  <c r="AG23" i="9"/>
  <c r="Z23" i="9"/>
  <c r="AH23" i="9"/>
  <c r="AW23" i="9"/>
  <c r="AU23" i="9"/>
  <c r="AK21" i="9"/>
  <c r="AM22" i="9"/>
  <c r="AK22" i="9"/>
  <c r="AK15" i="9"/>
  <c r="Z20" i="9"/>
  <c r="AH20" i="9"/>
  <c r="AG20" i="9"/>
  <c r="AG21" i="9"/>
  <c r="AH21" i="9"/>
  <c r="AF21" i="9"/>
  <c r="AI21" i="9"/>
  <c r="AC21" i="9"/>
  <c r="Z21" i="9"/>
  <c r="AU21" i="9"/>
  <c r="AW21" i="9"/>
  <c r="AU18" i="9"/>
  <c r="AK20" i="9"/>
  <c r="AM20" i="9"/>
  <c r="U4" i="28"/>
  <c r="U5" i="28"/>
  <c r="U6" i="28"/>
  <c r="M7" i="14"/>
  <c r="E3" i="29"/>
  <c r="D3" i="29" s="1"/>
  <c r="AI5" i="29" s="1"/>
  <c r="E13" i="27"/>
  <c r="E9" i="28"/>
  <c r="E14" i="27"/>
  <c r="E15" i="27"/>
  <c r="E8" i="28"/>
  <c r="E7" i="28"/>
  <c r="E16" i="27"/>
  <c r="E17" i="27"/>
  <c r="E6" i="28"/>
  <c r="F6" i="9"/>
  <c r="AC18" i="9"/>
  <c r="AH18" i="9"/>
  <c r="Z18" i="9"/>
  <c r="AG18" i="9"/>
  <c r="AU19" i="9"/>
  <c r="AW19" i="9"/>
  <c r="AI18" i="9"/>
  <c r="AM17" i="9"/>
  <c r="AC19" i="9"/>
  <c r="AH19" i="9"/>
  <c r="Z19" i="9"/>
  <c r="AF19" i="9"/>
  <c r="AG19" i="9"/>
  <c r="AI19" i="9"/>
  <c r="AU15" i="9"/>
  <c r="AM18" i="9"/>
  <c r="AK18" i="9"/>
  <c r="AI16" i="9"/>
  <c r="AG16" i="9"/>
  <c r="AH16" i="9"/>
  <c r="Z16" i="9"/>
  <c r="AF16" i="9"/>
  <c r="AW16" i="9"/>
  <c r="AU16" i="9"/>
  <c r="AW17" i="9"/>
  <c r="AU17" i="9"/>
  <c r="AC17" i="9"/>
  <c r="AF17" i="9"/>
  <c r="AG17" i="9"/>
  <c r="Z17" i="9"/>
  <c r="AH17" i="9"/>
  <c r="AI17" i="9"/>
  <c r="AK16" i="9"/>
  <c r="AM16" i="9"/>
  <c r="T5" i="28"/>
  <c r="T6" i="28"/>
  <c r="T3" i="28"/>
  <c r="T4" i="28"/>
  <c r="AB3" i="28"/>
  <c r="AC3" i="28"/>
  <c r="Y3" i="28"/>
  <c r="Z3" i="28"/>
  <c r="V3" i="28"/>
  <c r="U3" i="28"/>
  <c r="X3" i="28"/>
  <c r="AK13" i="9"/>
  <c r="AM11" i="9"/>
  <c r="AH12" i="9"/>
  <c r="AH14" i="9"/>
  <c r="AF14" i="9"/>
  <c r="AG14" i="9"/>
  <c r="Z14" i="9"/>
  <c r="AC15" i="9"/>
  <c r="AF15" i="9"/>
  <c r="AG15" i="9"/>
  <c r="Z15" i="9"/>
  <c r="AH15" i="9"/>
  <c r="AI15" i="9"/>
  <c r="AK9" i="9"/>
  <c r="AC12" i="9"/>
  <c r="AU13" i="9"/>
  <c r="AI14" i="9"/>
  <c r="AG12" i="9"/>
  <c r="AW14" i="9"/>
  <c r="AU14" i="9"/>
  <c r="AK14" i="9"/>
  <c r="AM14" i="9"/>
  <c r="Z12" i="9"/>
  <c r="AG13" i="9"/>
  <c r="AF13" i="9"/>
  <c r="Z13" i="9"/>
  <c r="AH13" i="9"/>
  <c r="AI13" i="9"/>
  <c r="AC13" i="9"/>
  <c r="AF12" i="9"/>
  <c r="AW11" i="9"/>
  <c r="Z8" i="9"/>
  <c r="AW12" i="9"/>
  <c r="AU12" i="9"/>
  <c r="AM12" i="9"/>
  <c r="AK12" i="9"/>
  <c r="M3" i="14"/>
  <c r="E7" i="27"/>
  <c r="E4" i="28"/>
  <c r="E5" i="27"/>
  <c r="F4" i="9"/>
  <c r="E6" i="27"/>
  <c r="AC10" i="9"/>
  <c r="Z10" i="9"/>
  <c r="AH10" i="9"/>
  <c r="M6" i="14"/>
  <c r="E9" i="27"/>
  <c r="E10" i="27"/>
  <c r="F5" i="9"/>
  <c r="E5" i="28"/>
  <c r="AI10" i="9"/>
  <c r="AG10" i="9"/>
  <c r="M4" i="14"/>
  <c r="E8" i="27"/>
  <c r="E3" i="28"/>
  <c r="E4" i="27"/>
  <c r="F3" i="9"/>
  <c r="A4" i="9" s="1"/>
  <c r="E3" i="27"/>
  <c r="AH8" i="9"/>
  <c r="AF8" i="9"/>
  <c r="AC11" i="9"/>
  <c r="AI11" i="9"/>
  <c r="AG11" i="9"/>
  <c r="AF11" i="9"/>
  <c r="Z11" i="9"/>
  <c r="AH11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O3" i="27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0" i="28" l="1"/>
  <c r="A21" i="27"/>
  <c r="T8" i="19"/>
  <c r="T7" i="19"/>
  <c r="M12" i="19"/>
  <c r="H12" i="19"/>
  <c r="O21" i="27"/>
  <c r="N21" i="27"/>
  <c r="T10" i="28"/>
  <c r="T9" i="28"/>
  <c r="X9" i="28"/>
  <c r="Y9" i="28"/>
  <c r="N12" i="27"/>
  <c r="A12" i="27"/>
  <c r="O12" i="27"/>
  <c r="N20" i="27"/>
  <c r="O20" i="27"/>
  <c r="A20" i="27"/>
  <c r="A8" i="9"/>
  <c r="A19" i="27"/>
  <c r="N19" i="27"/>
  <c r="O19" i="27"/>
  <c r="M4" i="29"/>
  <c r="AI3" i="29"/>
  <c r="AG5" i="29" s="1"/>
  <c r="AI4" i="29"/>
  <c r="X8" i="28"/>
  <c r="X5" i="28"/>
  <c r="Y7" i="28"/>
  <c r="X6" i="28"/>
  <c r="X7" i="28"/>
  <c r="Y5" i="28"/>
  <c r="Y4" i="28"/>
  <c r="X4" i="28"/>
  <c r="Y6" i="28"/>
  <c r="A3" i="29"/>
  <c r="N18" i="27"/>
  <c r="O18" i="27"/>
  <c r="O16" i="27"/>
  <c r="A18" i="27"/>
  <c r="A7" i="9"/>
  <c r="J3" i="29"/>
  <c r="M3" i="29"/>
  <c r="M11" i="19"/>
  <c r="H11" i="19"/>
  <c r="N13" i="27"/>
  <c r="N16" i="27"/>
  <c r="A15" i="27"/>
  <c r="O15" i="27"/>
  <c r="O17" i="27"/>
  <c r="A16" i="27"/>
  <c r="N17" i="27"/>
  <c r="N15" i="27"/>
  <c r="A17" i="27"/>
  <c r="A6" i="9"/>
  <c r="O14" i="27"/>
  <c r="N14" i="27"/>
  <c r="A14" i="27"/>
  <c r="N3" i="27"/>
  <c r="A3" i="27"/>
  <c r="A7" i="27"/>
  <c r="O13" i="27"/>
  <c r="A13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C8" i="9" l="1"/>
  <c r="E8" i="9" s="1"/>
  <c r="R30" i="9" s="1"/>
  <c r="AX30" i="9" s="1"/>
  <c r="R27" i="9"/>
  <c r="AX27" i="9" s="1"/>
  <c r="R29" i="9"/>
  <c r="AX29" i="9" s="1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R14" i="9" s="1"/>
  <c r="AX14" i="9" s="1"/>
  <c r="C3" i="9"/>
  <c r="E3" i="9" s="1"/>
  <c r="R5" i="9" s="1"/>
  <c r="AX5" i="9" s="1"/>
  <c r="C4" i="9"/>
  <c r="E4" i="9" s="1"/>
  <c r="K4" i="9" s="1"/>
  <c r="J9" i="31"/>
  <c r="R28" i="9" l="1"/>
  <c r="AX28" i="9" s="1"/>
  <c r="K8" i="9"/>
  <c r="AS4" i="29"/>
  <c r="AS5" i="29"/>
  <c r="AS3" i="29"/>
  <c r="AS6" i="29"/>
  <c r="AS7" i="29"/>
  <c r="S4" i="29"/>
  <c r="K7" i="9"/>
  <c r="R24" i="9"/>
  <c r="AX24" i="9" s="1"/>
  <c r="R21" i="9"/>
  <c r="AX21" i="9" s="1"/>
  <c r="R26" i="9"/>
  <c r="AX26" i="9" s="1"/>
  <c r="R22" i="9"/>
  <c r="AX22" i="9" s="1"/>
  <c r="R23" i="9"/>
  <c r="AX23" i="9" s="1"/>
  <c r="R25" i="9"/>
  <c r="AX25" i="9" s="1"/>
  <c r="R20" i="9"/>
  <c r="AX20" i="9" s="1"/>
  <c r="T3" i="29"/>
  <c r="S3" i="29"/>
  <c r="K6" i="9"/>
  <c r="R17" i="9"/>
  <c r="AX17" i="9" s="1"/>
  <c r="R18" i="9"/>
  <c r="AX18" i="9" s="1"/>
  <c r="R16" i="9"/>
  <c r="AX16" i="9" s="1"/>
  <c r="R19" i="9"/>
  <c r="AX19" i="9" s="1"/>
  <c r="R11" i="9"/>
  <c r="AX11" i="9" s="1"/>
  <c r="R15" i="9"/>
  <c r="AX15" i="9" s="1"/>
  <c r="R13" i="9"/>
  <c r="AX13" i="9" s="1"/>
  <c r="R12" i="9"/>
  <c r="AX12" i="9" s="1"/>
  <c r="K5" i="9"/>
  <c r="R10" i="9"/>
  <c r="AX10" i="9" s="1"/>
  <c r="R9" i="9"/>
  <c r="AX9" i="9" s="1"/>
  <c r="R4" i="9"/>
  <c r="AX4" i="9" s="1"/>
  <c r="R3" i="9"/>
  <c r="AX3" i="9" s="1"/>
  <c r="K3" i="9"/>
  <c r="R6" i="9"/>
  <c r="AX6" i="9" s="1"/>
  <c r="R8" i="9"/>
  <c r="AX8" i="9" s="1"/>
  <c r="R7" i="9"/>
  <c r="AX7" i="9" s="1"/>
  <c r="J10" i="31"/>
  <c r="AS10" i="29" l="1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I5" i="25"/>
  <c r="P5" i="25"/>
  <c r="C5" i="25"/>
  <c r="H5" i="25"/>
  <c r="N5" i="25"/>
  <c r="D5" i="25"/>
  <c r="E5" i="25"/>
  <c r="L5" i="25"/>
  <c r="B9" i="25"/>
  <c r="J5" i="25"/>
  <c r="F5" i="25"/>
  <c r="O5" i="25"/>
  <c r="K5" i="25"/>
  <c r="G5" i="25"/>
  <c r="M5" i="25"/>
  <c r="E5" i="31"/>
  <c r="Q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O9" i="25"/>
  <c r="N9" i="25"/>
  <c r="P9" i="25"/>
  <c r="Q9" i="25"/>
  <c r="K9" i="25"/>
  <c r="L9" i="25"/>
  <c r="J9" i="25"/>
  <c r="I9" i="25"/>
  <c r="H9" i="25"/>
  <c r="G9" i="25"/>
  <c r="D9" i="25"/>
  <c r="E9" i="25"/>
  <c r="B10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M10" i="25"/>
  <c r="N10" i="25"/>
  <c r="Q10" i="25"/>
  <c r="P10" i="25"/>
  <c r="O10" i="25"/>
  <c r="J10" i="25"/>
  <c r="L10" i="25"/>
  <c r="K10" i="25"/>
  <c r="I10" i="25"/>
  <c r="H10" i="25"/>
  <c r="N9" i="31"/>
  <c r="P7" i="31"/>
  <c r="P19" i="31"/>
  <c r="E10" i="25"/>
  <c r="P16" i="31"/>
  <c r="N45" i="31"/>
  <c r="N48" i="31"/>
  <c r="P41" i="31"/>
  <c r="N46" i="31"/>
  <c r="N56" i="31"/>
  <c r="P60" i="31"/>
  <c r="P49" i="31"/>
  <c r="P51" i="31"/>
  <c r="P50" i="31"/>
  <c r="N3" i="31"/>
  <c r="P24" i="31"/>
  <c r="P18" i="31"/>
  <c r="P4" i="31"/>
  <c r="N39" i="31"/>
  <c r="N34" i="31"/>
  <c r="P47" i="31"/>
  <c r="N12" i="31"/>
  <c r="N11" i="31"/>
  <c r="B11" i="25"/>
  <c r="N4" i="31"/>
  <c r="P31" i="31"/>
  <c r="P43" i="31"/>
  <c r="N55" i="31"/>
  <c r="N5" i="31"/>
  <c r="N52" i="31"/>
  <c r="P5" i="31"/>
  <c r="N23" i="31"/>
  <c r="P40" i="31"/>
  <c r="P20" i="31"/>
  <c r="N14" i="31"/>
  <c r="P35" i="31"/>
  <c r="P10" i="31"/>
  <c r="N28" i="31"/>
  <c r="N6" i="31"/>
  <c r="G10" i="25"/>
  <c r="N29" i="31"/>
  <c r="N37" i="31"/>
  <c r="P57" i="31"/>
  <c r="P22" i="31"/>
  <c r="D10" i="25"/>
  <c r="N8" i="31"/>
  <c r="P6" i="31"/>
  <c r="N17" i="31"/>
  <c r="P44" i="31"/>
  <c r="P15" i="31"/>
  <c r="P36" i="31"/>
  <c r="N26" i="31"/>
  <c r="P13" i="31"/>
  <c r="N30" i="31"/>
  <c r="P12" i="31"/>
  <c r="P3" i="31"/>
  <c r="P53" i="31"/>
  <c r="P9" i="31"/>
  <c r="P11" i="31"/>
  <c r="P58" i="31"/>
  <c r="N61" i="31"/>
  <c r="N13" i="31"/>
  <c r="N10" i="31"/>
  <c r="N42" i="31"/>
  <c r="N7" i="31"/>
  <c r="C10" i="25"/>
  <c r="N32" i="31"/>
  <c r="P2" i="31"/>
  <c r="P17" i="31"/>
  <c r="P38" i="31"/>
  <c r="P21" i="31"/>
  <c r="N15" i="31"/>
  <c r="N16" i="31"/>
  <c r="N59" i="31"/>
  <c r="P14" i="31"/>
  <c r="P27" i="31"/>
  <c r="P8" i="31"/>
  <c r="P33" i="31"/>
  <c r="P25" i="31"/>
  <c r="P54" i="31"/>
  <c r="O17" i="31" l="1"/>
  <c r="O15" i="31"/>
  <c r="R3" i="27"/>
  <c r="O12" i="31"/>
  <c r="O6" i="31"/>
  <c r="O3" i="31"/>
  <c r="R5" i="27" s="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M11" i="25"/>
  <c r="N11" i="25"/>
  <c r="O11" i="25"/>
  <c r="Q11" i="25"/>
  <c r="L11" i="25"/>
  <c r="K11" i="25"/>
  <c r="J11" i="25"/>
  <c r="I11" i="25"/>
  <c r="H11" i="25"/>
  <c r="P48" i="31"/>
  <c r="P46" i="31"/>
  <c r="D11" i="25"/>
  <c r="N35" i="31"/>
  <c r="P26" i="31"/>
  <c r="P37" i="31"/>
  <c r="N22" i="31"/>
  <c r="P28" i="31"/>
  <c r="N20" i="31"/>
  <c r="N53" i="31"/>
  <c r="N18" i="31"/>
  <c r="N38" i="31"/>
  <c r="P29" i="31"/>
  <c r="N57" i="31"/>
  <c r="N24" i="31"/>
  <c r="P52" i="31"/>
  <c r="N58" i="31"/>
  <c r="N49" i="31"/>
  <c r="P45" i="31"/>
  <c r="N44" i="31"/>
  <c r="N19" i="31"/>
  <c r="N60" i="31"/>
  <c r="P39" i="31"/>
  <c r="P34" i="31"/>
  <c r="N54" i="31"/>
  <c r="N36" i="31"/>
  <c r="N47" i="31"/>
  <c r="P56" i="31"/>
  <c r="N51" i="31"/>
  <c r="N33" i="31"/>
  <c r="N27" i="31"/>
  <c r="N31" i="31"/>
  <c r="P30" i="31"/>
  <c r="N40" i="31"/>
  <c r="P42" i="31"/>
  <c r="P23" i="31"/>
  <c r="P55" i="31"/>
  <c r="P32" i="31"/>
  <c r="C11" i="25"/>
  <c r="N43" i="31"/>
  <c r="N41" i="31"/>
  <c r="N21" i="31"/>
  <c r="N25" i="31"/>
  <c r="N50" i="31"/>
  <c r="E11" i="25"/>
  <c r="P61" i="31"/>
  <c r="B12" i="25"/>
  <c r="P59" i="31"/>
  <c r="N62" i="31"/>
  <c r="S12" i="27" l="1"/>
  <c r="R18" i="27"/>
  <c r="R17" i="27"/>
  <c r="R16" i="27"/>
  <c r="R15" i="27"/>
  <c r="R14" i="27"/>
  <c r="R13" i="27"/>
  <c r="S11" i="27"/>
  <c r="R10" i="27"/>
  <c r="R9" i="27"/>
  <c r="S8" i="27"/>
  <c r="S7" i="27"/>
  <c r="R6" i="27"/>
  <c r="R4" i="27"/>
  <c r="O21" i="31"/>
  <c r="O60" i="31"/>
  <c r="O35" i="31"/>
  <c r="O19" i="31"/>
  <c r="O18" i="31"/>
  <c r="R20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N12" i="25"/>
  <c r="M12" i="25"/>
  <c r="O12" i="25"/>
  <c r="K12" i="25"/>
  <c r="J12" i="25"/>
  <c r="L12" i="25"/>
  <c r="I12" i="25"/>
  <c r="H12" i="25"/>
  <c r="B13" i="25"/>
  <c r="C12" i="25"/>
  <c r="P62" i="31"/>
  <c r="D12" i="25"/>
  <c r="E12" i="25"/>
  <c r="N63" i="31"/>
  <c r="S21" i="27" l="1"/>
  <c r="R21" i="27"/>
  <c r="S17" i="27"/>
  <c r="S18" i="27"/>
  <c r="S20" i="27"/>
  <c r="R12" i="27"/>
  <c r="R7" i="27"/>
  <c r="R8" i="27"/>
  <c r="R11" i="27"/>
  <c r="R13" i="25"/>
  <c r="O63" i="31"/>
  <c r="M64" i="31"/>
  <c r="L65" i="31"/>
  <c r="J66" i="31"/>
  <c r="K66" i="31" s="1"/>
  <c r="N13" i="25"/>
  <c r="O13" i="25"/>
  <c r="P13" i="25"/>
  <c r="Q13" i="25"/>
  <c r="M13" i="25"/>
  <c r="K13" i="25"/>
  <c r="L13" i="25"/>
  <c r="J13" i="25"/>
  <c r="I13" i="25"/>
  <c r="H13" i="25"/>
  <c r="B14" i="25"/>
  <c r="C13" i="25"/>
  <c r="D13" i="25"/>
  <c r="P63" i="31"/>
  <c r="E13" i="25"/>
  <c r="P64" i="31"/>
  <c r="R14" i="25" l="1"/>
  <c r="M65" i="31"/>
  <c r="L66" i="31"/>
  <c r="J67" i="31"/>
  <c r="K67" i="31" s="1"/>
  <c r="P14" i="25"/>
  <c r="O14" i="25"/>
  <c r="N14" i="25"/>
  <c r="M14" i="25"/>
  <c r="Q14" i="25"/>
  <c r="K14" i="25"/>
  <c r="L14" i="25"/>
  <c r="J14" i="25"/>
  <c r="I14" i="25"/>
  <c r="H14" i="25"/>
  <c r="C14" i="25"/>
  <c r="B15" i="25"/>
  <c r="E14" i="25"/>
  <c r="N64" i="31"/>
  <c r="D14" i="25"/>
  <c r="N65" i="31"/>
  <c r="R15" i="25" l="1"/>
  <c r="O64" i="31"/>
  <c r="O65" i="31"/>
  <c r="M66" i="31"/>
  <c r="L67" i="31"/>
  <c r="J68" i="31"/>
  <c r="K68" i="31" s="1"/>
  <c r="N15" i="25"/>
  <c r="M15" i="25"/>
  <c r="Q15" i="25"/>
  <c r="P15" i="25"/>
  <c r="O15" i="25"/>
  <c r="K15" i="25"/>
  <c r="L15" i="25"/>
  <c r="J15" i="25"/>
  <c r="H15" i="25"/>
  <c r="I15" i="25"/>
  <c r="B16" i="25"/>
  <c r="P65" i="31"/>
  <c r="E15" i="25"/>
  <c r="D15" i="25"/>
  <c r="C15" i="25"/>
  <c r="N66" i="31"/>
  <c r="R16" i="25" l="1"/>
  <c r="O66" i="31"/>
  <c r="M67" i="31"/>
  <c r="L68" i="31"/>
  <c r="J69" i="31"/>
  <c r="K69" i="31" s="1"/>
  <c r="M16" i="25"/>
  <c r="O16" i="25"/>
  <c r="Q16" i="25"/>
  <c r="N16" i="25"/>
  <c r="P16" i="25"/>
  <c r="L16" i="25"/>
  <c r="K16" i="25"/>
  <c r="J16" i="25"/>
  <c r="I16" i="25"/>
  <c r="H16" i="25"/>
  <c r="B17" i="25"/>
  <c r="G16" i="25"/>
  <c r="P66" i="31"/>
  <c r="E16" i="25"/>
  <c r="D16" i="25"/>
  <c r="C16" i="25"/>
  <c r="N67" i="31"/>
  <c r="R17" i="25" l="1"/>
  <c r="O67" i="31"/>
  <c r="M68" i="31"/>
  <c r="L69" i="31"/>
  <c r="J70" i="31"/>
  <c r="K70" i="31" s="1"/>
  <c r="M17" i="25"/>
  <c r="N17" i="25"/>
  <c r="O17" i="25"/>
  <c r="P17" i="25"/>
  <c r="Q17" i="25"/>
  <c r="J17" i="25"/>
  <c r="K17" i="25"/>
  <c r="L17" i="25"/>
  <c r="E17" i="25"/>
  <c r="C17" i="25"/>
  <c r="D17" i="25"/>
  <c r="B18" i="25"/>
  <c r="I17" i="25"/>
  <c r="H17" i="25"/>
  <c r="P67" i="31"/>
  <c r="N68" i="31"/>
  <c r="R18" i="25" l="1"/>
  <c r="O68" i="31"/>
  <c r="M69" i="31"/>
  <c r="L70" i="31"/>
  <c r="J71" i="31"/>
  <c r="K71" i="31" s="1"/>
  <c r="O18" i="25"/>
  <c r="N18" i="25"/>
  <c r="Q18" i="25"/>
  <c r="P18" i="25"/>
  <c r="M18" i="25"/>
  <c r="J18" i="25"/>
  <c r="K18" i="25"/>
  <c r="L18" i="25"/>
  <c r="C18" i="25"/>
  <c r="E18" i="25"/>
  <c r="I18" i="25"/>
  <c r="G18" i="25"/>
  <c r="B19" i="25"/>
  <c r="H18" i="25"/>
  <c r="D18" i="25"/>
  <c r="P68" i="31"/>
  <c r="N69" i="31"/>
  <c r="R19" i="25" l="1"/>
  <c r="O69" i="31"/>
  <c r="M70" i="31"/>
  <c r="L71" i="31"/>
  <c r="J72" i="31"/>
  <c r="K72" i="31" s="1"/>
  <c r="M19" i="25"/>
  <c r="N19" i="25"/>
  <c r="P19" i="25"/>
  <c r="Q19" i="25"/>
  <c r="O19" i="25"/>
  <c r="K19" i="25"/>
  <c r="J19" i="25"/>
  <c r="L19" i="25"/>
  <c r="B20" i="25"/>
  <c r="C19" i="25"/>
  <c r="E19" i="25"/>
  <c r="I19" i="25"/>
  <c r="H19" i="25"/>
  <c r="D19" i="25"/>
  <c r="P69" i="31"/>
  <c r="N70" i="31"/>
  <c r="R20" i="25" l="1"/>
  <c r="O70" i="31"/>
  <c r="M71" i="31"/>
  <c r="L72" i="31"/>
  <c r="J73" i="31"/>
  <c r="K73" i="31" s="1"/>
  <c r="Q20" i="25"/>
  <c r="O20" i="25"/>
  <c r="N20" i="25"/>
  <c r="M20" i="25"/>
  <c r="P20" i="25"/>
  <c r="L20" i="25"/>
  <c r="J20" i="25"/>
  <c r="K20" i="25"/>
  <c r="D20" i="25"/>
  <c r="E20" i="25"/>
  <c r="G20" i="25"/>
  <c r="C20" i="25"/>
  <c r="I20" i="25"/>
  <c r="H20" i="25"/>
  <c r="B21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B22" i="25"/>
  <c r="E21" i="25"/>
  <c r="H21" i="25"/>
  <c r="C21" i="25"/>
  <c r="D21" i="25"/>
  <c r="I21" i="25"/>
  <c r="P71" i="31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J22" i="25"/>
  <c r="C22" i="25"/>
  <c r="B23" i="25"/>
  <c r="E22" i="25"/>
  <c r="D22" i="25"/>
  <c r="G22" i="25"/>
  <c r="H22" i="25"/>
  <c r="I22" i="25"/>
  <c r="P72" i="31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L23" i="25"/>
  <c r="J23" i="25"/>
  <c r="B24" i="25"/>
  <c r="D23" i="25"/>
  <c r="C23" i="25"/>
  <c r="E23" i="25"/>
  <c r="H23" i="25"/>
  <c r="I23" i="25"/>
  <c r="P73" i="31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L24" i="25"/>
  <c r="J24" i="25"/>
  <c r="K24" i="25"/>
  <c r="D24" i="25"/>
  <c r="E24" i="25"/>
  <c r="I24" i="25"/>
  <c r="C24" i="25"/>
  <c r="B25" i="25"/>
  <c r="H24" i="25"/>
  <c r="P74" i="31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J25" i="25"/>
  <c r="K25" i="25"/>
  <c r="L25" i="25"/>
  <c r="E25" i="25"/>
  <c r="G25" i="25"/>
  <c r="D25" i="25"/>
  <c r="I25" i="25"/>
  <c r="H25" i="25"/>
  <c r="B26" i="25"/>
  <c r="P75" i="31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L26" i="25"/>
  <c r="J26" i="25"/>
  <c r="K26" i="25"/>
  <c r="D26" i="25"/>
  <c r="B27" i="25"/>
  <c r="I26" i="25"/>
  <c r="E26" i="25"/>
  <c r="H26" i="25"/>
  <c r="P76" i="31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J27" i="25"/>
  <c r="L27" i="25"/>
  <c r="K27" i="25"/>
  <c r="B28" i="25"/>
  <c r="E27" i="25"/>
  <c r="H27" i="25"/>
  <c r="D27" i="25"/>
  <c r="I27" i="25"/>
  <c r="P77" i="31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J28" i="25"/>
  <c r="K28" i="25"/>
  <c r="E28" i="25"/>
  <c r="H28" i="25"/>
  <c r="B29" i="25"/>
  <c r="I28" i="25"/>
  <c r="D28" i="25"/>
  <c r="P78" i="31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K29" i="25"/>
  <c r="L29" i="25"/>
  <c r="J29" i="25"/>
  <c r="D29" i="25"/>
  <c r="C29" i="25"/>
  <c r="B30" i="25"/>
  <c r="I29" i="25"/>
  <c r="H29" i="25"/>
  <c r="E29" i="25"/>
  <c r="P79" i="31"/>
  <c r="N80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D30" i="25"/>
  <c r="C30" i="25"/>
  <c r="H30" i="25"/>
  <c r="E30" i="25"/>
  <c r="I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J31" i="25"/>
  <c r="O31" i="25"/>
  <c r="C31" i="25"/>
  <c r="B32" i="25"/>
  <c r="E31" i="25"/>
  <c r="H31" i="25"/>
  <c r="I31" i="25"/>
  <c r="D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B33" i="25"/>
  <c r="I32" i="25"/>
  <c r="E32" i="25"/>
  <c r="D32" i="25"/>
  <c r="H32" i="25"/>
  <c r="C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B34" i="25"/>
  <c r="D33" i="25"/>
  <c r="C25" i="25"/>
  <c r="H33" i="25"/>
  <c r="I33" i="25"/>
  <c r="C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I34" i="25"/>
  <c r="H34" i="25"/>
  <c r="C34" i="25"/>
  <c r="D34" i="25"/>
  <c r="B35" i="25"/>
  <c r="E34" i="25"/>
  <c r="C26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L35" i="25"/>
  <c r="J35" i="25"/>
  <c r="N35" i="25"/>
  <c r="Q35" i="25"/>
  <c r="O35" i="25"/>
  <c r="K35" i="25"/>
  <c r="B36" i="25"/>
  <c r="E35" i="25"/>
  <c r="C35" i="25"/>
  <c r="D35" i="25"/>
  <c r="C28" i="25"/>
  <c r="C27" i="25"/>
  <c r="P85" i="31"/>
  <c r="N86" i="31"/>
  <c r="R36" i="25" l="1"/>
  <c r="O86" i="31"/>
  <c r="M87" i="31"/>
  <c r="L88" i="31"/>
  <c r="J89" i="31"/>
  <c r="K89" i="31" s="1"/>
  <c r="O36" i="25"/>
  <c r="K36" i="25"/>
  <c r="N36" i="25"/>
  <c r="L36" i="25"/>
  <c r="H36" i="25"/>
  <c r="P36" i="25"/>
  <c r="Q36" i="25"/>
  <c r="I36" i="25"/>
  <c r="M36" i="25"/>
  <c r="J36" i="25"/>
  <c r="D36" i="25"/>
  <c r="B37" i="25"/>
  <c r="E36" i="25"/>
  <c r="C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I37" i="25"/>
  <c r="K37" i="25"/>
  <c r="P37" i="25"/>
  <c r="C37" i="25"/>
  <c r="B38" i="25"/>
  <c r="D37" i="25"/>
  <c r="E37" i="25"/>
  <c r="P87" i="31"/>
  <c r="N88" i="31"/>
  <c r="R38" i="25" l="1"/>
  <c r="O88" i="31"/>
  <c r="M89" i="31"/>
  <c r="L90" i="31"/>
  <c r="J91" i="31"/>
  <c r="K91" i="31" s="1"/>
  <c r="H38" i="25"/>
  <c r="N38" i="25"/>
  <c r="J38" i="25"/>
  <c r="Q38" i="25"/>
  <c r="K38" i="25"/>
  <c r="P38" i="25"/>
  <c r="O38" i="25"/>
  <c r="I38" i="25"/>
  <c r="M38" i="25"/>
  <c r="L38" i="25"/>
  <c r="C38" i="25"/>
  <c r="B39" i="25"/>
  <c r="D38" i="25"/>
  <c r="E38" i="25"/>
  <c r="P88" i="31"/>
  <c r="N89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N96" i="31"/>
  <c r="P95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N98" i="31"/>
  <c r="P97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N106" i="31"/>
  <c r="P105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N110" i="31"/>
  <c r="P109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N129" i="31"/>
  <c r="P128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N139" i="31"/>
  <c r="P138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N185" i="31"/>
  <c r="P184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N191" i="31"/>
  <c r="P190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N209" i="31"/>
  <c r="P208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N214" i="31"/>
  <c r="P213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N218" i="31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4" i="25"/>
  <c r="G15" i="25"/>
  <c r="G13" i="25"/>
  <c r="G11" i="25"/>
  <c r="F11" i="25"/>
  <c r="G12" i="25"/>
  <c r="P500" i="31"/>
  <c r="N501" i="31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40" i="25"/>
  <c r="F44" i="25"/>
  <c r="G44" i="25"/>
  <c r="G46" i="25"/>
  <c r="G45" i="25"/>
  <c r="F46" i="25"/>
  <c r="F45" i="25"/>
  <c r="F47" i="25"/>
  <c r="G41" i="25"/>
  <c r="G39" i="25"/>
  <c r="F48" i="25"/>
  <c r="F43" i="25"/>
  <c r="F39" i="25"/>
  <c r="G42" i="25"/>
  <c r="F42" i="25"/>
  <c r="G48" i="25"/>
  <c r="F41" i="25"/>
  <c r="F40" i="25"/>
  <c r="G47" i="25"/>
  <c r="G43" i="25"/>
  <c r="F38" i="25"/>
  <c r="G38" i="25"/>
  <c r="G37" i="25"/>
  <c r="F37" i="25"/>
  <c r="F35" i="25"/>
  <c r="G34" i="25"/>
  <c r="F36" i="25"/>
  <c r="G35" i="25"/>
  <c r="F34" i="25"/>
  <c r="G36" i="25"/>
  <c r="F33" i="25"/>
  <c r="G23" i="25"/>
  <c r="G30" i="25"/>
  <c r="F31" i="25"/>
  <c r="G21" i="25"/>
  <c r="F23" i="25"/>
  <c r="F17" i="25"/>
  <c r="G29" i="25"/>
  <c r="F20" i="25"/>
  <c r="F18" i="25"/>
  <c r="F22" i="25"/>
  <c r="G17" i="25"/>
  <c r="F28" i="25"/>
  <c r="G26" i="25"/>
  <c r="G27" i="25"/>
  <c r="F21" i="25"/>
  <c r="G31" i="25"/>
  <c r="G32" i="25"/>
  <c r="F32" i="25"/>
  <c r="F30" i="25"/>
  <c r="F29" i="25"/>
  <c r="G33" i="25"/>
  <c r="G28" i="25"/>
  <c r="G24" i="25"/>
  <c r="G19" i="25"/>
  <c r="F19" i="25"/>
  <c r="F14" i="25"/>
  <c r="F12" i="25"/>
  <c r="F16" i="25"/>
  <c r="F15" i="25"/>
  <c r="P501" i="31"/>
  <c r="F13" i="25"/>
  <c r="F10" i="25"/>
  <c r="F9" i="25"/>
  <c r="R19" i="27" l="1"/>
  <c r="F24" i="25"/>
  <c r="F27" i="25"/>
  <c r="F26" i="25"/>
  <c r="F25" i="25"/>
</calcChain>
</file>

<file path=xl/sharedStrings.xml><?xml version="1.0" encoding="utf-8"?>
<sst xmlns="http://schemas.openxmlformats.org/spreadsheetml/2006/main" count="2224" uniqueCount="1135">
  <si>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</si>
  <si>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</si>
  <si>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</si>
  <si>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</si>
  <si>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</si>
  <si>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</si>
  <si>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</si>
  <si>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</si>
  <si>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</si>
  <si>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</si>
  <si>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</si>
  <si>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</si>
  <si>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</si>
  <si>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</si>
  <si>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</si>
  <si>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</si>
  <si>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</si>
  <si>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</si>
  <si>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</si>
  <si>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</si>
  <si>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</si>
  <si>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</si>
  <si>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</si>
  <si>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</si>
  <si>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</si>
  <si>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</si>
  <si>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</si>
  <si>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</si>
  <si>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</si>
  <si>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</si>
  <si>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</si>
  <si>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</si>
  <si>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</si>
  <si>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</si>
  <si>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</si>
  <si>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</si>
  <si>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</si>
  <si>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</si>
  <si>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</si>
  <si>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</si>
  <si>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</si>
  <si>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</si>
  <si>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</si>
  <si>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</si>
  <si>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</si>
  <si>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</si>
  <si>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</si>
  <si>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</si>
  <si>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</si>
  <si>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</si>
  <si>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</si>
  <si>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</si>
  <si>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</si>
  <si>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</si>
  <si>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</si>
  <si>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</si>
  <si>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</si>
  <si>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</si>
  <si>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</si>
  <si>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</si>
  <si>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</si>
  <si>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</si>
  <si>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</si>
  <si>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</si>
  <si>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</si>
  <si>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</si>
  <si>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</si>
  <si>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</si>
  <si>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</si>
  <si>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</si>
  <si>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</si>
  <si>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</si>
  <si>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</si>
  <si>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</si>
  <si>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</si>
  <si>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</si>
  <si>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</si>
  <si>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</si>
  <si>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</si>
  <si>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</si>
  <si>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</si>
  <si>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</si>
  <si>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</si>
  <si>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</si>
  <si>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</si>
  <si>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</si>
  <si>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</si>
  <si>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</si>
  <si>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</si>
  <si>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</si>
  <si>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</si>
  <si>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</si>
  <si>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</si>
  <si>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</si>
  <si>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</si>
  <si>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</si>
  <si>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</si>
  <si>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</si>
  <si>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</si>
  <si>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</si>
  <si>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</si>
  <si>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</si>
  <si>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</si>
  <si>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</si>
  <si>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</si>
  <si>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</si>
  <si>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</si>
  <si>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</si>
  <si>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</si>
  <si>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</si>
  <si>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</si>
  <si>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</si>
  <si>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</si>
  <si>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</si>
  <si>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</si>
  <si>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</si>
  <si>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</si>
  <si>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</si>
  <si>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</si>
  <si>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</si>
  <si>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</si>
  <si>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</si>
  <si>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</si>
  <si>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</si>
  <si>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</si>
  <si>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</si>
  <si>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</si>
  <si>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</si>
  <si>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</si>
  <si>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</si>
  <si>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</si>
  <si>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</si>
  <si>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</si>
  <si>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</si>
  <si>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</si>
  <si>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</si>
  <si>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</si>
  <si>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</si>
  <si>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</si>
  <si>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</si>
  <si>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</si>
  <si>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</si>
  <si>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</si>
  <si>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</si>
  <si>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</si>
  <si>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</si>
  <si>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</si>
  <si>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</si>
  <si>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</si>
  <si>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</si>
  <si>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</si>
  <si>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</si>
  <si>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</si>
  <si>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</si>
  <si>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</si>
  <si>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</si>
  <si>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</si>
  <si>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</si>
  <si>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</si>
  <si>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</si>
  <si>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</si>
  <si>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</si>
  <si>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</si>
  <si>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</si>
  <si>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</si>
  <si>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</si>
  <si>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</si>
  <si>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</si>
  <si>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</si>
  <si>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</si>
  <si>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</si>
  <si>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</si>
  <si>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</si>
  <si>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</si>
  <si>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</si>
  <si>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</si>
  <si>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</si>
  <si>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</si>
  <si>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</si>
  <si>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</si>
  <si>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</si>
  <si>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</si>
  <si>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</si>
  <si>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</si>
  <si>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</si>
  <si>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</si>
  <si>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</si>
  <si>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</si>
  <si>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</si>
  <si>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</si>
  <si>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</si>
  <si>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</si>
  <si>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</si>
  <si>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</si>
  <si>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</si>
  <si>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</si>
  <si>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</si>
  <si>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</si>
  <si>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</si>
  <si>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</si>
  <si>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</si>
  <si>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</si>
  <si>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</si>
  <si>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</si>
  <si>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</si>
  <si>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</si>
  <si>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</si>
  <si>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</si>
  <si>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</si>
  <si>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</si>
  <si>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</si>
  <si>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</si>
  <si>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</si>
  <si>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</si>
  <si>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</si>
  <si>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</si>
  <si>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</si>
  <si>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</si>
  <si>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</si>
  <si>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</si>
  <si>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</si>
  <si>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</si>
  <si>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</si>
  <si>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</si>
  <si>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</si>
  <si>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</si>
  <si>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</si>
  <si>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</si>
  <si>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</si>
  <si>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</si>
  <si>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</si>
  <si>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</si>
  <si>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</si>
  <si>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</si>
  <si>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</si>
  <si>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</si>
  <si>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</si>
  <si>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</si>
  <si>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</si>
  <si>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</si>
  <si>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</si>
  <si>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</si>
  <si>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</si>
  <si>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</si>
  <si>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</si>
  <si>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</si>
  <si>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</si>
  <si>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</si>
  <si>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</si>
  <si>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</si>
  <si>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</si>
  <si>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</si>
  <si>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</si>
  <si>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</si>
  <si>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</si>
  <si>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</si>
  <si>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</si>
  <si>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</si>
  <si>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</si>
  <si>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</si>
  <si>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</si>
  <si>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</si>
  <si>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</si>
  <si>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</si>
  <si>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</si>
  <si>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</si>
  <si>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</si>
  <si>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</si>
  <si>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</si>
  <si>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</si>
  <si>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</si>
  <si>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</si>
  <si>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</si>
  <si>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</si>
  <si>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</si>
  <si>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</si>
  <si>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</si>
  <si>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</si>
  <si>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</si>
  <si>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</si>
  <si>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</si>
  <si>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</si>
  <si>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</si>
  <si>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</si>
  <si>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</si>
  <si>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</si>
  <si>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</si>
  <si>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</si>
  <si>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</si>
  <si>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</si>
  <si>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</si>
  <si>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</si>
  <si>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</si>
  <si>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</si>
  <si>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</si>
  <si>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</si>
  <si>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</si>
  <si>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</si>
  <si>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</si>
  <si>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</si>
  <si>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</si>
  <si>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</si>
  <si>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</si>
  <si>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</si>
  <si>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</si>
  <si>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</si>
  <si>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</si>
  <si>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</si>
  <si>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</si>
  <si>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</si>
  <si>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</si>
  <si>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</si>
  <si>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</si>
  <si>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</si>
  <si>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</si>
  <si>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</si>
  <si>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</si>
  <si>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</si>
  <si>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</si>
  <si>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</si>
  <si>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</si>
  <si>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</si>
  <si>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</si>
  <si>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</si>
  <si>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</si>
  <si>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</si>
  <si>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</si>
  <si>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</si>
  <si>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</si>
  <si>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</si>
  <si>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</si>
  <si>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</si>
  <si>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</si>
  <si>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</si>
  <si>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</si>
  <si>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</si>
  <si>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</si>
  <si>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</si>
  <si>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</si>
  <si>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</si>
  <si>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</si>
  <si>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</si>
  <si>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</si>
  <si>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</si>
  <si>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</si>
  <si>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</si>
  <si>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</si>
  <si>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</si>
  <si>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</si>
  <si>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</si>
  <si>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</si>
  <si>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</si>
  <si>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</si>
  <si>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</si>
  <si>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</si>
  <si>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</si>
  <si>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</si>
  <si>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</si>
  <si>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</si>
  <si>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</si>
  <si>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</si>
  <si>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</si>
  <si>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</si>
  <si>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</si>
  <si>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</si>
  <si>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</si>
  <si>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</si>
  <si>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</si>
  <si>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</si>
  <si>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</si>
  <si>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</si>
  <si>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</si>
  <si>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</si>
  <si>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</si>
  <si>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</si>
  <si>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</si>
  <si>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</si>
  <si>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</si>
  <si>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</si>
  <si>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</si>
  <si>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</si>
  <si>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</si>
  <si>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</si>
  <si>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</si>
  <si>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</si>
  <si>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</si>
  <si>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</si>
  <si>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</si>
  <si>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</si>
  <si>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</si>
  <si>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</si>
  <si>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</si>
  <si>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</si>
  <si>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</si>
  <si>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</si>
  <si>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</si>
  <si>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</si>
  <si>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</si>
  <si>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</si>
  <si>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</si>
  <si>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</si>
  <si>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</si>
  <si>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</si>
  <si>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</si>
  <si>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</si>
  <si>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</si>
  <si>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</si>
  <si>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</si>
  <si>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</si>
  <si>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</si>
  <si>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</si>
  <si>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</si>
  <si>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</si>
  <si>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</si>
  <si>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</si>
  <si>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</si>
  <si>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</si>
  <si>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</si>
  <si>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</si>
  <si>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</si>
  <si>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</si>
  <si>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</si>
  <si>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</si>
  <si>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</si>
  <si>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</si>
  <si>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</si>
  <si>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</si>
  <si>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</si>
  <si>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</si>
  <si>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</si>
  <si>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</si>
  <si>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</si>
  <si>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</si>
  <si>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</si>
  <si>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</si>
  <si>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</si>
  <si>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</si>
  <si>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</si>
  <si>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</si>
  <si>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</si>
  <si>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</si>
  <si>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</si>
  <si>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</si>
  <si>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</si>
  <si>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</si>
  <si>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</si>
  <si>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</si>
  <si>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</si>
  <si>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</si>
  <si>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</si>
  <si>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</si>
  <si>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</si>
  <si>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</si>
  <si>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</si>
  <si>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</si>
  <si>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</si>
  <si>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</si>
  <si>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</si>
  <si>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</si>
  <si>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</si>
  <si>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</si>
  <si>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</si>
  <si>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</si>
  <si>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</si>
  <si>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</si>
  <si>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</si>
  <si>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</si>
  <si>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</si>
  <si>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</si>
  <si>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</si>
  <si>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</si>
  <si>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</si>
  <si>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</si>
  <si>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</si>
  <si>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</si>
  <si>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</si>
  <si>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</si>
  <si>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</si>
  <si>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</si>
  <si>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</si>
  <si>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</si>
  <si>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</si>
  <si>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</si>
  <si>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</si>
  <si>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</si>
  <si>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</si>
  <si>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</si>
  <si>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</si>
  <si>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</si>
  <si>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</si>
  <si>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</si>
  <si>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</si>
  <si>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</si>
  <si>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</si>
  <si>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</si>
  <si>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</si>
  <si>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</si>
  <si>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</si>
  <si>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</si>
  <si>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</si>
  <si>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</si>
  <si>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</si>
  <si>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</si>
  <si>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</si>
  <si>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</si>
  <si>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</si>
  <si>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</si>
  <si>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</si>
  <si>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</si>
  <si>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</si>
  <si>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</si>
  <si>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</si>
  <si>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</si>
  <si>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</si>
  <si>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</si>
  <si>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</si>
  <si>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</si>
  <si>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</si>
  <si>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</si>
  <si>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</si>
  <si>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</si>
  <si>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</si>
  <si>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</si>
  <si>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</si>
  <si>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</si>
  <si>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</si>
  <si>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</si>
  <si>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</si>
  <si>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</si>
  <si>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</si>
  <si>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</si>
  <si>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</si>
  <si>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</si>
  <si>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</si>
  <si>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</si>
  <si>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</si>
  <si>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</si>
  <si>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</si>
  <si>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</si>
  <si>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</si>
  <si>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</si>
  <si>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</si>
  <si>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</si>
  <si>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</si>
  <si>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</si>
  <si>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</si>
  <si>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</si>
  <si>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</si>
  <si>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</si>
  <si>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</si>
  <si>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</si>
  <si>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</si>
  <si>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</si>
  <si>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</si>
  <si>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</si>
  <si>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</si>
  <si>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</si>
  <si>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</si>
  <si>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</si>
  <si>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</si>
  <si>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</si>
  <si>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</si>
  <si>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</si>
  <si>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</si>
  <si>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</si>
  <si>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</si>
  <si>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</si>
  <si>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</si>
  <si>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</si>
  <si>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</si>
  <si>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</si>
  <si>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</si>
  <si>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</si>
  <si>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</si>
  <si>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</si>
  <si>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</si>
  <si>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</si>
  <si>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</si>
  <si>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</si>
  <si>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</si>
  <si>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</si>
  <si>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</si>
  <si>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</si>
  <si>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</si>
  <si>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</si>
  <si>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</si>
  <si>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</si>
  <si>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</si>
  <si>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</si>
  <si>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</si>
  <si>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</si>
  <si>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</si>
  <si>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</si>
  <si>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</si>
  <si>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</si>
  <si>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</si>
  <si>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</si>
  <si>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</si>
  <si>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</si>
  <si>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</si>
  <si>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</si>
  <si>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</si>
  <si>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</si>
  <si>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</si>
  <si>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</si>
  <si>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</si>
  <si>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</si>
  <si>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</si>
  <si>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</si>
  <si>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</si>
  <si>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</si>
  <si>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</si>
  <si>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</si>
  <si>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</si>
  <si>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</si>
  <si>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</si>
  <si>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</si>
  <si>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</si>
  <si>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</si>
  <si>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</si>
  <si>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</si>
  <si>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</si>
  <si>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</si>
  <si>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</si>
  <si>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</si>
  <si>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</si>
  <si>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</si>
  <si>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</si>
  <si>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</si>
  <si>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</si>
  <si>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</si>
  <si>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</si>
  <si>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</si>
  <si>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</si>
  <si>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</si>
  <si>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</si>
  <si>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</si>
  <si>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</si>
  <si>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</si>
  <si>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</si>
  <si>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</si>
  <si>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</si>
  <si>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</si>
  <si>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</si>
  <si>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</si>
  <si>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</si>
  <si>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</si>
  <si>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</si>
  <si>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</si>
  <si>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</si>
  <si>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</si>
  <si>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</si>
  <si>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</si>
  <si>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</si>
  <si>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</si>
  <si>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</si>
  <si>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</si>
  <si>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</si>
  <si>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</si>
  <si>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</si>
  <si>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</si>
  <si>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</si>
  <si>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</si>
  <si>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</si>
  <si>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</si>
  <si>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</si>
  <si>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</si>
  <si>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</si>
  <si>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</si>
  <si>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</si>
  <si>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</si>
  <si>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</si>
  <si>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</si>
  <si>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</si>
  <si>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</si>
  <si>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</si>
  <si>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</si>
  <si>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</si>
  <si>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</si>
  <si>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</si>
  <si>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</si>
  <si>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</si>
  <si>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</si>
  <si>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</si>
  <si>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</si>
  <si>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</si>
  <si>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</si>
  <si>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</si>
  <si>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</si>
  <si>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</si>
  <si>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</si>
  <si>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</si>
  <si>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</si>
  <si>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</si>
  <si>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</si>
  <si>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</si>
  <si>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</si>
  <si>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</si>
  <si>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</si>
  <si>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</si>
  <si>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</si>
  <si>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</si>
  <si>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</si>
  <si>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</si>
  <si>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</si>
  <si>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</si>
  <si>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</si>
  <si>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</si>
  <si>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</si>
  <si>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</si>
  <si>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</si>
  <si>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</si>
  <si>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</si>
  <si>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</si>
  <si>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</si>
  <si>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</si>
  <si>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</si>
  <si>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</si>
  <si>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</si>
  <si>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</si>
  <si>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</si>
  <si>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</si>
  <si>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</si>
  <si>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</si>
  <si>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</si>
  <si>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</si>
  <si>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</si>
  <si>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</si>
  <si>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</si>
  <si>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</si>
  <si>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</si>
  <si>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</si>
  <si>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</si>
  <si>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</si>
  <si>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</si>
  <si>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</si>
  <si>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</si>
  <si>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</si>
  <si>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</si>
  <si>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</si>
  <si>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</si>
  <si>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</si>
  <si>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</si>
  <si>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</si>
  <si>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</si>
  <si>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</si>
  <si>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</si>
  <si>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</si>
  <si>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</si>
  <si>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</si>
  <si>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</si>
  <si>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</si>
  <si>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</si>
  <si>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</si>
  <si>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</si>
  <si>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</si>
  <si>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</si>
  <si>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</si>
  <si>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</si>
  <si>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</si>
  <si>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</si>
  <si>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</si>
  <si>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</si>
  <si>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</si>
  <si>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</si>
  <si>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</si>
  <si>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</si>
  <si>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</si>
  <si>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</si>
  <si>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</si>
  <si>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</si>
  <si>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</si>
  <si>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</si>
  <si>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</si>
  <si>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</si>
  <si>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</si>
  <si>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</si>
  <si>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</si>
  <si>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</si>
  <si>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</si>
  <si>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</si>
  <si>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</si>
  <si>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</si>
  <si>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</si>
  <si>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</si>
  <si>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</si>
  <si>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</si>
  <si>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</si>
  <si>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</si>
  <si>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</si>
  <si>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</si>
  <si>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</si>
  <si>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</si>
  <si>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</si>
  <si>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</si>
  <si>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</si>
  <si>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</si>
  <si>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</si>
  <si>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</si>
  <si>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</si>
  <si>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</si>
  <si>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</si>
  <si>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</si>
  <si>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</si>
  <si>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</si>
  <si>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</si>
  <si>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</si>
  <si>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</si>
  <si>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</si>
  <si>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</si>
  <si>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</si>
  <si>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</si>
  <si>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</si>
  <si>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</si>
  <si>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</si>
  <si>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</si>
  <si>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</si>
  <si>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</si>
  <si>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</si>
  <si>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</si>
  <si>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</si>
  <si>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</si>
  <si>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</si>
  <si>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</si>
  <si>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</si>
  <si>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</si>
  <si>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</si>
  <si>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</si>
  <si>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</si>
  <si>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</si>
  <si>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</si>
  <si>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</si>
  <si>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</si>
  <si>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</si>
  <si>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</si>
  <si>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</si>
  <si>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</si>
  <si>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</si>
  <si>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</si>
  <si>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</si>
  <si>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</si>
  <si>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</si>
  <si>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</si>
  <si>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default('Description')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</si>
  <si>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</si>
  <si>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</si>
  <si>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</si>
  <si>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</si>
  <si>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</si>
  <si>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</si>
  <si>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</si>
  <si>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</si>
  <si>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</si>
  <si>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</si>
  <si>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</si>
  <si>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</si>
  <si>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</si>
  <si>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</si>
  <si>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</si>
  <si>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</si>
  <si>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</si>
  <si>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</si>
  <si>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</si>
  <si>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</si>
  <si>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</si>
  <si>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</si>
  <si>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</si>
  <si>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</si>
  <si>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</si>
  <si>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</si>
  <si>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</si>
  <si>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</si>
  <si>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</si>
  <si>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</si>
  <si>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</si>
  <si>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</si>
  <si>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</si>
  <si>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</si>
  <si>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</si>
  <si>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</si>
  <si>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</si>
  <si>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</si>
  <si>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</si>
  <si>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</si>
  <si>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</si>
  <si>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</si>
  <si>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</si>
  <si>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</si>
  <si>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</si>
  <si>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</si>
  <si>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</si>
  <si>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</si>
  <si>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</si>
  <si>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</si>
  <si>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</si>
  <si>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</si>
  <si>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</si>
  <si>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</si>
  <si>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</si>
  <si>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</si>
  <si>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</si>
  <si>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</si>
  <si>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</si>
  <si>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</si>
  <si>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</si>
  <si>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</si>
  <si>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</si>
  <si>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</si>
  <si>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</si>
  <si>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</si>
  <si>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</si>
  <si>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</si>
  <si>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</si>
  <si>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</si>
  <si>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</si>
  <si>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</si>
  <si>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</si>
  <si>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</si>
  <si>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</si>
  <si>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</si>
  <si>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</si>
  <si>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</si>
  <si>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</si>
  <si>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</si>
  <si>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</si>
  <si>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</si>
  <si>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</si>
  <si>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</si>
  <si>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</si>
  <si>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</si>
  <si>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</si>
  <si>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</si>
  <si>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</si>
  <si>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</si>
  <si>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</si>
  <si>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</si>
  <si>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</si>
  <si>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</si>
  <si>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</si>
  <si>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</si>
  <si>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</si>
  <si>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</si>
  <si>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</si>
  <si>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</si>
  <si>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</si>
  <si>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</si>
  <si>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</si>
  <si>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</si>
  <si>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</si>
  <si>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</si>
  <si>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</si>
  <si>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</si>
  <si>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</si>
  <si>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</si>
  <si>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</si>
  <si>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</si>
  <si>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</si>
  <si>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</si>
  <si>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</si>
  <si>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</si>
  <si>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</si>
  <si>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</si>
  <si>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</si>
  <si>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</si>
  <si>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</si>
  <si>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</si>
  <si>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</si>
  <si>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</si>
  <si>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</si>
  <si>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</si>
  <si>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Returnable</t>
  </si>
  <si>
    <t>Dismissable</t>
  </si>
  <si>
    <t>Editable</t>
  </si>
  <si>
    <t>Completion Type</t>
  </si>
  <si>
    <t>Assign To</t>
  </si>
  <si>
    <t>Task/CreateTask/returnable</t>
  </si>
  <si>
    <t>Task/CreateTask/dismissable</t>
  </si>
  <si>
    <t>Task/CreateTask/editable</t>
  </si>
  <si>
    <t>Task/CreateTask/completion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</si>
  <si>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</si>
  <si>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</si>
  <si>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</si>
  <si>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</si>
  <si>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</si>
  <si>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</si>
  <si>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</si>
  <si>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</si>
  <si>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</si>
  <si>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</si>
  <si>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</si>
  <si>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</si>
  <si>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</si>
  <si>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</si>
  <si>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</si>
  <si>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</si>
  <si>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</si>
  <si>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</si>
  <si>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</si>
  <si>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</si>
  <si>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</si>
  <si>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</si>
  <si>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</si>
  <si>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</si>
  <si>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</si>
  <si>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</si>
  <si>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</si>
  <si>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</si>
  <si>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</si>
  <si>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</si>
  <si>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</si>
  <si>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</si>
  <si>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</si>
  <si>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</si>
  <si>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</si>
  <si>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</si>
  <si>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</si>
  <si>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</si>
  <si>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</si>
  <si>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</si>
  <si>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</si>
  <si>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</si>
  <si>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</si>
  <si>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</si>
  <si>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</si>
  <si>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</si>
  <si>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</si>
  <si>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</si>
  <si>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</si>
  <si>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</si>
  <si>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</si>
  <si>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</si>
  <si>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</si>
  <si>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</si>
  <si>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</si>
  <si>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</si>
  <si>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</si>
  <si>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</si>
  <si>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</si>
  <si>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</si>
  <si>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</si>
  <si>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</si>
  <si>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</si>
  <si>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</si>
  <si>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</si>
  <si>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</si>
  <si>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</si>
  <si>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</si>
  <si>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</si>
  <si>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</si>
  <si>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</si>
  <si>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PartnerTask/TaskCompleteAttachment/attachment1</t>
  </si>
  <si>
    <t>Need atleast one attachment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</si>
  <si>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</si>
  <si>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</si>
  <si>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</si>
  <si>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</si>
  <si>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</si>
  <si>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</si>
  <si>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</si>
  <si>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</si>
  <si>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</si>
  <si>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</si>
  <si>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</si>
  <si>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</si>
  <si>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</si>
  <si>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</si>
  <si>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</si>
  <si>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</si>
  <si>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</si>
  <si>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</si>
  <si>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</si>
  <si>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</si>
  <si>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</si>
  <si>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</si>
  <si>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</si>
  <si>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</si>
  <si>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</si>
  <si>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</si>
  <si>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</si>
  <si>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</si>
  <si>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</si>
  <si>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</si>
  <si>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</si>
  <si>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</si>
  <si>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</si>
  <si>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</si>
  <si>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</si>
  <si>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</si>
  <si>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</si>
  <si>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</si>
  <si>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</si>
  <si>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</si>
  <si>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</si>
  <si>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</si>
  <si>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</si>
  <si>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</si>
  <si>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</si>
  <si>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</si>
  <si>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</si>
  <si>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</si>
  <si>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</si>
  <si>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</si>
  <si>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</si>
  <si>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</si>
  <si>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</si>
  <si>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</si>
  <si>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</si>
  <si>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</si>
  <si>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</si>
  <si>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</si>
  <si>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</si>
  <si>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</si>
  <si>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</si>
  <si>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</si>
  <si>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</si>
  <si>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</si>
  <si>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</si>
  <si>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Only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</si>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</sst>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0" fontId="1" fillId="4" borderId="0" xfId="0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0" totalsRowShown="0" dataDxfId="473">
  <autoFilter ref="A1:J50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21" totalsRowShown="0" headerRowDxfId="351" dataDxfId="350">
  <autoFilter ref="A1:AB21"/>
  <tableColumns count="28">
    <tableColumn id="10" name="Primary" dataDxfId="349">
      <calculatedColumnFormula>'Table Seed Map'!$A$34&amp;"-"&amp;(COUNTA($E$1:ResourceAction[[#This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5">
      <calculatedColumnFormula>IFERROR(VLOOKUP(ResourceAction[[#This Row],[Resource Name]],ResourceTable[[RName]:[No]],3,0),"resource")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6" name="icon" dataDxfId="339"/>
    <tableColumn id="27" name="on" dataDxfId="338"/>
    <tableColumn id="28" name="confirm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15" totalsRowShown="0" headerRowDxfId="321" dataDxfId="320">
  <autoFilter ref="AD1:AO15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Map'!$A$37&amp;"-"&amp;-1+COUNTA($AF$1:ActionListNData[[#This Row],[Resource List]])</calculatedColumnFormula>
    </tableColumn>
    <tableColumn id="10" name="List ID" dataDxfId="314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Map'!$A$38&amp;"-"&amp;-1+COUNTA($AG$1:ActionListNData[[#This Row],[Resource Data]])</calculatedColumnFormula>
    </tableColumn>
    <tableColumn id="12" name="Data ID" dataDxfId="310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07" dataDxfId="306">
  <autoFilter ref="AQ1:AV2"/>
  <tableColumns count="6">
    <tableColumn id="1" name="Action Name for Attr" dataDxfId="305"/>
    <tableColumn id="5" name="Primary" dataDxfId="304">
      <calculatedColumnFormula>'Table Seed Map'!$A$36&amp;"-"&amp;(COUNTA($AQ$2:ActionAttr[[#This Row],[Action Name for Attr]]))</calculatedColumnFormula>
    </tableColumn>
    <tableColumn id="6" name="No" dataDxfId="303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0" headerRowDxfId="286" dataDxfId="285">
  <autoFilter ref="M1:BA30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0" totalsRowShown="0" headerRowDxfId="243" dataDxfId="242">
  <autoFilter ref="BC1:BH30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2" totalsRowShown="0" headerRowDxfId="235" dataDxfId="234">
  <autoFilter ref="BJ1:BS12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3" totalsRowShown="0" dataDxfId="458">
  <autoFilter ref="A1:J23"/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2">
  <autoFilter ref="A1:K12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0" dataDxfId="119">
  <autoFilter ref="M1:AD1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8" totalsRowShown="0" headerRowDxfId="100" dataDxfId="99">
  <autoFilter ref="AF1:AR28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5" totalsRowShown="0" headerRowDxfId="85" dataDxfId="84">
  <autoFilter ref="AT1:BE25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0" dataDxfId="59">
  <autoFilter ref="L1:AC4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0" dataDxfId="39">
  <autoFilter ref="AE1:AN5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2" totalsRowShown="0" dataDxfId="447">
  <autoFilter ref="A1:K32"/>
  <tableColumns count="11">
    <tableColumn id="2" name="Table" dataDxfId="446"/>
    <tableColumn id="3" name="Field" dataDxfId="445"/>
    <tableColumn id="5" name="Type" dataDxfId="444">
      <calculatedColumnFormula>VLOOKUP(TableFields[Field],Columns[],2,0)&amp;"("</calculatedColumnFormula>
    </tableColumn>
    <tableColumn id="4" name="Name" dataDxfId="443">
      <calculatedColumnFormula>IF(VLOOKUP(TableFields[Field],Columns[],3,0)&lt;&gt;"","'"&amp;VLOOKUP(TableFields[Field],Columns[],3,0)&amp;"'","")</calculatedColumnFormula>
    </tableColumn>
    <tableColumn id="6" name="Arg2" dataDxfId="442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1">
      <calculatedColumnFormula>IF(VLOOKUP(TableFields[Field],Columns[],5,0)=0,"","-&gt;"&amp;VLOOKUP(TableFields[Field],Columns[],5,0))</calculatedColumnFormula>
    </tableColumn>
    <tableColumn id="8" name="Method2" dataDxfId="440">
      <calculatedColumnFormula>IF(VLOOKUP(TableFields[Field],Columns[],6,0)=0,"","-&gt;"&amp;VLOOKUP(TableFields[Field],Columns[],6,0))</calculatedColumnFormula>
    </tableColumn>
    <tableColumn id="9" name="Method3" dataDxfId="439">
      <calculatedColumnFormula>IF(VLOOKUP(TableFields[Field],Columns[],7,0)=0,"","-&gt;"&amp;VLOOKUP(TableFields[Field],Columns[],7,0))</calculatedColumnFormula>
    </tableColumn>
    <tableColumn id="10" name="Method4" dataDxfId="438">
      <calculatedColumnFormula>IF(VLOOKUP(TableFields[Field],Columns[],8,0)=0,"","-&gt;"&amp;VLOOKUP(TableFields[Field],Columns[],8,0))</calculatedColumnFormula>
    </tableColumn>
    <tableColumn id="11" name="Method5" dataDxfId="437">
      <calculatedColumnFormula>IF(VLOOKUP(TableFields[Field],Columns[],9,0)=0,"","-&gt;"&amp;VLOOKUP(TableFields[Field],Columns[],9,0))</calculatedColumnFormula>
    </tableColumn>
    <tableColumn id="12" name="Statement" dataDxfId="436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28" dataDxfId="27">
  <autoFilter ref="AP1:AW10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9" totalsRowShown="0" headerRowDxfId="435" dataDxfId="434">
  <autoFilter ref="A1:R19"/>
  <tableColumns count="18">
    <tableColumn id="19" name="TRCode" dataDxfId="433">
      <calculatedColumnFormula>TableData[Table Name]&amp;"-"&amp;(COUNTIF($B$1:TableData[[#This Row],[Table Name]],TableData[[#This Row],[Table Name]])-1)</calculatedColumnFormula>
    </tableColumn>
    <tableColumn id="1" name="Table Name" dataDxfId="432"/>
    <tableColumn id="2" name="Record No" dataDxfId="431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0"/>
    <tableColumn id="4" name="2" dataDxfId="429"/>
    <tableColumn id="5" name="3" dataDxfId="428"/>
    <tableColumn id="6" name="4" dataDxfId="427"/>
    <tableColumn id="7" name="5" dataDxfId="426"/>
    <tableColumn id="8" name="6" dataDxfId="425"/>
    <tableColumn id="9" name="7" dataDxfId="424"/>
    <tableColumn id="10" name="8" dataDxfId="423"/>
    <tableColumn id="11" name="9" dataDxfId="422"/>
    <tableColumn id="12" name="10" dataDxfId="421"/>
    <tableColumn id="13" name="11" dataDxfId="420"/>
    <tableColumn id="14" name="12" dataDxfId="419"/>
    <tableColumn id="15" name="13" dataDxfId="418"/>
    <tableColumn id="16" name="14" dataDxfId="417"/>
    <tableColumn id="17" name="15" dataDxfId="41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5">
  <autoFilter ref="A1:L48"/>
  <tableColumns count="12">
    <tableColumn id="1" name="Name" dataDxfId="414"/>
    <tableColumn id="3" name="Table Name" dataDxfId="413"/>
    <tableColumn id="20" name="NS" dataDxfId="412">
      <calculatedColumnFormula>VLOOKUP(SeedMap[Table Name],Tables[],4,0)</calculatedColumnFormula>
    </tableColumn>
    <tableColumn id="21" name="Model" dataDxfId="411">
      <calculatedColumnFormula>VLOOKUP(SeedMap[Table Name],Tables[],5,0)</calculatedColumnFormula>
    </tableColumn>
    <tableColumn id="6" name="Data Table" dataDxfId="410"/>
    <tableColumn id="7" name="Data Range" dataDxfId="409"/>
    <tableColumn id="8" name="Skip Columns" dataDxfId="408"/>
    <tableColumn id="4" name="Query Method" dataDxfId="407"/>
    <tableColumn id="2" name="Last ID" dataDxfId="406"/>
    <tableColumn id="5" name="AI Change Query" dataDxfId="405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4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3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7" totalsRowShown="0" dataDxfId="402">
  <autoFilter ref="A1:M7"/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/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2" totalsRowShown="0" dataDxfId="375">
  <autoFilter ref="A1:N12"/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Row],[No]]="id","resource",VLOOKUP(RelationTable[Resource],CHOOSE({1,2},ResourceTable[Name],ResourceTable[No]),2,0))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VLOOKUP(RelationTable[Relate Resource],CHOOSE({1,2},ResourceTable[Name],ResourceTable[No]),2,0)</calculatedColumnFormula>
    </tableColumn>
    <tableColumn id="9" name="RID" dataDxfId="36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0">
  <autoFilter ref="P1:W8"/>
  <tableColumns count="8">
    <tableColumn id="1" name="Primary" dataDxfId="359">
      <calculatedColumnFormula>'Table Seed Map'!$A$9&amp;"-"&amp;COUNTA($Q$1:ResourceScopes[[#This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5">
      <calculatedColumnFormula>IFERROR(VLOOKUP(ResourceScopes[[#This Row],[Resource for Scope]],CHOOSE({1,2},ResourceTable[Name],ResourceTable[No]),2,0),"resource")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B45" sqref="B4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804</v>
      </c>
      <c r="B48" s="62" t="str">
        <f>Tables[Name]</f>
        <v>group_partners</v>
      </c>
      <c r="C48" s="62" t="str">
        <f>IF(RIGHT(Tables[Name],3)="ies",MID(Tables[Name],1,LEN(Tables[Name])-3)&amp;"y",IF(RIGHT(Tables[Name],1)="s",MID(Tables[Name],1,LEN(Tables[Name])-1),Tables[Name]))</f>
        <v>group_partner</v>
      </c>
      <c r="D48" s="62" t="str">
        <f>"Milestone\Task\Model"</f>
        <v>Milestone\Task\Model</v>
      </c>
      <c r="E48" s="62" t="str">
        <f>SUBSTITUTE(PROPER(Tables[Singular Name]),"_","")</f>
        <v>GroupPartner</v>
      </c>
      <c r="F48" s="62" t="str">
        <f>"php artisan make:migration create_"&amp;Tables[Table]&amp;"_table --create="&amp;Tables[Table]</f>
        <v>php artisan make:migration create_group_partners_table --create=group_partners</v>
      </c>
      <c r="G48" s="62" t="str">
        <f>"php artisan make:model "&amp;Tables[Class Name]</f>
        <v>php artisan make:model GroupPartner</v>
      </c>
      <c r="H48" s="62" t="str">
        <f>"protected $table = '"&amp;Tables[Table]&amp;"';"</f>
        <v>protected $table = 'group_partners';</v>
      </c>
      <c r="I48" s="62" t="str">
        <f>"php artisan make:seed "&amp;Tables[Class Name]&amp;"TableSeeder"</f>
        <v>php artisan make:seed GroupPartnerTableSeeder</v>
      </c>
      <c r="J48" s="62" t="str">
        <f>Tables[Class Name]&amp;"TableSeeder"&amp;"::class,"</f>
        <v>GroupPartnerTableSeeder::class,</v>
      </c>
    </row>
    <row r="49" spans="1:10" x14ac:dyDescent="0.25">
      <c r="A49" s="63" t="s">
        <v>802</v>
      </c>
      <c r="B49" s="62" t="str">
        <f>Tables[Name]</f>
        <v>tasks</v>
      </c>
      <c r="C49" s="62" t="str">
        <f>IF(RIGHT(Tables[Name],3)="ies",MID(Tables[Name],1,LEN(Tables[Name])-3)&amp;"y",IF(RIGHT(Tables[Name],1)="s",MID(Tables[Name],1,LEN(Tables[Name])-1),Tables[Name]))</f>
        <v>task</v>
      </c>
      <c r="D49" s="62" t="str">
        <f>"Milestone\Task\Model"</f>
        <v>Milestone\Task\Model</v>
      </c>
      <c r="E49" s="62" t="str">
        <f>SUBSTITUTE(PROPER(Tables[Singular Name]),"_","")</f>
        <v>Task</v>
      </c>
      <c r="F49" s="62" t="str">
        <f>"php artisan make:migration create_"&amp;Tables[Table]&amp;"_table --create="&amp;Tables[Table]</f>
        <v>php artisan make:migration create_tasks_table --create=tasks</v>
      </c>
      <c r="G49" s="62" t="str">
        <f>"php artisan make:model "&amp;Tables[Class Name]</f>
        <v>php artisan make:model Task</v>
      </c>
      <c r="H49" s="62" t="str">
        <f>"protected $table = '"&amp;Tables[Table]&amp;"';"</f>
        <v>protected $table = 'tasks';</v>
      </c>
      <c r="I49" s="62" t="str">
        <f>"php artisan make:seed "&amp;Tables[Class Name]&amp;"TableSeeder"</f>
        <v>php artisan make:seed TaskTableSeeder</v>
      </c>
      <c r="J49" s="62" t="str">
        <f>Tables[Class Name]&amp;"TableSeeder"&amp;"::class,"</f>
        <v>TaskTableSeeder::class,</v>
      </c>
    </row>
    <row r="50" spans="1:10" x14ac:dyDescent="0.25">
      <c r="A50" s="63" t="s">
        <v>805</v>
      </c>
      <c r="B50" s="62" t="str">
        <f>Tables[Name]</f>
        <v>partner_tasks</v>
      </c>
      <c r="C50" s="62" t="str">
        <f>IF(RIGHT(Tables[Name],3)="ies",MID(Tables[Name],1,LEN(Tables[Name])-3)&amp;"y",IF(RIGHT(Tables[Name],1)="s",MID(Tables[Name],1,LEN(Tables[Name])-1),Tables[Name]))</f>
        <v>partner_task</v>
      </c>
      <c r="D50" s="62" t="str">
        <f>"Milestone\Task\Model"</f>
        <v>Milestone\Task\Model</v>
      </c>
      <c r="E50" s="62" t="str">
        <f>SUBSTITUTE(PROPER(Tables[Singular Name]),"_","")</f>
        <v>PartnerTask</v>
      </c>
      <c r="F50" s="62" t="str">
        <f>"php artisan make:migration create_"&amp;Tables[Table]&amp;"_table --create="&amp;Tables[Table]</f>
        <v>php artisan make:migration create_partner_tasks_table --create=partner_tasks</v>
      </c>
      <c r="G50" s="62" t="str">
        <f>"php artisan make:model "&amp;Tables[Class Name]</f>
        <v>php artisan make:model PartnerTask</v>
      </c>
      <c r="H50" s="62" t="str">
        <f>"protected $table = '"&amp;Tables[Table]&amp;"';"</f>
        <v>protected $table = 'partner_tasks';</v>
      </c>
      <c r="I50" s="62" t="str">
        <f>"php artisan make:seed "&amp;Tables[Class Name]&amp;"TableSeeder"</f>
        <v>php artisan make:seed PartnerTaskTableSeeder</v>
      </c>
      <c r="J50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0"/>
  <sheetViews>
    <sheetView topLeftCell="D13" workbookViewId="0">
      <selection activeCell="T26" sqref="T26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894</v>
      </c>
      <c r="H3" s="60" t="s">
        <v>895</v>
      </c>
      <c r="I3" s="62" t="s">
        <v>76</v>
      </c>
      <c r="J3" s="62" t="s">
        <v>896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897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898</v>
      </c>
      <c r="U3" s="73" t="s">
        <v>901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904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905</v>
      </c>
      <c r="BH3" s="58">
        <v>4</v>
      </c>
      <c r="BJ3" s="63" t="s">
        <v>904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942</v>
      </c>
      <c r="BP3" s="65" t="s">
        <v>936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844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917</v>
      </c>
      <c r="H4" s="60" t="s">
        <v>918</v>
      </c>
      <c r="I4" s="62" t="s">
        <v>853</v>
      </c>
      <c r="J4" s="62" t="s">
        <v>896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897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899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906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905</v>
      </c>
      <c r="BH4" s="58">
        <v>4</v>
      </c>
      <c r="BJ4" s="63" t="s">
        <v>922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942</v>
      </c>
      <c r="BP4" s="65" t="s">
        <v>936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846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800504</v>
      </c>
      <c r="G5" s="62" t="s">
        <v>954</v>
      </c>
      <c r="H5" s="60" t="s">
        <v>955</v>
      </c>
      <c r="I5" s="62" t="s">
        <v>851</v>
      </c>
      <c r="J5" s="62" t="s">
        <v>896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897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900</v>
      </c>
      <c r="U5" s="73" t="s">
        <v>902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903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907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905</v>
      </c>
      <c r="BH5" s="58">
        <v>4</v>
      </c>
      <c r="BJ5" s="63" t="s">
        <v>923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942</v>
      </c>
      <c r="BP5" s="65" t="s">
        <v>937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847</v>
      </c>
      <c r="E6" s="15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800505</v>
      </c>
      <c r="G6" s="6" t="s">
        <v>1022</v>
      </c>
      <c r="H6" s="15" t="s">
        <v>1023</v>
      </c>
      <c r="I6" s="6" t="s">
        <v>1024</v>
      </c>
      <c r="J6" s="6" t="s">
        <v>1024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919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898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922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905</v>
      </c>
      <c r="BH6" s="58">
        <v>4</v>
      </c>
      <c r="BJ6" s="63" t="s">
        <v>923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939</v>
      </c>
      <c r="BP6" s="65" t="s">
        <v>940</v>
      </c>
      <c r="BQ6" s="65" t="s">
        <v>75</v>
      </c>
      <c r="BR6" s="65" t="s">
        <v>855</v>
      </c>
      <c r="BS6" s="65" t="s">
        <v>941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847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1040</v>
      </c>
      <c r="H7" s="15" t="s">
        <v>1041</v>
      </c>
      <c r="I7" s="6" t="s">
        <v>1024</v>
      </c>
      <c r="J7" s="6" t="s">
        <v>1024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919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855</v>
      </c>
      <c r="T7" s="73" t="s">
        <v>898</v>
      </c>
      <c r="U7" s="73" t="s">
        <v>920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923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905</v>
      </c>
      <c r="BH7" s="58">
        <v>4</v>
      </c>
      <c r="BJ7" s="63" t="s">
        <v>924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942</v>
      </c>
      <c r="BP7" s="65" t="s">
        <v>938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847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800505</v>
      </c>
      <c r="G8" s="6" t="s">
        <v>1090</v>
      </c>
      <c r="H8" s="60" t="s">
        <v>1091</v>
      </c>
      <c r="I8" s="62" t="s">
        <v>1092</v>
      </c>
      <c r="J8" s="62" t="s">
        <v>1092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919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856</v>
      </c>
      <c r="T8" s="73" t="s">
        <v>856</v>
      </c>
      <c r="U8" s="73" t="s">
        <v>921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924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905</v>
      </c>
      <c r="BH8" s="58">
        <v>4</v>
      </c>
      <c r="BJ8" s="63" t="s">
        <v>958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942</v>
      </c>
      <c r="BP8" s="65" t="s">
        <v>936</v>
      </c>
      <c r="BQ8" s="65"/>
      <c r="BR8" s="65"/>
      <c r="BS8" s="65"/>
    </row>
    <row r="9" spans="1:149" x14ac:dyDescent="0.25">
      <c r="M9" s="70" t="str">
        <f>'Table Seed Map'!$A$12&amp;"-"&amp;FormFields[[#This Row],[No]]</f>
        <v>Form Fields-7</v>
      </c>
      <c r="N9" s="59" t="s">
        <v>956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898</v>
      </c>
      <c r="U9" s="73" t="s">
        <v>957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958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905</v>
      </c>
      <c r="BH9" s="58">
        <v>4</v>
      </c>
      <c r="BJ9" s="1" t="s">
        <v>1033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801016</v>
      </c>
      <c r="BO9" s="13" t="s">
        <v>942</v>
      </c>
      <c r="BP9" s="13" t="s">
        <v>1034</v>
      </c>
      <c r="BQ9" s="13"/>
      <c r="BR9" s="13"/>
      <c r="BS9" s="13"/>
    </row>
    <row r="10" spans="1:149" x14ac:dyDescent="0.25">
      <c r="M10" s="70" t="str">
        <f>'Table Seed Map'!$A$12&amp;"-"&amp;FormFields[[#This Row],[No]]</f>
        <v>Form Fields-8</v>
      </c>
      <c r="N10" s="59" t="s">
        <v>956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899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959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905</v>
      </c>
      <c r="BH10" s="58">
        <v>4</v>
      </c>
      <c r="BJ10" s="1" t="s">
        <v>1125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801017</v>
      </c>
      <c r="BO10" s="13" t="s">
        <v>942</v>
      </c>
      <c r="BP10" s="13" t="s">
        <v>1130</v>
      </c>
      <c r="BQ10" s="13"/>
      <c r="BR10" s="13"/>
      <c r="BS10" s="13"/>
    </row>
    <row r="11" spans="1:149" x14ac:dyDescent="0.25">
      <c r="M11" s="70" t="str">
        <f>'Table Seed Map'!$A$12&amp;"-"&amp;FormFields[[#This Row],[No]]</f>
        <v>Form Fields-9</v>
      </c>
      <c r="N11" s="59" t="s">
        <v>956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Task/CreateTask/returnable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825</v>
      </c>
      <c r="T11" s="73" t="s">
        <v>900</v>
      </c>
      <c r="U11" s="73" t="s">
        <v>970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returnable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903</v>
      </c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975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905</v>
      </c>
      <c r="BH11" s="58">
        <v>4</v>
      </c>
      <c r="BJ11" s="63" t="s">
        <v>1050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801022</v>
      </c>
      <c r="BO11" s="13" t="s">
        <v>942</v>
      </c>
      <c r="BP11" s="65" t="s">
        <v>1051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956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Task/CreateTask/dismissable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826</v>
      </c>
      <c r="T12" s="73" t="s">
        <v>900</v>
      </c>
      <c r="U12" s="73" t="s">
        <v>971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dismissable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903</v>
      </c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976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801010</v>
      </c>
      <c r="BG12" s="58" t="s">
        <v>905</v>
      </c>
      <c r="BH12" s="58">
        <v>4</v>
      </c>
      <c r="BJ12" s="63" t="s">
        <v>1128</v>
      </c>
      <c r="BK12" s="63">
        <f>COUNTA($BJ$2:FieldValidations[[#This Row],[Validation Field]])</f>
        <v>10</v>
      </c>
      <c r="BL12" s="62" t="str">
        <f>'Table Seed Map'!$A$17&amp;"-"&amp;FieldValidations[[#This Row],[ID No]]</f>
        <v>Field Validations-10</v>
      </c>
      <c r="BM12" s="60">
        <f>IF(FieldValidations[[#This Row],[ID No]]=0,"id",FieldValidations[[#This Row],[ID No]]+VLOOKUP('Table Seed Map'!$A$17,SeedMap[],9,0))</f>
        <v>801510</v>
      </c>
      <c r="BN12" s="60">
        <f>VLOOKUP(FieldValidations[Validation Field],FormFields[[Field Name]:[ID]],2,0)</f>
        <v>801028</v>
      </c>
      <c r="BO12" s="13" t="s">
        <v>942</v>
      </c>
      <c r="BP12" s="65" t="s">
        <v>1129</v>
      </c>
      <c r="BQ12" s="65"/>
      <c r="BR12" s="65"/>
      <c r="BS12" s="65"/>
    </row>
    <row r="13" spans="1:149" x14ac:dyDescent="0.25">
      <c r="M13" s="70" t="str">
        <f>'Table Seed Map'!$A$12&amp;"-"&amp;FormFields[[#This Row],[No]]</f>
        <v>Form Fields-11</v>
      </c>
      <c r="N13" s="59" t="s">
        <v>956</v>
      </c>
      <c r="O13" s="71">
        <f>COUNTA($N$1:FormFields[[#This Row],[Form Name]])-1</f>
        <v>11</v>
      </c>
      <c r="P13" s="70" t="str">
        <f>FormFields[[#This Row],[Form Name]]&amp;"/"&amp;FormFields[[#This Row],[Name]]</f>
        <v>Task/CreateTask/editable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800903</v>
      </c>
      <c r="S13" s="73" t="s">
        <v>827</v>
      </c>
      <c r="T13" s="73" t="s">
        <v>900</v>
      </c>
      <c r="U13" s="73" t="s">
        <v>972</v>
      </c>
      <c r="V13" s="74"/>
      <c r="W13" s="74"/>
      <c r="X13" s="74"/>
      <c r="Y13" s="74"/>
      <c r="Z13" s="75" t="str">
        <f>'Table Seed Map'!$A$13&amp;"-"&amp;FormFields[[#This Row],[NO2]]</f>
        <v>Field Data-11</v>
      </c>
      <c r="AA13" s="76">
        <f>COUNTIFS($AB$1:FormFields[[#This Row],[Exists]],1)-1</f>
        <v>11</v>
      </c>
      <c r="AB13" s="76">
        <f>IF(AND(FormFields[[#This Row],[Attribute]]="",FormFields[[#This Row],[Rel]]=""),0,1)</f>
        <v>1</v>
      </c>
      <c r="AC13" s="76">
        <f>IF(FormFields[[#This Row],[NO2]]=0,"id",FormFields[[#This Row],[NO2]]+IF(ISNUMBER(VLOOKUP('Table Seed Map'!$A$13,SeedMap[],9,0)),VLOOKUP('Table Seed Map'!$A$13,SeedMap[],9,0),0))</f>
        <v>801111</v>
      </c>
      <c r="AD13" s="77">
        <f>IF(FormFields[[#This Row],[ID]]="id","form_field",FormFields[[#This Row],[ID]])</f>
        <v>801011</v>
      </c>
      <c r="AE13" s="76" t="str">
        <f>IF(FormFields[[#This Row],[No]]=0,"attribute",FormFields[[#This Row],[Name]])</f>
        <v>editable</v>
      </c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1</v>
      </c>
      <c r="AK13" s="71" t="str">
        <f>'Table Seed Map'!$A$14&amp;"-"&amp;FormFields[[#This Row],[NO4]]</f>
        <v>Field Options-4</v>
      </c>
      <c r="AL13" s="71">
        <f>COUNTIF($AJ$2:FormFields[[#This Row],[Exists FO]],1)</f>
        <v>4</v>
      </c>
      <c r="AM13" s="71">
        <f>IF(FormFields[[#This Row],[NO4]]=0,"id",FormFields[[#This Row],[NO4]]+IF(ISNUMBER(VLOOKUP('Table Seed Map'!$A$14,SeedMap[],9,0)),VLOOKUP('Table Seed Map'!$A$14,SeedMap[],9,0),0))</f>
        <v>801204</v>
      </c>
      <c r="AN13" s="58">
        <f>IF(FormFields[[#This Row],[ID]]="id","form_field",FormFields[[#This Row],[ID]])</f>
        <v>801011</v>
      </c>
      <c r="AO13" s="79" t="s">
        <v>903</v>
      </c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800903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977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905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956</v>
      </c>
      <c r="O14" s="71">
        <f>COUNTA($N$1:FormFields[[#This Row],[Form Name]])-1</f>
        <v>12</v>
      </c>
      <c r="P14" s="70" t="str">
        <f>FormFields[[#This Row],[Form Name]]&amp;"/"&amp;FormFields[[#This Row],[Name]]</f>
        <v>Task/CreateTask/completion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800903</v>
      </c>
      <c r="S14" s="73" t="s">
        <v>832</v>
      </c>
      <c r="T14" s="73" t="s">
        <v>900</v>
      </c>
      <c r="U14" s="73" t="s">
        <v>973</v>
      </c>
      <c r="V14" s="74"/>
      <c r="W14" s="74"/>
      <c r="X14" s="74"/>
      <c r="Y14" s="74"/>
      <c r="Z14" s="75" t="str">
        <f>'Table Seed Map'!$A$13&amp;"-"&amp;FormFields[[#This Row],[NO2]]</f>
        <v>Field Data-12</v>
      </c>
      <c r="AA14" s="76">
        <f>COUNTIFS($AB$1:FormFields[[#This Row],[Exists]],1)-1</f>
        <v>12</v>
      </c>
      <c r="AB14" s="76">
        <f>IF(AND(FormFields[[#This Row],[Attribute]]="",FormFields[[#This Row],[Rel]]=""),0,1)</f>
        <v>1</v>
      </c>
      <c r="AC14" s="76">
        <f>IF(FormFields[[#This Row],[NO2]]=0,"id",FormFields[[#This Row],[NO2]]+IF(ISNUMBER(VLOOKUP('Table Seed Map'!$A$13,SeedMap[],9,0)),VLOOKUP('Table Seed Map'!$A$13,SeedMap[],9,0),0))</f>
        <v>801112</v>
      </c>
      <c r="AD14" s="77">
        <f>IF(FormFields[[#This Row],[ID]]="id","form_field",FormFields[[#This Row],[ID]])</f>
        <v>801012</v>
      </c>
      <c r="AE14" s="76" t="str">
        <f>IF(FormFields[[#This Row],[No]]=0,"attribute",FormFields[[#This Row],[Name]])</f>
        <v>completion</v>
      </c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1</v>
      </c>
      <c r="AK14" s="71" t="str">
        <f>'Table Seed Map'!$A$14&amp;"-"&amp;FormFields[[#This Row],[NO4]]</f>
        <v>Field Options-5</v>
      </c>
      <c r="AL14" s="71">
        <f>COUNTIF($AJ$2:FormFields[[#This Row],[Exists FO]],1)</f>
        <v>5</v>
      </c>
      <c r="AM14" s="71">
        <f>IF(FormFields[[#This Row],[NO4]]=0,"id",FormFields[[#This Row],[NO4]]+IF(ISNUMBER(VLOOKUP('Table Seed Map'!$A$14,SeedMap[],9,0)),VLOOKUP('Table Seed Map'!$A$14,SeedMap[],9,0),0))</f>
        <v>801205</v>
      </c>
      <c r="AN14" s="58">
        <f>IF(FormFields[[#This Row],[ID]]="id","form_field",FormFields[[#This Row],[ID]])</f>
        <v>801012</v>
      </c>
      <c r="AO14" s="79" t="s">
        <v>903</v>
      </c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800903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978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905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956</v>
      </c>
      <c r="O15" s="71">
        <f>COUNTA($N$1:FormFields[[#This Row],[Form Name]])-1</f>
        <v>13</v>
      </c>
      <c r="P15" s="70" t="str">
        <f>FormFields[[#This Row],[Form Name]]&amp;"/"&amp;FormFields[[#This Row],[Name]]</f>
        <v>Task/CreateTask/assign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800903</v>
      </c>
      <c r="S15" s="73" t="s">
        <v>834</v>
      </c>
      <c r="T15" s="73" t="s">
        <v>900</v>
      </c>
      <c r="U15" s="73" t="s">
        <v>974</v>
      </c>
      <c r="V15" s="74"/>
      <c r="W15" s="74"/>
      <c r="X15" s="74"/>
      <c r="Y15" s="74"/>
      <c r="Z15" s="75" t="str">
        <f>'Table Seed Map'!$A$13&amp;"-"&amp;FormFields[[#This Row],[NO2]]</f>
        <v>Field Data-13</v>
      </c>
      <c r="AA15" s="76">
        <f>COUNTIFS($AB$1:FormFields[[#This Row],[Exists]],1)-1</f>
        <v>13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801113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assign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1</v>
      </c>
      <c r="AK15" s="71" t="str">
        <f>'Table Seed Map'!$A$14&amp;"-"&amp;FormFields[[#This Row],[NO4]]</f>
        <v>Field Options-6</v>
      </c>
      <c r="AL15" s="71">
        <f>COUNTIF($AJ$2:FormFields[[#This Row],[Exists FO]],1)</f>
        <v>6</v>
      </c>
      <c r="AM15" s="71">
        <f>IF(FormFields[[#This Row],[NO4]]=0,"id",FormFields[[#This Row],[NO4]]+IF(ISNUMBER(VLOOKUP('Table Seed Map'!$A$14,SeedMap[],9,0)),VLOOKUP('Table Seed Map'!$A$14,SeedMap[],9,0),0))</f>
        <v>801206</v>
      </c>
      <c r="AN15" s="58">
        <f>IF(FormFields[[#This Row],[ID]]="id","form_field",FormFields[[#This Row],[ID]])</f>
        <v>801013</v>
      </c>
      <c r="AO15" s="79" t="s">
        <v>278</v>
      </c>
      <c r="AP15" s="79"/>
      <c r="AQ15" s="79" t="s">
        <v>21</v>
      </c>
      <c r="AR15" s="79" t="s">
        <v>23</v>
      </c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800903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979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905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34" t="s">
        <v>1025</v>
      </c>
      <c r="O16" s="37">
        <f>COUNTA($N$1:FormFields[[#This Row],[Form Name]])-1</f>
        <v>14</v>
      </c>
      <c r="P16" s="39" t="str">
        <f>FormFields[[#This Row],[Form Name]]&amp;"/"&amp;FormFields[[#This Row],[Name]]</f>
        <v>PartnerTask/TaskCompleteDescription/task.name</v>
      </c>
      <c r="Q16" s="37">
        <f>IF(FormFields[[#This Row],[No]]=0,"id",FormFields[[#This Row],[No]]+IF(ISNUMBER(VLOOKUP('Table Seed Map'!$A$12,SeedMap[],9,0)),VLOOKUP('Table Seed Map'!$A$12,SeedMap[],9,0),0))</f>
        <v>801014</v>
      </c>
      <c r="R16" s="40">
        <f>IFERROR(VLOOKUP(FormFields[[#This Row],[Form Name]],ResourceForms[[FormName]:[ID]],4,0),"resource_form")</f>
        <v>800904</v>
      </c>
      <c r="S16" s="42" t="s">
        <v>1027</v>
      </c>
      <c r="T16" s="42" t="s">
        <v>1026</v>
      </c>
      <c r="U16" s="42" t="s">
        <v>1</v>
      </c>
      <c r="V16" s="43"/>
      <c r="W16" s="43"/>
      <c r="X16" s="43"/>
      <c r="Y16" s="43"/>
      <c r="Z16" s="44" t="str">
        <f>'Table Seed Map'!$A$13&amp;"-"&amp;FormFields[[#This Row],[NO2]]</f>
        <v>Field Data-13</v>
      </c>
      <c r="AA16" s="45">
        <f>COUNTIFS($AB$1:FormFields[[#This Row],[Exists]],1)-1</f>
        <v>13</v>
      </c>
      <c r="AB16" s="45">
        <f>IF(AND(FormFields[[#This Row],[Attribute]]="",FormFields[[#This Row],[Rel]]=""),0,1)</f>
        <v>0</v>
      </c>
      <c r="AC16" s="45">
        <f>IF(FormFields[[#This Row],[NO2]]=0,"id",FormFields[[#This Row],[NO2]]+IF(ISNUMBER(VLOOKUP('Table Seed Map'!$A$13,SeedMap[],9,0)),VLOOKUP('Table Seed Map'!$A$13,SeedMap[],9,0),0))</f>
        <v>801113</v>
      </c>
      <c r="AD16" s="85">
        <f>IF(FormFields[[#This Row],[ID]]="id","form_field",FormFields[[#This Row],[ID]])</f>
        <v>801014</v>
      </c>
      <c r="AE16" s="45"/>
      <c r="AF16" s="54" t="str">
        <f>IF(FormFields[[#This Row],[NO2]]=0,"relation",IF(FormFields[[#This Row],[Rel]]="","",VLOOKUP(FormFields[[#This Row],[Rel]],RelationTable[[Display]:[RELID]],2,0)))</f>
        <v/>
      </c>
      <c r="AG16" s="54" t="str">
        <f>IF(FormFields[[#This Row],[NO2]]=0,"nest_relation1",IF(FormFields[[#This Row],[Rel1]]="","",VLOOKUP(FormFields[[#This Row],[Rel1]],RelationTable[[Display]:[RELID]],2,0)))</f>
        <v/>
      </c>
      <c r="AH16" s="54" t="str">
        <f>IF(FormFields[[#This Row],[NO2]]=0,"nest_relation2",IF(FormFields[[#This Row],[Rel2]]="","",VLOOKUP(FormFields[[#This Row],[Rel2]],RelationTable[[Display]:[RELID]],2,0)))</f>
        <v/>
      </c>
      <c r="AI16" s="54" t="str">
        <f>IF(FormFields[[#This Row],[NO2]]=0,"nest_relation3",IF(FormFields[[#This Row],[Rel3]]="","",VLOOKUP(FormFields[[#This Row],[Rel3]],RelationTable[[Display]:[RELID]],2,0)))</f>
        <v/>
      </c>
      <c r="AJ16" s="37">
        <f>IF(OR(FormFields[[#This Row],[Option Type]]="",FormFields[[#This Row],[Option Type]]="type"),0,1)</f>
        <v>0</v>
      </c>
      <c r="AK16" s="37" t="str">
        <f>'Table Seed Map'!$A$14&amp;"-"&amp;FormFields[[#This Row],[NO4]]</f>
        <v>Field Options-6</v>
      </c>
      <c r="AL16" s="37">
        <f>COUNTIF($AJ$2:FormFields[[#This Row],[Exists FO]],1)</f>
        <v>6</v>
      </c>
      <c r="AM16" s="37">
        <f>IF(FormFields[[#This Row],[NO4]]=0,"id",FormFields[[#This Row],[NO4]]+IF(ISNUMBER(VLOOKUP('Table Seed Map'!$A$14,SeedMap[],9,0)),VLOOKUP('Table Seed Map'!$A$14,SeedMap[],9,0),0))</f>
        <v>801206</v>
      </c>
      <c r="AN16" s="35">
        <f>IF(FormFields[[#This Row],[ID]]="id","form_field",FormFields[[#This Row],[ID]])</f>
        <v>801014</v>
      </c>
      <c r="AO16" s="47"/>
      <c r="AP16" s="47"/>
      <c r="AQ16" s="47"/>
      <c r="AR16" s="47"/>
      <c r="AS16" s="47"/>
      <c r="AT16" s="37">
        <f>IF(OR(FormFields[[#This Row],[Colspan]]="",FormFields[[#This Row],[Colspan]]="colspan"),0,1)</f>
        <v>0</v>
      </c>
      <c r="AU16" s="37" t="str">
        <f>'Table Seed Map'!$A$19&amp;"-"&amp;FormFields[[#This Row],[NO8]]</f>
        <v>Form Layout-0</v>
      </c>
      <c r="AV16" s="37">
        <f>COUNTIF($AT$1:FormFields[[#This Row],[Exists FL]],1)</f>
        <v>0</v>
      </c>
      <c r="AW16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37">
        <f>FormFields[Form]</f>
        <v>800904</v>
      </c>
      <c r="AY16" s="37">
        <f>IF(FormFields[[#This Row],[ID]]="id","form_field",FormFields[[#This Row],[ID]])</f>
        <v>801014</v>
      </c>
      <c r="AZ16" s="46"/>
      <c r="BA16" s="35">
        <f>FormFields[[#This Row],[ID]]</f>
        <v>801014</v>
      </c>
      <c r="BC16" s="1" t="s">
        <v>1030</v>
      </c>
      <c r="BD16" s="6" t="str">
        <f>'Table Seed Map'!$A$15&amp;"-"&amp;(-1+COUNTA($BC$1:FieldAttrs[[#This Row],[ATTR Field]]))</f>
        <v>Field Attrs-14</v>
      </c>
      <c r="BE16" s="15">
        <f>IF(FieldAttrs[[#This Row],[ATTR Field]]="","id",-1+COUNTA($BC$1:FieldAttrs[[#This Row],[ATTR Field]])+VLOOKUP('Table Seed Map'!$A$15,SeedMap[],9,0))</f>
        <v>801314</v>
      </c>
      <c r="BF16" s="35">
        <f>IFERROR(VLOOKUP(FieldAttrs[ATTR Field],FormFields[[Field Name]:[ID]],2,0),"form_field")</f>
        <v>801014</v>
      </c>
      <c r="BG16" s="58" t="s">
        <v>905</v>
      </c>
      <c r="BH16" s="58">
        <v>4</v>
      </c>
    </row>
    <row r="17" spans="13:60" x14ac:dyDescent="0.25">
      <c r="M17" s="39" t="str">
        <f>'Table Seed Map'!$A$12&amp;"-"&amp;FormFields[[#This Row],[No]]</f>
        <v>Form Fields-15</v>
      </c>
      <c r="N17" s="34" t="s">
        <v>1025</v>
      </c>
      <c r="O17" s="37">
        <f>COUNTA($N$1:FormFields[[#This Row],[Form Name]])-1</f>
        <v>15</v>
      </c>
      <c r="P17" s="39" t="str">
        <f>FormFields[[#This Row],[Form Name]]&amp;"/"&amp;FormFields[[#This Row],[Name]]</f>
        <v>PartnerTask/TaskCompleteDescription/task.description</v>
      </c>
      <c r="Q17" s="37">
        <f>IF(FormFields[[#This Row],[No]]=0,"id",FormFields[[#This Row],[No]]+IF(ISNUMBER(VLOOKUP('Table Seed Map'!$A$12,SeedMap[],9,0)),VLOOKUP('Table Seed Map'!$A$12,SeedMap[],9,0),0))</f>
        <v>801015</v>
      </c>
      <c r="R17" s="40">
        <f>IFERROR(VLOOKUP(FormFields[[#This Row],[Form Name]],ResourceForms[[FormName]:[ID]],4,0),"resource_form")</f>
        <v>800904</v>
      </c>
      <c r="S17" s="42" t="s">
        <v>1028</v>
      </c>
      <c r="T17" s="42" t="s">
        <v>1029</v>
      </c>
      <c r="U17" s="42" t="s">
        <v>102</v>
      </c>
      <c r="V17" s="43"/>
      <c r="W17" s="43"/>
      <c r="X17" s="43"/>
      <c r="Y17" s="43"/>
      <c r="Z17" s="44" t="str">
        <f>'Table Seed Map'!$A$13&amp;"-"&amp;FormFields[[#This Row],[NO2]]</f>
        <v>Field Data-13</v>
      </c>
      <c r="AA17" s="45">
        <f>COUNTIFS($AB$1:FormFields[[#This Row],[Exists]],1)-1</f>
        <v>13</v>
      </c>
      <c r="AB17" s="45">
        <f>IF(AND(FormFields[[#This Row],[Attribute]]="",FormFields[[#This Row],[Rel]]=""),0,1)</f>
        <v>0</v>
      </c>
      <c r="AC17" s="45">
        <f>IF(FormFields[[#This Row],[NO2]]=0,"id",FormFields[[#This Row],[NO2]]+IF(ISNUMBER(VLOOKUP('Table Seed Map'!$A$13,SeedMap[],9,0)),VLOOKUP('Table Seed Map'!$A$13,SeedMap[],9,0),0))</f>
        <v>801113</v>
      </c>
      <c r="AD17" s="85">
        <f>IF(FormFields[[#This Row],[ID]]="id","form_field",FormFields[[#This Row],[ID]])</f>
        <v>801015</v>
      </c>
      <c r="AE17" s="45"/>
      <c r="AF17" s="54" t="str">
        <f>IF(FormFields[[#This Row],[NO2]]=0,"relation",IF(FormFields[[#This Row],[Rel]]="","",VLOOKUP(FormFields[[#This Row],[Rel]],RelationTable[[Display]:[RELID]],2,0)))</f>
        <v/>
      </c>
      <c r="AG17" s="54" t="str">
        <f>IF(FormFields[[#This Row],[NO2]]=0,"nest_relation1",IF(FormFields[[#This Row],[Rel1]]="","",VLOOKUP(FormFields[[#This Row],[Rel1]],RelationTable[[Display]:[RELID]],2,0)))</f>
        <v/>
      </c>
      <c r="AH17" s="54" t="str">
        <f>IF(FormFields[[#This Row],[NO2]]=0,"nest_relation2",IF(FormFields[[#This Row],[Rel2]]="","",VLOOKUP(FormFields[[#This Row],[Rel2]],RelationTable[[Display]:[RELID]],2,0)))</f>
        <v/>
      </c>
      <c r="AI17" s="54" t="str">
        <f>IF(FormFields[[#This Row],[NO2]]=0,"nest_relation3",IF(FormFields[[#This Row],[Rel3]]="","",VLOOKUP(FormFields[[#This Row],[Rel3]],RelationTable[[Display]:[RELID]],2,0)))</f>
        <v/>
      </c>
      <c r="AJ17" s="37">
        <f>IF(OR(FormFields[[#This Row],[Option Type]]="",FormFields[[#This Row],[Option Type]]="type"),0,1)</f>
        <v>0</v>
      </c>
      <c r="AK17" s="37" t="str">
        <f>'Table Seed Map'!$A$14&amp;"-"&amp;FormFields[[#This Row],[NO4]]</f>
        <v>Field Options-6</v>
      </c>
      <c r="AL17" s="37">
        <f>COUNTIF($AJ$2:FormFields[[#This Row],[Exists FO]],1)</f>
        <v>6</v>
      </c>
      <c r="AM17" s="37">
        <f>IF(FormFields[[#This Row],[NO4]]=0,"id",FormFields[[#This Row],[NO4]]+IF(ISNUMBER(VLOOKUP('Table Seed Map'!$A$14,SeedMap[],9,0)),VLOOKUP('Table Seed Map'!$A$14,SeedMap[],9,0),0))</f>
        <v>801206</v>
      </c>
      <c r="AN17" s="35">
        <f>IF(FormFields[[#This Row],[ID]]="id","form_field",FormFields[[#This Row],[ID]])</f>
        <v>801015</v>
      </c>
      <c r="AO17" s="47"/>
      <c r="AP17" s="47"/>
      <c r="AQ17" s="47"/>
      <c r="AR17" s="47"/>
      <c r="AS17" s="47"/>
      <c r="AT17" s="37">
        <f>IF(OR(FormFields[[#This Row],[Colspan]]="",FormFields[[#This Row],[Colspan]]="colspan"),0,1)</f>
        <v>0</v>
      </c>
      <c r="AU17" s="37" t="str">
        <f>'Table Seed Map'!$A$19&amp;"-"&amp;FormFields[[#This Row],[NO8]]</f>
        <v>Form Layout-0</v>
      </c>
      <c r="AV17" s="37">
        <f>COUNTIF($AT$1:FormFields[[#This Row],[Exists FL]],1)</f>
        <v>0</v>
      </c>
      <c r="AW17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37">
        <f>FormFields[Form]</f>
        <v>800904</v>
      </c>
      <c r="AY17" s="37">
        <f>IF(FormFields[[#This Row],[ID]]="id","form_field",FormFields[[#This Row],[ID]])</f>
        <v>801015</v>
      </c>
      <c r="AZ17" s="46"/>
      <c r="BA17" s="35">
        <f>FormFields[[#This Row],[ID]]</f>
        <v>801015</v>
      </c>
      <c r="BC17" s="1" t="s">
        <v>1031</v>
      </c>
      <c r="BD17" s="6" t="str">
        <f>'Table Seed Map'!$A$15&amp;"-"&amp;(-1+COUNTA($BC$1:FieldAttrs[[#This Row],[ATTR Field]]))</f>
        <v>Field Attrs-15</v>
      </c>
      <c r="BE17" s="15">
        <f>IF(FieldAttrs[[#This Row],[ATTR Field]]="","id",-1+COUNTA($BC$1:FieldAttrs[[#This Row],[ATTR Field]])+VLOOKUP('Table Seed Map'!$A$15,SeedMap[],9,0))</f>
        <v>801315</v>
      </c>
      <c r="BF17" s="35">
        <f>IFERROR(VLOOKUP(FieldAttrs[ATTR Field],FormFields[[Field Name]:[ID]],2,0),"form_field")</f>
        <v>801015</v>
      </c>
      <c r="BG17" s="58" t="s">
        <v>905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34" t="s">
        <v>1025</v>
      </c>
      <c r="O18" s="37">
        <f>COUNTA($N$1:FormFields[[#This Row],[Form Name]])-1</f>
        <v>16</v>
      </c>
      <c r="P18" s="39" t="str">
        <f>FormFields[[#This Row],[Form Name]]&amp;"/"&amp;FormFields[[#This Row],[Name]]</f>
        <v>PartnerTask/TaskCompleteDescription/progress</v>
      </c>
      <c r="Q18" s="37">
        <f>IF(FormFields[[#This Row],[No]]=0,"id",FormFields[[#This Row],[No]]+IF(ISNUMBER(VLOOKUP('Table Seed Map'!$A$12,SeedMap[],9,0)),VLOOKUP('Table Seed Map'!$A$12,SeedMap[],9,0),0))</f>
        <v>801016</v>
      </c>
      <c r="R18" s="40">
        <f>IFERROR(VLOOKUP(FormFields[[#This Row],[Form Name]],ResourceForms[[FormName]:[ID]],4,0),"resource_form")</f>
        <v>800904</v>
      </c>
      <c r="S18" s="42" t="s">
        <v>823</v>
      </c>
      <c r="T18" s="42" t="s">
        <v>1026</v>
      </c>
      <c r="U18" s="42" t="s">
        <v>1039</v>
      </c>
      <c r="V18" s="43"/>
      <c r="W18" s="43"/>
      <c r="X18" s="43"/>
      <c r="Y18" s="43"/>
      <c r="Z18" s="44" t="str">
        <f>'Table Seed Map'!$A$13&amp;"-"&amp;FormFields[[#This Row],[NO2]]</f>
        <v>Field Data-14</v>
      </c>
      <c r="AA18" s="45">
        <f>COUNTIFS($AB$1:FormFields[[#This Row],[Exists]],1)-1</f>
        <v>14</v>
      </c>
      <c r="AB18" s="45">
        <f>IF(AND(FormFields[[#This Row],[Attribute]]="",FormFields[[#This Row],[Rel]]=""),0,1)</f>
        <v>1</v>
      </c>
      <c r="AC18" s="45">
        <f>IF(FormFields[[#This Row],[NO2]]=0,"id",FormFields[[#This Row],[NO2]]+IF(ISNUMBER(VLOOKUP('Table Seed Map'!$A$13,SeedMap[],9,0)),VLOOKUP('Table Seed Map'!$A$13,SeedMap[],9,0),0))</f>
        <v>801114</v>
      </c>
      <c r="AD18" s="85">
        <f>IF(FormFields[[#This Row],[ID]]="id","form_field",FormFields[[#This Row],[ID]])</f>
        <v>801016</v>
      </c>
      <c r="AE18" s="45" t="str">
        <f>IF(FormFields[[#This Row],[No]]=0,"attribute",FormFields[[#This Row],[Name]])</f>
        <v>progress</v>
      </c>
      <c r="AF18" s="54" t="str">
        <f>IF(FormFields[[#This Row],[NO2]]=0,"relation",IF(FormFields[[#This Row],[Rel]]="","",VLOOKUP(FormFields[[#This Row],[Rel]],RelationTable[[Display]:[RELID]],2,0)))</f>
        <v/>
      </c>
      <c r="AG18" s="54" t="str">
        <f>IF(FormFields[[#This Row],[NO2]]=0,"nest_relation1",IF(FormFields[[#This Row],[Rel1]]="","",VLOOKUP(FormFields[[#This Row],[Rel1]],RelationTable[[Display]:[RELID]],2,0)))</f>
        <v/>
      </c>
      <c r="AH18" s="54" t="str">
        <f>IF(FormFields[[#This Row],[NO2]]=0,"nest_relation2",IF(FormFields[[#This Row],[Rel2]]="","",VLOOKUP(FormFields[[#This Row],[Rel2]],RelationTable[[Display]:[RELID]],2,0)))</f>
        <v/>
      </c>
      <c r="AI18" s="54" t="str">
        <f>IF(FormFields[[#This Row],[NO2]]=0,"nest_relation3",IF(FormFields[[#This Row],[Rel3]]="","",VLOOKUP(FormFields[[#This Row],[Rel3]],RelationTable[[Display]:[RELID]],2,0)))</f>
        <v/>
      </c>
      <c r="AJ18" s="37">
        <f>IF(OR(FormFields[[#This Row],[Option Type]]="",FormFields[[#This Row],[Option Type]]="type"),0,1)</f>
        <v>0</v>
      </c>
      <c r="AK18" s="37" t="str">
        <f>'Table Seed Map'!$A$14&amp;"-"&amp;FormFields[[#This Row],[NO4]]</f>
        <v>Field Options-6</v>
      </c>
      <c r="AL18" s="37">
        <f>COUNTIF($AJ$2:FormFields[[#This Row],[Exists FO]],1)</f>
        <v>6</v>
      </c>
      <c r="AM18" s="37">
        <f>IF(FormFields[[#This Row],[NO4]]=0,"id",FormFields[[#This Row],[NO4]]+IF(ISNUMBER(VLOOKUP('Table Seed Map'!$A$14,SeedMap[],9,0)),VLOOKUP('Table Seed Map'!$A$14,SeedMap[],9,0),0))</f>
        <v>801206</v>
      </c>
      <c r="AN18" s="35">
        <f>IF(FormFields[[#This Row],[ID]]="id","form_field",FormFields[[#This Row],[ID]])</f>
        <v>801016</v>
      </c>
      <c r="AO18" s="47"/>
      <c r="AP18" s="47"/>
      <c r="AQ18" s="47"/>
      <c r="AR18" s="47"/>
      <c r="AS18" s="47"/>
      <c r="AT18" s="37">
        <f>IF(OR(FormFields[[#This Row],[Colspan]]="",FormFields[[#This Row],[Colspan]]="colspan"),0,1)</f>
        <v>0</v>
      </c>
      <c r="AU18" s="37" t="str">
        <f>'Table Seed Map'!$A$19&amp;"-"&amp;FormFields[[#This Row],[NO8]]</f>
        <v>Form Layout-0</v>
      </c>
      <c r="AV18" s="37">
        <f>COUNTIF($AT$1:FormFields[[#This Row],[Exists FL]],1)</f>
        <v>0</v>
      </c>
      <c r="AW18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37">
        <f>FormFields[Form]</f>
        <v>800904</v>
      </c>
      <c r="AY18" s="37">
        <f>IF(FormFields[[#This Row],[ID]]="id","form_field",FormFields[[#This Row],[ID]])</f>
        <v>801016</v>
      </c>
      <c r="AZ18" s="46"/>
      <c r="BA18" s="35">
        <f>FormFields[[#This Row],[ID]]</f>
        <v>801016</v>
      </c>
      <c r="BC18" s="1" t="s">
        <v>1033</v>
      </c>
      <c r="BD18" s="6" t="str">
        <f>'Table Seed Map'!$A$15&amp;"-"&amp;(-1+COUNTA($BC$1:FieldAttrs[[#This Row],[ATTR Field]]))</f>
        <v>Field Attrs-16</v>
      </c>
      <c r="BE18" s="15">
        <f>IF(FieldAttrs[[#This Row],[ATTR Field]]="","id",-1+COUNTA($BC$1:FieldAttrs[[#This Row],[ATTR Field]])+VLOOKUP('Table Seed Map'!$A$15,SeedMap[],9,0))</f>
        <v>801316</v>
      </c>
      <c r="BF18" s="35">
        <f>IFERROR(VLOOKUP(FieldAttrs[ATTR Field],FormFields[[Field Name]:[ID]],2,0),"form_field")</f>
        <v>801016</v>
      </c>
      <c r="BG18" s="58" t="s">
        <v>905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34" t="s">
        <v>1025</v>
      </c>
      <c r="O19" s="37">
        <f>COUNTA($N$1:FormFields[[#This Row],[Form Name]])-1</f>
        <v>17</v>
      </c>
      <c r="P19" s="39" t="str">
        <f>FormFields[[#This Row],[Form Name]]&amp;"/"&amp;FormFields[[#This Row],[Name]]</f>
        <v>PartnerTask/TaskCompleteDescription/remarks</v>
      </c>
      <c r="Q19" s="37">
        <f>IF(FormFields[[#This Row],[No]]=0,"id",FormFields[[#This Row],[No]]+IF(ISNUMBER(VLOOKUP('Table Seed Map'!$A$12,SeedMap[],9,0)),VLOOKUP('Table Seed Map'!$A$12,SeedMap[],9,0),0))</f>
        <v>801017</v>
      </c>
      <c r="R19" s="40">
        <f>IFERROR(VLOOKUP(FormFields[[#This Row],[Form Name]],ResourceForms[[FormName]:[ID]],4,0),"resource_form")</f>
        <v>800904</v>
      </c>
      <c r="S19" s="42" t="s">
        <v>1123</v>
      </c>
      <c r="T19" s="42" t="s">
        <v>899</v>
      </c>
      <c r="U19" s="42" t="s">
        <v>1124</v>
      </c>
      <c r="V19" s="43"/>
      <c r="W19" s="43"/>
      <c r="X19" s="43"/>
      <c r="Y19" s="43"/>
      <c r="Z19" s="44" t="str">
        <f>'Table Seed Map'!$A$13&amp;"-"&amp;FormFields[[#This Row],[NO2]]</f>
        <v>Field Data-15</v>
      </c>
      <c r="AA19" s="45">
        <f>COUNTIFS($AB$1:FormFields[[#This Row],[Exists]],1)-1</f>
        <v>15</v>
      </c>
      <c r="AB19" s="45">
        <f>IF(AND(FormFields[[#This Row],[Attribute]]="",FormFields[[#This Row],[Rel]]=""),0,1)</f>
        <v>1</v>
      </c>
      <c r="AC19" s="45">
        <f>IF(FormFields[[#This Row],[NO2]]=0,"id",FormFields[[#This Row],[NO2]]+IF(ISNUMBER(VLOOKUP('Table Seed Map'!$A$13,SeedMap[],9,0)),VLOOKUP('Table Seed Map'!$A$13,SeedMap[],9,0),0))</f>
        <v>801115</v>
      </c>
      <c r="AD19" s="85">
        <f>IF(FormFields[[#This Row],[ID]]="id","form_field",FormFields[[#This Row],[ID]])</f>
        <v>801017</v>
      </c>
      <c r="AE19" s="45" t="str">
        <f>IF(FormFields[[#This Row],[No]]=0,"attribute",FormFields[[#This Row],[Name]])</f>
        <v>remarks</v>
      </c>
      <c r="AF19" s="54" t="str">
        <f>IF(FormFields[[#This Row],[NO2]]=0,"relation",IF(FormFields[[#This Row],[Rel]]="","",VLOOKUP(FormFields[[#This Row],[Rel]],RelationTable[[Display]:[RELID]],2,0)))</f>
        <v/>
      </c>
      <c r="AG19" s="54" t="str">
        <f>IF(FormFields[[#This Row],[NO2]]=0,"nest_relation1",IF(FormFields[[#This Row],[Rel1]]="","",VLOOKUP(FormFields[[#This Row],[Rel1]],RelationTable[[Display]:[RELID]],2,0)))</f>
        <v/>
      </c>
      <c r="AH19" s="54" t="str">
        <f>IF(FormFields[[#This Row],[NO2]]=0,"nest_relation2",IF(FormFields[[#This Row],[Rel2]]="","",VLOOKUP(FormFields[[#This Row],[Rel2]],RelationTable[[Display]:[RELID]],2,0)))</f>
        <v/>
      </c>
      <c r="AI19" s="54" t="str">
        <f>IF(FormFields[[#This Row],[NO2]]=0,"nest_relation3",IF(FormFields[[#This Row],[Rel3]]="","",VLOOKUP(FormFields[[#This Row],[Rel3]],RelationTable[[Display]:[RELID]],2,0)))</f>
        <v/>
      </c>
      <c r="AJ19" s="37">
        <f>IF(OR(FormFields[[#This Row],[Option Type]]="",FormFields[[#This Row],[Option Type]]="type"),0,1)</f>
        <v>0</v>
      </c>
      <c r="AK19" s="37" t="str">
        <f>'Table Seed Map'!$A$14&amp;"-"&amp;FormFields[[#This Row],[NO4]]</f>
        <v>Field Options-6</v>
      </c>
      <c r="AL19" s="37">
        <f>COUNTIF($AJ$2:FormFields[[#This Row],[Exists FO]],1)</f>
        <v>6</v>
      </c>
      <c r="AM19" s="37">
        <f>IF(FormFields[[#This Row],[NO4]]=0,"id",FormFields[[#This Row],[NO4]]+IF(ISNUMBER(VLOOKUP('Table Seed Map'!$A$14,SeedMap[],9,0)),VLOOKUP('Table Seed Map'!$A$14,SeedMap[],9,0),0))</f>
        <v>801206</v>
      </c>
      <c r="AN19" s="35">
        <f>IF(FormFields[[#This Row],[ID]]="id","form_field",FormFields[[#This Row],[ID]])</f>
        <v>801017</v>
      </c>
      <c r="AO19" s="47"/>
      <c r="AP19" s="47"/>
      <c r="AQ19" s="47"/>
      <c r="AR19" s="47"/>
      <c r="AS19" s="47"/>
      <c r="AT19" s="37">
        <f>IF(OR(FormFields[[#This Row],[Colspan]]="",FormFields[[#This Row],[Colspan]]="colspan"),0,1)</f>
        <v>0</v>
      </c>
      <c r="AU19" s="37" t="str">
        <f>'Table Seed Map'!$A$19&amp;"-"&amp;FormFields[[#This Row],[NO8]]</f>
        <v>Form Layout-0</v>
      </c>
      <c r="AV19" s="37">
        <f>COUNTIF($AT$1:FormFields[[#This Row],[Exists FL]],1)</f>
        <v>0</v>
      </c>
      <c r="AW19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37">
        <f>FormFields[Form]</f>
        <v>800904</v>
      </c>
      <c r="AY19" s="37">
        <f>IF(FormFields[[#This Row],[ID]]="id","form_field",FormFields[[#This Row],[ID]])</f>
        <v>801017</v>
      </c>
      <c r="AZ19" s="46"/>
      <c r="BA19" s="35">
        <f>FormFields[[#This Row],[ID]]</f>
        <v>801017</v>
      </c>
      <c r="BC19" s="1" t="s">
        <v>1033</v>
      </c>
      <c r="BD19" s="6" t="str">
        <f>'Table Seed Map'!$A$15&amp;"-"&amp;(-1+COUNTA($BC$1:FieldAttrs[[#This Row],[ATTR Field]]))</f>
        <v>Field Attrs-17</v>
      </c>
      <c r="BE19" s="15">
        <f>IF(FieldAttrs[[#This Row],[ATTR Field]]="","id",-1+COUNTA($BC$1:FieldAttrs[[#This Row],[ATTR Field]])+VLOOKUP('Table Seed Map'!$A$15,SeedMap[],9,0))</f>
        <v>801317</v>
      </c>
      <c r="BF19" s="35">
        <f>IFERROR(VLOOKUP(FieldAttrs[ATTR Field],FormFields[[Field Name]:[ID]],2,0),"form_field")</f>
        <v>801016</v>
      </c>
      <c r="BG19" s="35" t="s">
        <v>44</v>
      </c>
      <c r="BH19" s="35" t="s">
        <v>1012</v>
      </c>
    </row>
    <row r="20" spans="13:60" x14ac:dyDescent="0.25">
      <c r="M20" s="70" t="str">
        <f>'Table Seed Map'!$A$12&amp;"-"&amp;FormFields[[#This Row],[No]]</f>
        <v>Form Fields-18</v>
      </c>
      <c r="N20" s="59" t="s">
        <v>1042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42" t="s">
        <v>1027</v>
      </c>
      <c r="T20" s="73" t="s">
        <v>1026</v>
      </c>
      <c r="U20" s="42" t="s">
        <v>1</v>
      </c>
      <c r="V20" s="74"/>
      <c r="W20" s="74"/>
      <c r="X20" s="74"/>
      <c r="Y20" s="74"/>
      <c r="Z20" s="75" t="str">
        <f>'Table Seed Map'!$A$13&amp;"-"&amp;FormFields[[#This Row],[NO2]]</f>
        <v>Field Data-15</v>
      </c>
      <c r="AA20" s="76">
        <f>COUNTIFS($AB$1:FormFields[[#This Row],[Exists]],1)-1</f>
        <v>15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801115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Options-6</v>
      </c>
      <c r="AL20" s="71">
        <f>COUNTIF($AJ$2:FormFields[[#This Row],[Exists FO]],1)</f>
        <v>6</v>
      </c>
      <c r="AM20" s="71">
        <f>IF(FormFields[[#This Row],[NO4]]=0,"id",FormFields[[#This Row],[NO4]]+IF(ISNUMBER(VLOOKUP('Table Seed Map'!$A$14,SeedMap[],9,0)),VLOOKUP('Table Seed Map'!$A$14,SeedMap[],9,0),0))</f>
        <v>801206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Layout-1</v>
      </c>
      <c r="AV20" s="71">
        <f>COUNTIF($AT$1:FormFields[[#This Row],[Exists FL]],1)</f>
        <v>1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1" t="s">
        <v>1125</v>
      </c>
      <c r="BD20" s="6" t="str">
        <f>'Table Seed Map'!$A$15&amp;"-"&amp;(-1+COUNTA($BC$1:FieldAttrs[[#This Row],[ATTR Field]]))</f>
        <v>Field Attrs-18</v>
      </c>
      <c r="BE20" s="15">
        <f>IF(FieldAttrs[[#This Row],[ATTR Field]]="","id",-1+COUNTA($BC$1:FieldAttrs[[#This Row],[ATTR Field]])+VLOOKUP('Table Seed Map'!$A$15,SeedMap[],9,0))</f>
        <v>801318</v>
      </c>
      <c r="BF20" s="35">
        <f>IFERROR(VLOOKUP(FieldAttrs[ATTR Field],FormFields[[Field Name]:[ID]],2,0),"form_field")</f>
        <v>801017</v>
      </c>
      <c r="BG20" s="35" t="s">
        <v>905</v>
      </c>
      <c r="BH20" s="35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1042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42" t="s">
        <v>1028</v>
      </c>
      <c r="T21" s="73" t="s">
        <v>1026</v>
      </c>
      <c r="U21" s="42" t="s">
        <v>102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Options-6</v>
      </c>
      <c r="AL21" s="71">
        <f>COUNTIF($AJ$2:FormFields[[#This Row],[Exists FO]],1)</f>
        <v>6</v>
      </c>
      <c r="AM21" s="71">
        <f>IF(FormFields[[#This Row],[NO4]]=0,"id",FormFields[[#This Row],[NO4]]+IF(ISNUMBER(VLOOKUP('Table Seed Map'!$A$14,SeedMap[],9,0)),VLOOKUP('Table Seed Map'!$A$14,SeedMap[],9,0),0))</f>
        <v>801206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Layout-2</v>
      </c>
      <c r="AV21" s="71">
        <f>COUNTIF($AT$1:FormFields[[#This Row],[Exists FL]],1)</f>
        <v>2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12</v>
      </c>
      <c r="BA21" s="58">
        <f>FormFields[[#This Row],[ID]]</f>
        <v>801019</v>
      </c>
      <c r="BC21" s="63" t="s">
        <v>1047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801018</v>
      </c>
      <c r="BG21" s="35" t="s">
        <v>905</v>
      </c>
      <c r="BH21" s="35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1042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42" t="s">
        <v>823</v>
      </c>
      <c r="T22" s="73" t="s">
        <v>1026</v>
      </c>
      <c r="U22" s="42" t="s">
        <v>1039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Options-6</v>
      </c>
      <c r="AL22" s="71">
        <f>COUNTIF($AJ$2:FormFields[[#This Row],[Exists FO]],1)</f>
        <v>6</v>
      </c>
      <c r="AM22" s="71">
        <f>IF(FormFields[[#This Row],[NO4]]=0,"id",FormFields[[#This Row],[NO4]]+IF(ISNUMBER(VLOOKUP('Table Seed Map'!$A$14,SeedMap[],9,0)),VLOOKUP('Table Seed Map'!$A$14,SeedMap[],9,0),0))</f>
        <v>801206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Layout-3</v>
      </c>
      <c r="AV22" s="71">
        <f>COUNTIF($AT$1:FormFields[[#This Row],[Exists FL]],1)</f>
        <v>3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12</v>
      </c>
      <c r="BA22" s="58">
        <f>FormFields[[#This Row],[ID]]</f>
        <v>801020</v>
      </c>
      <c r="BC22" s="63" t="s">
        <v>1048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801019</v>
      </c>
      <c r="BG22" s="35" t="s">
        <v>905</v>
      </c>
      <c r="BH22" s="35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1042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42" t="s">
        <v>1123</v>
      </c>
      <c r="T23" s="73" t="s">
        <v>899</v>
      </c>
      <c r="U23" s="42" t="s">
        <v>1124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Options-6</v>
      </c>
      <c r="AL23" s="71">
        <f>COUNTIF($AJ$2:FormFields[[#This Row],[Exists FO]],1)</f>
        <v>6</v>
      </c>
      <c r="AM23" s="71">
        <f>IF(FormFields[[#This Row],[NO4]]=0,"id",FormFields[[#This Row],[NO4]]+IF(ISNUMBER(VLOOKUP('Table Seed Map'!$A$14,SeedMap[],9,0)),VLOOKUP('Table Seed Map'!$A$14,SeedMap[],9,0),0))</f>
        <v>801206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Layout-4</v>
      </c>
      <c r="AV23" s="71">
        <f>COUNTIF($AT$1:FormFields[[#This Row],[Exists FL]],1)</f>
        <v>4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12</v>
      </c>
      <c r="BA23" s="58">
        <f>FormFields[[#This Row],[ID]]</f>
        <v>801021</v>
      </c>
      <c r="BC23" s="63" t="s">
        <v>1049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801020</v>
      </c>
      <c r="BG23" s="35" t="s">
        <v>905</v>
      </c>
      <c r="BH23" s="35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1042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PartnerTask/TaskCompleteAttachment/attachment1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800905</v>
      </c>
      <c r="S24" s="73" t="s">
        <v>837</v>
      </c>
      <c r="T24" s="73" t="s">
        <v>1043</v>
      </c>
      <c r="U24" s="73" t="s">
        <v>1044</v>
      </c>
      <c r="V24" s="74"/>
      <c r="W24" s="74"/>
      <c r="X24" s="74"/>
      <c r="Y24" s="74"/>
      <c r="Z24" s="75" t="str">
        <f>'Table Seed Map'!$A$13&amp;"-"&amp;FormFields[[#This Row],[NO2]]</f>
        <v>Field Data-18</v>
      </c>
      <c r="AA24" s="76">
        <f>COUNTIFS($AB$1:FormFields[[#This Row],[Exists]],1)-1</f>
        <v>18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801118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attachment1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Options-6</v>
      </c>
      <c r="AL24" s="71">
        <f>COUNTIF($AJ$2:FormFields[[#This Row],[Exists FO]],1)</f>
        <v>6</v>
      </c>
      <c r="AM24" s="71">
        <f>IF(FormFields[[#This Row],[NO4]]=0,"id",FormFields[[#This Row],[NO4]]+IF(ISNUMBER(VLOOKUP('Table Seed Map'!$A$14,SeedMap[],9,0)),VLOOKUP('Table Seed Map'!$A$14,SeedMap[],9,0),0))</f>
        <v>801206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1</v>
      </c>
      <c r="AU24" s="71" t="str">
        <f>'Table Seed Map'!$A$19&amp;"-"&amp;FormFields[[#This Row],[NO8]]</f>
        <v>Form Layout-5</v>
      </c>
      <c r="AV24" s="71">
        <f>COUNTIF($AT$1:FormFields[[#This Row],[Exists FL]],1)</f>
        <v>5</v>
      </c>
      <c r="AW24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4" s="71">
        <f>FormFields[Form]</f>
        <v>800905</v>
      </c>
      <c r="AY24" s="71">
        <f>IF(FormFields[[#This Row],[ID]]="id","form_field",FormFields[[#This Row],[ID]])</f>
        <v>801022</v>
      </c>
      <c r="AZ24" s="80">
        <v>4</v>
      </c>
      <c r="BA24" s="58">
        <f>FormFields[[#This Row],[ID]]</f>
        <v>801022</v>
      </c>
      <c r="BC24" s="63" t="s">
        <v>1049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801020</v>
      </c>
      <c r="BG24" s="35" t="s">
        <v>44</v>
      </c>
      <c r="BH24" s="35" t="s">
        <v>1012</v>
      </c>
    </row>
    <row r="25" spans="13:60" x14ac:dyDescent="0.25">
      <c r="M25" s="70" t="str">
        <f>'Table Seed Map'!$A$12&amp;"-"&amp;FormFields[[#This Row],[No]]</f>
        <v>Form Fields-23</v>
      </c>
      <c r="N25" s="59" t="s">
        <v>1042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PartnerTask/TaskCompleteAttachment/attachment2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800905</v>
      </c>
      <c r="S25" s="73" t="s">
        <v>839</v>
      </c>
      <c r="T25" s="73" t="s">
        <v>1043</v>
      </c>
      <c r="U25" s="73" t="s">
        <v>1045</v>
      </c>
      <c r="V25" s="74"/>
      <c r="W25" s="74"/>
      <c r="X25" s="74"/>
      <c r="Y25" s="74"/>
      <c r="Z25" s="75" t="str">
        <f>'Table Seed Map'!$A$13&amp;"-"&amp;FormFields[[#This Row],[NO2]]</f>
        <v>Field Data-19</v>
      </c>
      <c r="AA25" s="76">
        <f>COUNTIFS($AB$1:FormFields[[#This Row],[Exists]],1)-1</f>
        <v>19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801119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attachment2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Options-6</v>
      </c>
      <c r="AL25" s="71">
        <f>COUNTIF($AJ$2:FormFields[[#This Row],[Exists FO]],1)</f>
        <v>6</v>
      </c>
      <c r="AM25" s="71">
        <f>IF(FormFields[[#This Row],[NO4]]=0,"id",FormFields[[#This Row],[NO4]]+IF(ISNUMBER(VLOOKUP('Table Seed Map'!$A$14,SeedMap[],9,0)),VLOOKUP('Table Seed Map'!$A$14,SeedMap[],9,0),0))</f>
        <v>801206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1</v>
      </c>
      <c r="AU25" s="71" t="str">
        <f>'Table Seed Map'!$A$19&amp;"-"&amp;FormFields[[#This Row],[NO8]]</f>
        <v>Form Layout-6</v>
      </c>
      <c r="AV25" s="71">
        <f>COUNTIF($AT$1:FormFields[[#This Row],[Exists FL]],1)</f>
        <v>6</v>
      </c>
      <c r="AW25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5" s="71">
        <f>FormFields[Form]</f>
        <v>800905</v>
      </c>
      <c r="AY25" s="71">
        <f>IF(FormFields[[#This Row],[ID]]="id","form_field",FormFields[[#This Row],[ID]])</f>
        <v>801023</v>
      </c>
      <c r="AZ25" s="80">
        <v>4</v>
      </c>
      <c r="BA25" s="58">
        <f>FormFields[[#This Row],[ID]]</f>
        <v>801023</v>
      </c>
      <c r="BC25" s="63" t="s">
        <v>1126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801021</v>
      </c>
      <c r="BG25" s="35" t="s">
        <v>905</v>
      </c>
      <c r="BH25" s="35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1042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PartnerTask/TaskCompleteAttachment/attachment3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800905</v>
      </c>
      <c r="S26" s="73" t="s">
        <v>840</v>
      </c>
      <c r="T26" s="73" t="s">
        <v>1043</v>
      </c>
      <c r="U26" s="73" t="s">
        <v>1046</v>
      </c>
      <c r="V26" s="74"/>
      <c r="W26" s="74"/>
      <c r="X26" s="74"/>
      <c r="Y26" s="74"/>
      <c r="Z26" s="75" t="str">
        <f>'Table Seed Map'!$A$13&amp;"-"&amp;FormFields[[#This Row],[NO2]]</f>
        <v>Field Data-20</v>
      </c>
      <c r="AA26" s="76">
        <f>COUNTIFS($AB$1:FormFields[[#This Row],[Exists]],1)-1</f>
        <v>20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801120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attachment3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Options-6</v>
      </c>
      <c r="AL26" s="71">
        <f>COUNTIF($AJ$2:FormFields[[#This Row],[Exists FO]],1)</f>
        <v>6</v>
      </c>
      <c r="AM26" s="71">
        <f>IF(FormFields[[#This Row],[NO4]]=0,"id",FormFields[[#This Row],[NO4]]+IF(ISNUMBER(VLOOKUP('Table Seed Map'!$A$14,SeedMap[],9,0)),VLOOKUP('Table Seed Map'!$A$14,SeedMap[],9,0),0))</f>
        <v>801206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1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6" s="71">
        <f>FormFields[Form]</f>
        <v>800905</v>
      </c>
      <c r="AY26" s="71">
        <f>IF(FormFields[[#This Row],[ID]]="id","form_field",FormFields[[#This Row],[ID]])</f>
        <v>801024</v>
      </c>
      <c r="AZ26" s="80">
        <v>4</v>
      </c>
      <c r="BA26" s="58">
        <f>FormFields[[#This Row],[ID]]</f>
        <v>801024</v>
      </c>
      <c r="BC26" s="63" t="s">
        <v>1094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801025</v>
      </c>
      <c r="BG26" s="35" t="s">
        <v>905</v>
      </c>
      <c r="BH26" s="35">
        <v>4</v>
      </c>
    </row>
    <row r="27" spans="13:60" x14ac:dyDescent="0.25">
      <c r="M27" s="70" t="str">
        <f>'Table Seed Map'!$A$12&amp;"-"&amp;FormFields[[#This Row],[No]]</f>
        <v>Form Fields-25</v>
      </c>
      <c r="N27" s="59" t="s">
        <v>1093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PartnerTask/TaskDismissForm/task.name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1027</v>
      </c>
      <c r="T27" s="73" t="s">
        <v>1026</v>
      </c>
      <c r="U27" s="73" t="s">
        <v>1</v>
      </c>
      <c r="V27" s="74"/>
      <c r="W27" s="74"/>
      <c r="X27" s="74"/>
      <c r="Y27" s="74"/>
      <c r="Z27" s="75" t="str">
        <f>'Table Seed Map'!$A$13&amp;"-"&amp;FormFields[[#This Row],[NO2]]</f>
        <v>Field Data-20</v>
      </c>
      <c r="AA27" s="76">
        <f>COUNTIFS($AB$1:FormFields[[#This Row],[Exists]],1)-1</f>
        <v>20</v>
      </c>
      <c r="AB27" s="76">
        <f>IF(AND(FormFields[[#This Row],[Attribute]]="",FormFields[[#This Row],[Rel]]=""),0,1)</f>
        <v>0</v>
      </c>
      <c r="AC27" s="76">
        <f>IF(FormFields[[#This Row],[NO2]]=0,"id",FormFields[[#This Row],[NO2]]+IF(ISNUMBER(VLOOKUP('Table Seed Map'!$A$13,SeedMap[],9,0)),VLOOKUP('Table Seed Map'!$A$13,SeedMap[],9,0),0))</f>
        <v>801120</v>
      </c>
      <c r="AD27" s="77">
        <f>IF(FormFields[[#This Row],[ID]]="id","form_field",FormFields[[#This Row],[ID]])</f>
        <v>801025</v>
      </c>
      <c r="AE27" s="76"/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Options-6</v>
      </c>
      <c r="AL27" s="71">
        <f>COUNTIF($AJ$2:FormFields[[#This Row],[Exists FO]],1)</f>
        <v>6</v>
      </c>
      <c r="AM27" s="71">
        <f>IF(FormFields[[#This Row],[NO4]]=0,"id",FormFields[[#This Row],[NO4]]+IF(ISNUMBER(VLOOKUP('Table Seed Map'!$A$14,SeedMap[],9,0)),VLOOKUP('Table Seed Map'!$A$14,SeedMap[],9,0),0))</f>
        <v>801206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1095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801026</v>
      </c>
      <c r="BG27" s="35" t="s">
        <v>905</v>
      </c>
      <c r="BH27" s="35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1093</v>
      </c>
      <c r="O28" s="71">
        <f>COUNTA($N$1:FormFields[[#This Row],[Form Name]])-1</f>
        <v>26</v>
      </c>
      <c r="P28" s="70" t="str">
        <f>FormFields[[#This Row],[Form Name]]&amp;"/"&amp;FormFields[[#This Row],[Name]]</f>
        <v>PartnerTask/TaskDismissForm/task.description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800906</v>
      </c>
      <c r="S28" s="73" t="s">
        <v>1028</v>
      </c>
      <c r="T28" s="73" t="s">
        <v>1029</v>
      </c>
      <c r="U28" s="73" t="s">
        <v>102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0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/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Options-6</v>
      </c>
      <c r="AL28" s="71">
        <f>COUNTIF($AJ$2:FormFields[[#This Row],[Exists FO]],1)</f>
        <v>6</v>
      </c>
      <c r="AM28" s="71">
        <f>IF(FormFields[[#This Row],[NO4]]=0,"id",FormFields[[#This Row],[NO4]]+IF(ISNUMBER(VLOOKUP('Table Seed Map'!$A$14,SeedMap[],9,0)),VLOOKUP('Table Seed Map'!$A$14,SeedMap[],9,0),0))</f>
        <v>801206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800906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1127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801027</v>
      </c>
      <c r="BG28" s="35" t="s">
        <v>905</v>
      </c>
      <c r="BH28" s="35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1093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PartnerTask/TaskDismissForm/progress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800906</v>
      </c>
      <c r="S29" s="73" t="s">
        <v>823</v>
      </c>
      <c r="T29" s="73" t="s">
        <v>1026</v>
      </c>
      <c r="U29" s="73" t="s">
        <v>1039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progress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Options-6</v>
      </c>
      <c r="AL29" s="71">
        <f>COUNTIF($AJ$2:FormFields[[#This Row],[Exists FO]],1)</f>
        <v>6</v>
      </c>
      <c r="AM29" s="71">
        <f>IF(FormFields[[#This Row],[NO4]]=0,"id",FormFields[[#This Row],[NO4]]+IF(ISNUMBER(VLOOKUP('Table Seed Map'!$A$14,SeedMap[],9,0)),VLOOKUP('Table Seed Map'!$A$14,SeedMap[],9,0),0))</f>
        <v>801206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800906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1127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801027</v>
      </c>
      <c r="BG29" s="35" t="s">
        <v>44</v>
      </c>
      <c r="BH29" s="35" t="s">
        <v>1011</v>
      </c>
    </row>
    <row r="30" spans="13:60" x14ac:dyDescent="0.25">
      <c r="M30" s="70" t="str">
        <f>'Table Seed Map'!$A$12&amp;"-"&amp;FormFields[[#This Row],[No]]</f>
        <v>Form Fields-28</v>
      </c>
      <c r="N30" s="59" t="s">
        <v>1093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PartnerTask/TaskDismissForm/remarks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800906</v>
      </c>
      <c r="S30" s="73" t="s">
        <v>1123</v>
      </c>
      <c r="T30" s="73" t="s">
        <v>899</v>
      </c>
      <c r="U30" s="73" t="s">
        <v>1124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remarks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Options-6</v>
      </c>
      <c r="AL30" s="71">
        <f>COUNTIF($AJ$2:FormFields[[#This Row],[Exists FO]],1)</f>
        <v>6</v>
      </c>
      <c r="AM30" s="71">
        <f>IF(FormFields[[#This Row],[NO4]]=0,"id",FormFields[[#This Row],[NO4]]+IF(ISNUMBER(VLOOKUP('Table Seed Map'!$A$14,SeedMap[],9,0)),VLOOKUP('Table Seed Map'!$A$14,SeedMap[],9,0),0))</f>
        <v>801206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800906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1128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801028</v>
      </c>
      <c r="BG30" s="35" t="s">
        <v>905</v>
      </c>
      <c r="BH30" s="35">
        <v>4</v>
      </c>
    </row>
  </sheetData>
  <dataValidations count="9">
    <dataValidation type="list" allowBlank="1" showInputMessage="1" showErrorMessage="1" sqref="EN2:ES2 CS2:CY2 BX2 V2:Y30">
      <formula1>Relations</formula1>
    </dataValidation>
    <dataValidation type="list" allowBlank="1" showInputMessage="1" showErrorMessage="1" sqref="CH2 DY2 BV2:BW2 N2:N30">
      <formula1>FormNames</formula1>
    </dataValidation>
    <dataValidation type="list" allowBlank="1" showInputMessage="1" showErrorMessage="1" sqref="DB2 DN2 EA2 BY2 BJ2:BJ12 BC2:BC30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opLeftCell="AP1" workbookViewId="0">
      <selection activeCell="BD1" sqref="BD1:BD104857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911</v>
      </c>
      <c r="G3" s="65" t="s">
        <v>912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992</v>
      </c>
      <c r="N3" s="6">
        <f>VLOOKUP(ListExtras[[#This Row],[List Name]],ResourceList[[ListDisplayName]:[No]],2,0)</f>
        <v>802204</v>
      </c>
      <c r="O3" s="1" t="s">
        <v>993</v>
      </c>
      <c r="P3" s="1" t="s">
        <v>996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913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913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844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932</v>
      </c>
      <c r="G4" s="65" t="s">
        <v>933</v>
      </c>
      <c r="H4" s="65" t="s">
        <v>853</v>
      </c>
      <c r="I4" s="65" t="s">
        <v>23</v>
      </c>
      <c r="J4" s="65">
        <v>30</v>
      </c>
      <c r="K4" s="64">
        <f>ResourceList[No]</f>
        <v>802202</v>
      </c>
      <c r="M4" s="2" t="s">
        <v>1003</v>
      </c>
      <c r="N4" s="6">
        <f>VLOOKUP(ListExtras[[#This Row],[List Name]],ResourceList[[ListDisplayName]:[No]],2,0)</f>
        <v>802205</v>
      </c>
      <c r="O4" s="1" t="s">
        <v>1003</v>
      </c>
      <c r="P4" s="1" t="s">
        <v>996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913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913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902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846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800504</v>
      </c>
      <c r="F5" s="65" t="s">
        <v>960</v>
      </c>
      <c r="G5" s="65" t="s">
        <v>961</v>
      </c>
      <c r="H5" s="65" t="s">
        <v>851</v>
      </c>
      <c r="I5" s="65" t="s">
        <v>21</v>
      </c>
      <c r="J5" s="65">
        <v>30</v>
      </c>
      <c r="K5" s="64">
        <f>ResourceList[No]</f>
        <v>802203</v>
      </c>
      <c r="M5" s="2" t="s">
        <v>1004</v>
      </c>
      <c r="N5" s="6">
        <f>VLOOKUP(ListExtras[[#This Row],[List Name]],ResourceList[[ListDisplayName]:[No]],2,0)</f>
        <v>802206</v>
      </c>
      <c r="O5" s="1" t="s">
        <v>1004</v>
      </c>
      <c r="P5" s="1" t="s">
        <v>996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934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934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847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989</v>
      </c>
      <c r="G6" s="65" t="s">
        <v>990</v>
      </c>
      <c r="H6" s="65" t="s">
        <v>991</v>
      </c>
      <c r="I6" s="65" t="s">
        <v>21</v>
      </c>
      <c r="J6" s="65">
        <v>30</v>
      </c>
      <c r="K6" s="64">
        <f>ResourceList[No]</f>
        <v>802204</v>
      </c>
      <c r="M6" s="2" t="s">
        <v>1005</v>
      </c>
      <c r="N6" s="6">
        <f>VLOOKUP(ListExtras[[#This Row],[List Name]],ResourceList[[ListDisplayName]:[No]],2,0)</f>
        <v>802207</v>
      </c>
      <c r="O6" s="1" t="s">
        <v>1005</v>
      </c>
      <c r="P6" s="1" t="s">
        <v>996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934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855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934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920</v>
      </c>
      <c r="AY6" s="65" t="s">
        <v>855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847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891</v>
      </c>
      <c r="G7" s="13" t="s">
        <v>997</v>
      </c>
      <c r="H7" s="13" t="s">
        <v>998</v>
      </c>
      <c r="I7" s="65" t="s">
        <v>21</v>
      </c>
      <c r="J7" s="65">
        <v>30</v>
      </c>
      <c r="K7" s="3">
        <f>ResourceList[No]</f>
        <v>802205</v>
      </c>
      <c r="M7" s="61" t="s">
        <v>1077</v>
      </c>
      <c r="N7" s="62">
        <f>VLOOKUP(ListExtras[[#This Row],[List Name]],ResourceList[[ListDisplayName]:[No]],2,0)</f>
        <v>802208</v>
      </c>
      <c r="O7" s="1" t="s">
        <v>1005</v>
      </c>
      <c r="P7" s="1" t="s">
        <v>1072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962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</v>
      </c>
      <c r="AY7" s="65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847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892</v>
      </c>
      <c r="G8" s="13" t="s">
        <v>999</v>
      </c>
      <c r="H8" s="13" t="s">
        <v>1000</v>
      </c>
      <c r="I8" s="65" t="s">
        <v>21</v>
      </c>
      <c r="J8" s="65">
        <v>30</v>
      </c>
      <c r="K8" s="3">
        <f>ResourceList[No]</f>
        <v>802206</v>
      </c>
      <c r="M8" s="61" t="s">
        <v>1077</v>
      </c>
      <c r="N8" s="62">
        <f>VLOOKUP(ListExtras[[#This Row],[List Name]],ResourceList[[ListDisplayName]:[No]],2,0)</f>
        <v>802208</v>
      </c>
      <c r="O8" s="63" t="s">
        <v>1066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962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902</v>
      </c>
      <c r="AY8" s="65" t="s">
        <v>809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847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890</v>
      </c>
      <c r="G9" s="13" t="s">
        <v>1001</v>
      </c>
      <c r="H9" s="13" t="s">
        <v>1002</v>
      </c>
      <c r="I9" s="65" t="s">
        <v>21</v>
      </c>
      <c r="J9" s="65">
        <v>30</v>
      </c>
      <c r="K9" s="3">
        <f>ResourceList[No]</f>
        <v>802207</v>
      </c>
      <c r="M9" s="61" t="s">
        <v>1104</v>
      </c>
      <c r="N9" s="62">
        <f>VLOOKUP(ListExtras[[#This Row],[List Name]],ResourceList[[ListDisplayName]:[No]],2,0)</f>
        <v>802209</v>
      </c>
      <c r="O9" s="63"/>
      <c r="P9" s="63" t="s">
        <v>1072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992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800809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996</v>
      </c>
      <c r="AP9" s="13"/>
      <c r="AQ9" s="13"/>
      <c r="AR9" s="13"/>
      <c r="AT9" s="15" t="str">
        <f>'Table Seed Map'!$A$27&amp;"-"&amp;COUNTA($AV$1:ListLayout[[#This Row],[No]])-2</f>
        <v>List Layout-7</v>
      </c>
      <c r="AU9" s="2" t="s">
        <v>992</v>
      </c>
      <c r="AV9" s="15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15">
        <f>IFERROR(VLOOKUP(ListLayout[[#This Row],[List Name for Layout]],ResourceList[[ListDisplayName]:[No]],2,0),"resource_list")</f>
        <v>802204</v>
      </c>
      <c r="AX9" s="15" t="s">
        <v>1</v>
      </c>
      <c r="AY9" s="13" t="s">
        <v>23</v>
      </c>
      <c r="AZ9" s="15">
        <f>IF(ListLayout[[#This Row],[List Name for Layout]]="","relation",IFERROR(VLOOKUP(ListLayout[[#This Row],[Relation]],RelationTable[[Display]:[RELID]],2,0),""))</f>
        <v>800809</v>
      </c>
      <c r="BA9" s="15" t="str">
        <f>IF(ListLayout[[#This Row],[List Name for Layout]]="","nest_relation1",IFERROR(VLOOKUP(ListLayout[[#This Row],[Relation 1]],RelationTable[[Display]:[RELID]],2,0),""))</f>
        <v/>
      </c>
      <c r="BB9" s="15" t="str">
        <f>IF(ListLayout[[#This Row],[List Name for Layout]]="","nest_relation2",IFERROR(VLOOKUP(ListLayout[[#This Row],[Relation 2]],RelationTable[[Display]:[RELID]],2,0),""))</f>
        <v/>
      </c>
      <c r="BC9" s="13" t="s">
        <v>996</v>
      </c>
      <c r="BD9" s="13"/>
      <c r="BE9" s="13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847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1073</v>
      </c>
      <c r="G10" s="65" t="s">
        <v>1074</v>
      </c>
      <c r="H10" s="65" t="s">
        <v>1080</v>
      </c>
      <c r="I10" s="65" t="s">
        <v>1027</v>
      </c>
      <c r="J10" s="65">
        <v>15</v>
      </c>
      <c r="K10" s="64">
        <f>ResourceList[No]</f>
        <v>802208</v>
      </c>
      <c r="M10" s="61" t="s">
        <v>1111</v>
      </c>
      <c r="N10" s="62">
        <f>VLOOKUP(ListExtras[[#This Row],[List Name]],ResourceList[[ListDisplayName]:[No]],2,0)</f>
        <v>802210</v>
      </c>
      <c r="O10" s="63"/>
      <c r="P10" s="63" t="s">
        <v>996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992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800809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996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1003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802205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800809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996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847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1099</v>
      </c>
      <c r="G11" s="65" t="s">
        <v>1102</v>
      </c>
      <c r="H11" s="65" t="s">
        <v>1103</v>
      </c>
      <c r="I11" s="65" t="s">
        <v>1088</v>
      </c>
      <c r="J11" s="65">
        <v>30</v>
      </c>
      <c r="K11" s="64">
        <f>ResourceList[No]</f>
        <v>802209</v>
      </c>
      <c r="AF11" s="60" t="str">
        <f>'Table Seed Map'!$A$28&amp;"-"&amp;COUNTA($AH$1:ListSearch[[#This Row],[No]])-2</f>
        <v>List Search-9</v>
      </c>
      <c r="AG11" s="2" t="s">
        <v>992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1123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1003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1124</v>
      </c>
      <c r="AY11" s="13" t="s">
        <v>1123</v>
      </c>
      <c r="AZ11" s="15" t="str">
        <f>IF(ListLayout[[#This Row],[List Name for Layout]]="","relation",IFERROR(VLOOKUP(ListLayout[[#This Row],[Relation]],RelationTable[[Display]:[RELID]],2,0),""))</f>
        <v/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/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847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1108</v>
      </c>
      <c r="G12" s="65" t="s">
        <v>1109</v>
      </c>
      <c r="H12" s="65" t="s">
        <v>1110</v>
      </c>
      <c r="I12" s="65" t="s">
        <v>1027</v>
      </c>
      <c r="J12" s="65">
        <v>30</v>
      </c>
      <c r="K12" s="64">
        <f>ResourceList[No]</f>
        <v>802210</v>
      </c>
      <c r="AF12" s="15" t="str">
        <f>'Table Seed Map'!$A$28&amp;"-"&amp;COUNTA($AH$1:ListSearch[[#This Row],[No]])-2</f>
        <v>List Search-10</v>
      </c>
      <c r="AG12" s="2" t="s">
        <v>1003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996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1004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802206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996</v>
      </c>
      <c r="BD12" s="13"/>
      <c r="BE12" s="13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1003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800809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996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1004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1124</v>
      </c>
      <c r="AY13" s="13" t="s">
        <v>1123</v>
      </c>
      <c r="AZ13" s="15" t="str">
        <f>IF(ListLayout[[#This Row],[List Name for Layout]]="","relation",IFERROR(VLOOKUP(ListLayout[[#This Row],[Relation]],RelationTable[[Display]:[RELID]],2,0),""))</f>
        <v/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/>
      <c r="BD13" s="13"/>
      <c r="BE13" s="13"/>
    </row>
    <row r="14" spans="1:57" x14ac:dyDescent="0.25">
      <c r="AF14" s="60" t="str">
        <f>'Table Seed Map'!$A$28&amp;"-"&amp;COUNTA($AH$1:ListSearch[[#This Row],[No]])-2</f>
        <v>List Search-12</v>
      </c>
      <c r="AG14" s="2" t="s">
        <v>1003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1123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1005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802207</v>
      </c>
      <c r="AX14" s="15" t="s">
        <v>1</v>
      </c>
      <c r="AY14" s="13" t="s">
        <v>23</v>
      </c>
      <c r="AZ14" s="15">
        <f>IF(ListLayout[[#This Row],[List Name for Layout]]="","relation",IFERROR(VLOOKUP(ListLayout[[#This Row],[Relation]],RelationTable[[Display]:[RELID]],2,0),""))</f>
        <v>800809</v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 t="s">
        <v>996</v>
      </c>
      <c r="BD14" s="13"/>
      <c r="BE14" s="13"/>
    </row>
    <row r="15" spans="1:57" x14ac:dyDescent="0.25">
      <c r="AF15" s="15" t="str">
        <f>'Table Seed Map'!$A$28&amp;"-"&amp;COUNTA($AH$1:ListSearch[[#This Row],[No]])-2</f>
        <v>List Search-13</v>
      </c>
      <c r="AG15" s="2" t="s">
        <v>1004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996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1005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1124</v>
      </c>
      <c r="AY15" s="13" t="s">
        <v>1123</v>
      </c>
      <c r="AZ15" s="15" t="str">
        <f>IF(ListLayout[[#This Row],[List Name for Layout]]="","relation",IFERROR(VLOOKUP(ListLayout[[#This Row],[Relation]],RelationTable[[Display]:[RELID]],2,0),""))</f>
        <v/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/>
      <c r="BD15" s="13"/>
      <c r="BE15" s="13"/>
    </row>
    <row r="16" spans="1:57" x14ac:dyDescent="0.25">
      <c r="AF16" s="15" t="str">
        <f>'Table Seed Map'!$A$28&amp;"-"&amp;COUNTA($AH$1:ListSearch[[#This Row],[No]])-2</f>
        <v>List Search-14</v>
      </c>
      <c r="AG16" s="2" t="s">
        <v>1004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800809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996</v>
      </c>
      <c r="AP16" s="13"/>
      <c r="AQ16" s="13"/>
      <c r="AR16" s="13"/>
      <c r="AT16" s="60" t="str">
        <f>'Table Seed Map'!$A$27&amp;"-"&amp;COUNTA($AV$1:ListLayout[[#This Row],[No]])-2</f>
        <v>List Layout-14</v>
      </c>
      <c r="AU16" s="2" t="s">
        <v>1077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60">
        <f>IFERROR(VLOOKUP(ListLayout[[#This Row],[List Name for Layout]],ResourceList[[ListDisplayName]:[No]],2,0),"resource_list")</f>
        <v>802208</v>
      </c>
      <c r="AX16" s="60" t="s">
        <v>844</v>
      </c>
      <c r="AY16" s="65" t="s">
        <v>23</v>
      </c>
      <c r="AZ16" s="60">
        <f>IF(ListLayout[[#This Row],[List Name for Layout]]="","relation",IFERROR(VLOOKUP(ListLayout[[#This Row],[Relation]],RelationTable[[Display]:[RELID]],2,0),""))</f>
        <v>800810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5" t="s">
        <v>1072</v>
      </c>
      <c r="BD16" s="65"/>
      <c r="BE16" s="65"/>
    </row>
    <row r="17" spans="32:57" x14ac:dyDescent="0.25">
      <c r="AF17" s="60" t="str">
        <f>'Table Seed Map'!$A$28&amp;"-"&amp;COUNTA($AH$1:ListSearch[[#This Row],[No]])-2</f>
        <v>List Search-15</v>
      </c>
      <c r="AG17" s="2" t="s">
        <v>1004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1123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60" t="str">
        <f>'Table Seed Map'!$A$27&amp;"-"&amp;COUNTA($AV$1:ListLayout[[#This Row],[No]])-2</f>
        <v>List Layout-15</v>
      </c>
      <c r="AU17" s="2" t="s">
        <v>1077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1075</v>
      </c>
      <c r="AY17" s="65" t="s">
        <v>1076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5"/>
      <c r="BD17" s="65"/>
      <c r="BE17" s="65"/>
    </row>
    <row r="18" spans="32:57" x14ac:dyDescent="0.25">
      <c r="AF18" s="15" t="str">
        <f>'Table Seed Map'!$A$28&amp;"-"&amp;COUNTA($AH$1:ListSearch[[#This Row],[No]])-2</f>
        <v>List Search-16</v>
      </c>
      <c r="AG18" s="2" t="s">
        <v>1005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996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61" t="s">
        <v>1104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802209</v>
      </c>
      <c r="AX18" s="60" t="s">
        <v>844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800810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1072</v>
      </c>
      <c r="BD18" s="65"/>
      <c r="BE18" s="65"/>
    </row>
    <row r="19" spans="32:57" x14ac:dyDescent="0.25">
      <c r="AF19" s="15" t="str">
        <f>'Table Seed Map'!$A$28&amp;"-"&amp;COUNTA($AH$1:ListSearch[[#This Row],[No]])-2</f>
        <v>List Search-17</v>
      </c>
      <c r="AG19" s="2" t="s">
        <v>1005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800809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996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61" t="s">
        <v>1104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802209</v>
      </c>
      <c r="AX19" s="60" t="s">
        <v>902</v>
      </c>
      <c r="AY19" s="65" t="s">
        <v>823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32:57" x14ac:dyDescent="0.25">
      <c r="AF20" s="60" t="str">
        <f>'Table Seed Map'!$A$28&amp;"-"&amp;COUNTA($AH$1:ListSearch[[#This Row],[No]])-2</f>
        <v>List Search-18</v>
      </c>
      <c r="AG20" s="2" t="s">
        <v>1005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1123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1104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1075</v>
      </c>
      <c r="AY20" s="65" t="s">
        <v>1076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/>
      <c r="BD20" s="65"/>
      <c r="BE20" s="65"/>
    </row>
    <row r="21" spans="32:57" x14ac:dyDescent="0.25">
      <c r="AF21" s="60" t="str">
        <f>'Table Seed Map'!$A$28&amp;"-"&amp;COUNTA($AH$1:ListSearch[[#This Row],[No]])-2</f>
        <v>List Search-19</v>
      </c>
      <c r="AG21" s="61" t="s">
        <v>1077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800809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996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1104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1124</v>
      </c>
      <c r="AY21" s="65" t="s">
        <v>1123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32:57" x14ac:dyDescent="0.25">
      <c r="AF22" s="60" t="str">
        <f>'Table Seed Map'!$A$28&amp;"-"&amp;COUNTA($AH$1:ListSearch[[#This Row],[No]])-2</f>
        <v>List Search-20</v>
      </c>
      <c r="AG22" s="61" t="s">
        <v>1077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800809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996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1111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846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800809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 t="s">
        <v>996</v>
      </c>
      <c r="BD22" s="65"/>
      <c r="BE22" s="65"/>
    </row>
    <row r="23" spans="32:57" x14ac:dyDescent="0.25">
      <c r="AF23" s="60" t="str">
        <f>'Table Seed Map'!$A$28&amp;"-"&amp;COUNTA($AH$1:ListSearch[[#This Row],[No]])-2</f>
        <v>List Search-21</v>
      </c>
      <c r="AG23" s="61" t="s">
        <v>1077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800810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1072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1111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902</v>
      </c>
      <c r="AY23" s="65" t="s">
        <v>823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32:57" x14ac:dyDescent="0.25">
      <c r="AF24" s="60" t="str">
        <f>'Table Seed Map'!$A$28&amp;"-"&amp;COUNTA($AH$1:ListSearch[[#This Row],[No]])-2</f>
        <v>List Search-22</v>
      </c>
      <c r="AG24" s="61" t="s">
        <v>1077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1123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1111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1075</v>
      </c>
      <c r="AY24" s="65" t="s">
        <v>1076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32:57" x14ac:dyDescent="0.25">
      <c r="AF25" s="60" t="str">
        <f>'Table Seed Map'!$A$28&amp;"-"&amp;COUNTA($AH$1:ListSearch[[#This Row],[No]])-2</f>
        <v>List Search-23</v>
      </c>
      <c r="AG25" s="61" t="s">
        <v>1104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1072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1111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1124</v>
      </c>
      <c r="AY25" s="65" t="s">
        <v>1123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32:57" x14ac:dyDescent="0.25">
      <c r="AF26" s="60" t="str">
        <f>'Table Seed Map'!$A$28&amp;"-"&amp;COUNTA($AH$1:ListSearch[[#This Row],[No]])-2</f>
        <v>List Search-24</v>
      </c>
      <c r="AG26" s="61" t="s">
        <v>1104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800809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996</v>
      </c>
      <c r="AP26" s="65"/>
      <c r="AQ26" s="65"/>
      <c r="AR26" s="65"/>
    </row>
    <row r="27" spans="32:57" x14ac:dyDescent="0.25">
      <c r="AF27" s="60" t="str">
        <f>'Table Seed Map'!$A$28&amp;"-"&amp;COUNTA($AH$1:ListSearch[[#This Row],[No]])-2</f>
        <v>List Search-25</v>
      </c>
      <c r="AG27" s="61" t="s">
        <v>1104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800809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996</v>
      </c>
      <c r="AP27" s="65"/>
      <c r="AQ27" s="65"/>
      <c r="AR27" s="65"/>
    </row>
    <row r="28" spans="32:57" x14ac:dyDescent="0.25">
      <c r="AF28" s="60" t="str">
        <f>'Table Seed Map'!$A$28&amp;"-"&amp;COUNTA($AH$1:ListSearch[[#This Row],[No]])-2</f>
        <v>List Search-26</v>
      </c>
      <c r="AG28" s="61" t="s">
        <v>1104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1123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</row>
  </sheetData>
  <dataValidations count="4">
    <dataValidation type="list" allowBlank="1" showInputMessage="1" showErrorMessage="1" sqref="BE16 P2:S10 BC16 BC2:BE15 BC17:BE17 AO2:AR28">
      <formula1>Relations</formula1>
    </dataValidation>
    <dataValidation type="list" allowBlank="1" showInputMessage="1" showErrorMessage="1" sqref="M2:M10 AG2:AG28 AU2:AU25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AD1" workbookViewId="0">
      <selection activeCell="AM3" sqref="AM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847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877</v>
      </c>
      <c r="G3" s="13" t="s">
        <v>1021</v>
      </c>
      <c r="H3" s="13" t="s">
        <v>1027</v>
      </c>
      <c r="I3" s="51"/>
      <c r="J3" s="53">
        <f>ResourceData[No]</f>
        <v>802701</v>
      </c>
      <c r="L3" s="2" t="s">
        <v>1032</v>
      </c>
      <c r="M3" s="6">
        <f>VLOOKUP(DataExtra[[#This Row],[Data Name]],ResourceData[[DataDisplayName]:[No]],2,0)</f>
        <v>802701</v>
      </c>
      <c r="N3" s="1"/>
      <c r="O3" s="2" t="s">
        <v>996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1032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1088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1081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996</v>
      </c>
    </row>
    <row r="4" spans="1:49" x14ac:dyDescent="0.25">
      <c r="L4" s="61" t="s">
        <v>1032</v>
      </c>
      <c r="M4" s="62">
        <f>VLOOKUP(DataExtra[[#This Row],[Data Name]],ResourceData[[DataDisplayName]:[No]],2,0)</f>
        <v>802701</v>
      </c>
      <c r="N4" s="63"/>
      <c r="O4" s="2" t="s">
        <v>1072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1032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1122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1081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996</v>
      </c>
    </row>
    <row r="5" spans="1:49" x14ac:dyDescent="0.25">
      <c r="AE5" s="60" t="str">
        <f>'Table Seed Map'!$A$32&amp;"-"&amp;COUNTA($AF$1:DataViewSection[[#This Row],[Data Name for Layout]])-1</f>
        <v>Data View Section-3</v>
      </c>
      <c r="AF5" s="61" t="s">
        <v>1032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1084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902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P6" s="60" t="str">
        <f>'Table Seed Map'!$A$33&amp;"-"&amp;-1+COUNTA($AQ$1:DataViewSectionItem[[#This Row],[Data Section for Items]])</f>
        <v>Data View Section Items-4</v>
      </c>
      <c r="AQ6" s="61" t="s">
        <v>1082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1075</v>
      </c>
      <c r="AU6" s="65" t="s">
        <v>1076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P7" s="60" t="str">
        <f>'Table Seed Map'!$A$33&amp;"-"&amp;-1+COUNTA($AQ$1:DataViewSectionItem[[#This Row],[Data Section for Items]])</f>
        <v>Data View Section Items-5</v>
      </c>
      <c r="AQ7" s="61" t="s">
        <v>1082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1124</v>
      </c>
      <c r="AU7" s="65" t="s">
        <v>1123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P8" s="60" t="str">
        <f>'Table Seed Map'!$A$33&amp;"-"&amp;-1+COUNTA($AQ$1:DataViewSectionItem[[#This Row],[Data Section for Items]])</f>
        <v>Data View Section Items-6</v>
      </c>
      <c r="AQ8" s="61" t="s">
        <v>1083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1085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1083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1086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1083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1087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Group/GroupList</v>
      </c>
      <c r="O8" s="6" t="str">
        <f ca="1">IF(IDNMaps[[#This Row],[Name]]="","","("&amp;IDNMaps[[#This Row],[Type]]&amp;") "&amp;IDNMaps[[#This Row],[Name]])</f>
        <v>(Lists) Group/GroupList</v>
      </c>
      <c r="P8" s="6">
        <f ca="1">IFERROR(VLOOKUP(IDNMaps[[#This Row],[Primary]],INDIRECT(VLOOKUP(IDNMaps[[#This Row],[Type]],RecordCount[],2,0)),VLOOKUP(IDNMaps[[#This Row],[Type]],RecordCount[],8,0),0),"")</f>
        <v>802201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Partner/PartnerList</v>
      </c>
      <c r="O9" s="6" t="str">
        <f ca="1">IF(IDNMaps[[#This Row],[Name]]="","","("&amp;IDNMaps[[#This Row],[Type]]&amp;") "&amp;IDNMaps[[#This Row],[Name]])</f>
        <v>(Lists) Partner/PartnerList</v>
      </c>
      <c r="P9" s="6">
        <f ca="1">IFERROR(VLOOKUP(IDNMaps[[#This Row],[Primary]],INDIRECT(VLOOKUP(IDNMaps[[#This Row],[Type]],RecordCount[],2,0)),VLOOKUP(IDNMaps[[#This Row],[Type]],RecordCount[],8,0),0),"")</f>
        <v>802202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Task/Task List</v>
      </c>
      <c r="O10" s="6" t="str">
        <f ca="1">IF(IDNMaps[[#This Row],[Name]]="","","("&amp;IDNMaps[[#This Row],[Type]]&amp;") "&amp;IDNMaps[[#This Row],[Name]])</f>
        <v>(Lists) Task/Task List</v>
      </c>
      <c r="P10" s="6">
        <f ca="1">IFERROR(VLOOKUP(IDNMaps[[#This Row],[Primary]],INDIRECT(VLOOKUP(IDNMaps[[#This Row],[Type]],RecordCount[],2,0)),VLOOKUP(IDNMaps[[#This Row],[Type]],RecordCount[],8,0),0),"")</f>
        <v>802203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PartnerTask/NewTaskList</v>
      </c>
      <c r="O11" s="6" t="str">
        <f ca="1">IF(IDNMaps[[#This Row],[Name]]="","","("&amp;IDNMaps[[#This Row],[Type]]&amp;") "&amp;IDNMaps[[#This Row],[Name]])</f>
        <v>(Lists) PartnerTask/NewTaskList</v>
      </c>
      <c r="P11" s="6">
        <f ca="1">IFERROR(VLOOKUP(IDNMaps[[#This Row],[Primary]],INDIRECT(VLOOKUP(IDNMaps[[#This Row],[Type]],RecordCount[],2,0)),VLOOKUP(IDNMaps[[#This Row],[Type]],RecordCount[],8,0),0),"")</f>
        <v>802204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2" s="6" t="str">
        <f ca="1">IF(IDNMaps[[#This Row],[Name]]="","","("&amp;IDNMaps[[#This Row],[Type]]&amp;") "&amp;IDNMaps[[#This Row],[Name]])</f>
        <v>(Lists) PartnerTask/DismissedTasks</v>
      </c>
      <c r="P12" s="6">
        <f ca="1">IFERROR(VLOOKUP(IDNMaps[[#This Row],[Primary]],INDIRECT(VLOOKUP(IDNMaps[[#This Row],[Type]],RecordCount[],2,0)),VLOOKUP(IDNMaps[[#This Row],[Type]],RecordCount[],8,0),0),"")</f>
        <v>802205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PartnerTask/ReturnedTasks</v>
      </c>
      <c r="O13" s="6" t="str">
        <f ca="1">IF(IDNMaps[[#This Row],[Name]]="","","("&amp;IDNMaps[[#This Row],[Type]]&amp;") "&amp;IDNMaps[[#This Row],[Name]])</f>
        <v>(Lists) PartnerTask/ReturnedTasks</v>
      </c>
      <c r="P13" s="6">
        <f ca="1">IFERROR(VLOOKUP(IDNMaps[[#This Row],[Primary]],INDIRECT(VLOOKUP(IDNMaps[[#This Row],[Type]],RecordCount[],2,0)),VLOOKUP(IDNMaps[[#This Row],[Type]],RecordCount[],8,0),0),"")</f>
        <v>802206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4" s="6" t="str">
        <f ca="1">IF(IDNMaps[[#This Row],[Name]]="","","("&amp;IDNMaps[[#This Row],[Type]]&amp;") "&amp;IDNMaps[[#This Row],[Name]])</f>
        <v>(Lists) PartnerTask/CompletedTasks</v>
      </c>
      <c r="P14" s="6">
        <f ca="1">IFERROR(VLOOKUP(IDNMaps[[#This Row],[Primary]],INDIRECT(VLOOKUP(IDNMaps[[#This Row],[Type]],RecordCount[],2,0)),VLOOKUP(IDNMaps[[#This Row],[Type]],RecordCount[],8,0),0),"")</f>
        <v>802207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5" s="6" t="str">
        <f ca="1">IF(IDNMaps[[#This Row],[Name]]="","","("&amp;IDNMaps[[#This Row],[Type]]&amp;") "&amp;IDNMaps[[#This Row],[Name]])</f>
        <v>(Lists) PartnerTask/RecentlyCompletedTasks</v>
      </c>
      <c r="P15" s="6">
        <f ca="1">IFERROR(VLOOKUP(IDNMaps[[#This Row],[Primary]],INDIRECT(VLOOKUP(IDNMaps[[#This Row],[Type]],RecordCount[],2,0)),VLOOKUP(IDNMaps[[#This Row],[Type]],RecordCount[],8,0),0),"")</f>
        <v>802208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6" s="6" t="str">
        <f ca="1">IF(IDNMaps[[#This Row],[Name]]="","","("&amp;IDNMaps[[#This Row],[Type]]&amp;") "&amp;IDNMaps[[#This Row],[Name]])</f>
        <v>(Lists) PartnerTask/TaskPartnerProgress</v>
      </c>
      <c r="P16" s="6">
        <f ca="1">IFERROR(VLOOKUP(IDNMaps[[#This Row],[Primary]],INDIRECT(VLOOKUP(IDNMaps[[#This Row],[Type]],RecordCount[],2,0)),VLOOKUP(IDNMaps[[#This Row],[Type]],RecordCount[],8,0),0),"")</f>
        <v>802209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10</v>
      </c>
      <c r="M17" s="6" t="str">
        <f ca="1">IFERROR(VLOOKUP(IDNMaps[[#This Row],[Type]],RecordCount[],6,0)&amp;"-"&amp;IDNMaps[[#This Row],[Type Count]],"")</f>
        <v>Resource Lists-10</v>
      </c>
      <c r="N17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17" s="6" t="str">
        <f ca="1">IF(IDNMaps[[#This Row],[Name]]="","","("&amp;IDNMaps[[#This Row],[Type]]&amp;") "&amp;IDNMaps[[#This Row],[Name]])</f>
        <v>(Lists) PartnerTask/PartnerTaskProgress</v>
      </c>
      <c r="P17" s="6">
        <f ca="1">IFERROR(VLOOKUP(IDNMaps[[#This Row],[Primary]],INDIRECT(VLOOKUP(IDNMaps[[#This Row],[Type]],RecordCount[],2,0)),VLOOKUP(IDNMaps[[#This Row],[Type]],RecordCount[],8,0),0),"")</f>
        <v>802210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Data-1</v>
      </c>
      <c r="N18" s="6" t="str">
        <f ca="1">IFERROR(VLOOKUP(IDNMaps[[#This Row],[Primary]],INDIRECT(VLOOKUP(IDNMaps[[#This Row],[Type]],RecordCount[],2,0)),VLOOKUP(IDNMaps[[#This Row],[Type]],RecordCount[],7,0),0),"")</f>
        <v>PartnerTask/TaskProgress</v>
      </c>
      <c r="O18" s="6" t="str">
        <f ca="1">IF(IDNMaps[[#This Row],[Name]]="","","("&amp;IDNMaps[[#This Row],[Type]]&amp;") "&amp;IDNMaps[[#This Row],[Name]])</f>
        <v>(Data) PartnerTask/TaskProgress</v>
      </c>
      <c r="P18" s="6">
        <f ca="1">IFERROR(VLOOKUP(IDNMaps[[#This Row],[Primary]],INDIRECT(VLOOKUP(IDNMaps[[#This Row],[Type]],RecordCount[],2,0)),VLOOKUP(IDNMaps[[#This Row],[Type]],RecordCount[],8,0),0),"")</f>
        <v>802701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Partner/Groups</v>
      </c>
      <c r="O19" s="6" t="str">
        <f ca="1">IF(IDNMaps[[#This Row],[Name]]="","","("&amp;IDNMaps[[#This Row],[Type]]&amp;") "&amp;IDNMaps[[#This Row],[Name]])</f>
        <v>(Relation) Partner/Groups</v>
      </c>
      <c r="P19" s="6">
        <f ca="1">IFERROR(VLOOKUP(IDNMaps[[#This Row],[Primary]],INDIRECT(VLOOKUP(IDNMaps[[#This Row],[Type]],RecordCount[],2,0)),VLOOKUP(IDNMaps[[#This Row],[Type]],RecordCount[],8,0),0),"")</f>
        <v>800801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Partner/Tasks</v>
      </c>
      <c r="O20" s="6" t="str">
        <f ca="1">IF(IDNMaps[[#This Row],[Name]]="","","("&amp;IDNMaps[[#This Row],[Type]]&amp;") "&amp;IDNMaps[[#This Row],[Name]])</f>
        <v>(Relation) Partner/Tasks</v>
      </c>
      <c r="P20" s="6">
        <f ca="1">IFERROR(VLOOKUP(IDNMaps[[#This Row],[Primary]],INDIRECT(VLOOKUP(IDNMaps[[#This Row],[Type]],RecordCount[],2,0)),VLOOKUP(IDNMaps[[#This Row],[Type]],RecordCount[],8,0),0),"")</f>
        <v>800802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Group/Partners</v>
      </c>
      <c r="O21" s="6" t="str">
        <f ca="1">IF(IDNMaps[[#This Row],[Name]]="","","("&amp;IDNMaps[[#This Row],[Type]]&amp;") "&amp;IDNMaps[[#This Row],[Name]])</f>
        <v>(Relation) Group/Partners</v>
      </c>
      <c r="P21" s="6">
        <f ca="1">IFERROR(VLOOKUP(IDNMaps[[#This Row],[Primary]],INDIRECT(VLOOKUP(IDNMaps[[#This Row],[Type]],RecordCount[],2,0)),VLOOKUP(IDNMaps[[#This Row],[Type]],RecordCount[],8,0),0),"")</f>
        <v>800803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4</v>
      </c>
      <c r="M22" s="6" t="str">
        <f ca="1">IFERROR(VLOOKUP(IDNMaps[[#This Row],[Type]],RecordCount[],6,0)&amp;"-"&amp;IDNMaps[[#This Row],[Type Count]],"")</f>
        <v>Resource Relations-4</v>
      </c>
      <c r="N22" s="6" t="str">
        <f ca="1">IFERROR(VLOOKUP(IDNMaps[[#This Row],[Primary]],INDIRECT(VLOOKUP(IDNMaps[[#This Row],[Type]],RecordCount[],2,0)),VLOOKUP(IDNMaps[[#This Row],[Type]],RecordCount[],7,0),0),"")</f>
        <v>Task/Main</v>
      </c>
      <c r="O22" s="6" t="str">
        <f ca="1">IF(IDNMaps[[#This Row],[Name]]="","","("&amp;IDNMaps[[#This Row],[Type]]&amp;") "&amp;IDNMaps[[#This Row],[Name]])</f>
        <v>(Relation) Task/Main</v>
      </c>
      <c r="P22" s="6">
        <f ca="1">IFERROR(VLOOKUP(IDNMaps[[#This Row],[Primary]],INDIRECT(VLOOKUP(IDNMaps[[#This Row],[Type]],RecordCount[],2,0)),VLOOKUP(IDNMaps[[#This Row],[Type]],RecordCount[],8,0),0),"")</f>
        <v>800804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5</v>
      </c>
      <c r="M23" s="6" t="str">
        <f ca="1">IFERROR(VLOOKUP(IDNMaps[[#This Row],[Type]],RecordCount[],6,0)&amp;"-"&amp;IDNMaps[[#This Row],[Type Count]],"")</f>
        <v>Resource Relations-5</v>
      </c>
      <c r="N23" s="6" t="str">
        <f ca="1">IFERROR(VLOOKUP(IDNMaps[[#This Row],[Primary]],INDIRECT(VLOOKUP(IDNMaps[[#This Row],[Type]],RecordCount[],2,0)),VLOOKUP(IDNMaps[[#This Row],[Type]],RecordCount[],7,0),0),"")</f>
        <v>Task/Tasks</v>
      </c>
      <c r="O23" s="6" t="str">
        <f ca="1">IF(IDNMaps[[#This Row],[Name]]="","","("&amp;IDNMaps[[#This Row],[Type]]&amp;") "&amp;IDNMaps[[#This Row],[Name]])</f>
        <v>(Relation) Task/Tasks</v>
      </c>
      <c r="P23" s="6">
        <f ca="1">IFERROR(VLOOKUP(IDNMaps[[#This Row],[Primary]],INDIRECT(VLOOKUP(IDNMaps[[#This Row],[Type]],RecordCount[],2,0)),VLOOKUP(IDNMaps[[#This Row],[Type]],RecordCount[],8,0),0),"")</f>
        <v>800805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6</v>
      </c>
      <c r="M24" s="6" t="str">
        <f ca="1">IFERROR(VLOOKUP(IDNMaps[[#This Row],[Type]],RecordCount[],6,0)&amp;"-"&amp;IDNMaps[[#This Row],[Type Count]],"")</f>
        <v>Resource Relations-6</v>
      </c>
      <c r="N24" s="6" t="str">
        <f ca="1">IFERROR(VLOOKUP(IDNMaps[[#This Row],[Primary]],INDIRECT(VLOOKUP(IDNMaps[[#This Row],[Type]],RecordCount[],2,0)),VLOOKUP(IDNMaps[[#This Row],[Type]],RecordCount[],7,0),0),"")</f>
        <v>Task/Partners</v>
      </c>
      <c r="O24" s="6" t="str">
        <f ca="1">IF(IDNMaps[[#This Row],[Name]]="","","("&amp;IDNMaps[[#This Row],[Type]]&amp;") "&amp;IDNMaps[[#This Row],[Name]])</f>
        <v>(Relation) Task/Partners</v>
      </c>
      <c r="P24" s="6">
        <f ca="1">IFERROR(VLOOKUP(IDNMaps[[#This Row],[Primary]],INDIRECT(VLOOKUP(IDNMaps[[#This Row],[Type]],RecordCount[],2,0)),VLOOKUP(IDNMaps[[#This Row],[Type]],RecordCount[],8,0),0),"")</f>
        <v>800806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7</v>
      </c>
      <c r="M25" s="6" t="str">
        <f ca="1">IFERROR(VLOOKUP(IDNMaps[[#This Row],[Type]],RecordCount[],6,0)&amp;"-"&amp;IDNMaps[[#This Row],[Type Count]],"")</f>
        <v>Resource Relations-7</v>
      </c>
      <c r="N25" s="6" t="str">
        <f ca="1">IFERROR(VLOOKUP(IDNMaps[[#This Row],[Primary]],INDIRECT(VLOOKUP(IDNMaps[[#This Row],[Type]],RecordCount[],2,0)),VLOOKUP(IDNMaps[[#This Row],[Type]],RecordCount[],7,0),0),"")</f>
        <v>Task/Progress</v>
      </c>
      <c r="O25" s="6" t="str">
        <f ca="1">IF(IDNMaps[[#This Row],[Name]]="","","("&amp;IDNMaps[[#This Row],[Type]]&amp;") "&amp;IDNMaps[[#This Row],[Name]])</f>
        <v>(Relation) Task/Progress</v>
      </c>
      <c r="P25" s="6">
        <f ca="1">IFERROR(VLOOKUP(IDNMaps[[#This Row],[Primary]],INDIRECT(VLOOKUP(IDNMaps[[#This Row],[Type]],RecordCount[],2,0)),VLOOKUP(IDNMaps[[#This Row],[Type]],RecordCount[],8,0),0),"")</f>
        <v>800807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8</v>
      </c>
      <c r="M26" s="6" t="str">
        <f ca="1">IFERROR(VLOOKUP(IDNMaps[[#This Row],[Type]],RecordCount[],6,0)&amp;"-"&amp;IDNMaps[[#This Row],[Type Count]],"")</f>
        <v>Resource Relations-8</v>
      </c>
      <c r="N26" s="6" t="str">
        <f ca="1">IFERROR(VLOOKUP(IDNMaps[[#This Row],[Primary]],INDIRECT(VLOOKUP(IDNMaps[[#This Row],[Type]],RecordCount[],2,0)),VLOOKUP(IDNMaps[[#This Row],[Type]],RecordCount[],7,0),0),"")</f>
        <v>Partner/Progress</v>
      </c>
      <c r="O26" s="6" t="str">
        <f ca="1">IF(IDNMaps[[#This Row],[Name]]="","","("&amp;IDNMaps[[#This Row],[Type]]&amp;") "&amp;IDNMaps[[#This Row],[Name]])</f>
        <v>(Relation) Partner/Progress</v>
      </c>
      <c r="P26" s="6">
        <f ca="1">IFERROR(VLOOKUP(IDNMaps[[#This Row],[Primary]],INDIRECT(VLOOKUP(IDNMaps[[#This Row],[Type]],RecordCount[],2,0)),VLOOKUP(IDNMaps[[#This Row],[Type]],RecordCount[],8,0),0),"")</f>
        <v>800808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9</v>
      </c>
      <c r="M27" s="6" t="str">
        <f ca="1">IFERROR(VLOOKUP(IDNMaps[[#This Row],[Type]],RecordCount[],6,0)&amp;"-"&amp;IDNMaps[[#This Row],[Type Count]],"")</f>
        <v>Resource Relations-9</v>
      </c>
      <c r="N27" s="6" t="str">
        <f ca="1">IFERROR(VLOOKUP(IDNMaps[[#This Row],[Primary]],INDIRECT(VLOOKUP(IDNMaps[[#This Row],[Type]],RecordCount[],2,0)),VLOOKUP(IDNMaps[[#This Row],[Type]],RecordCount[],7,0),0),"")</f>
        <v>PartnerTask/Task</v>
      </c>
      <c r="O27" s="6" t="str">
        <f ca="1">IF(IDNMaps[[#This Row],[Name]]="","","("&amp;IDNMaps[[#This Row],[Type]]&amp;") "&amp;IDNMaps[[#This Row],[Name]])</f>
        <v>(Relation) PartnerTask/Task</v>
      </c>
      <c r="P27" s="6">
        <f ca="1">IFERROR(VLOOKUP(IDNMaps[[#This Row],[Primary]],INDIRECT(VLOOKUP(IDNMaps[[#This Row],[Type]],RecordCount[],2,0)),VLOOKUP(IDNMaps[[#This Row],[Type]],RecordCount[],8,0),0),"")</f>
        <v>800809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10</v>
      </c>
      <c r="M28" s="6" t="str">
        <f ca="1">IFERROR(VLOOKUP(IDNMaps[[#This Row],[Type]],RecordCount[],6,0)&amp;"-"&amp;IDNMaps[[#This Row],[Type Count]],"")</f>
        <v>Resource Relations-10</v>
      </c>
      <c r="N28" s="6" t="str">
        <f ca="1">IFERROR(VLOOKUP(IDNMaps[[#This Row],[Primary]],INDIRECT(VLOOKUP(IDNMaps[[#This Row],[Type]],RecordCount[],2,0)),VLOOKUP(IDNMaps[[#This Row],[Type]],RecordCount[],7,0),0),"")</f>
        <v>PartnerTask/Partner</v>
      </c>
      <c r="O28" s="6" t="str">
        <f ca="1">IF(IDNMaps[[#This Row],[Name]]="","","("&amp;IDNMaps[[#This Row],[Type]]&amp;") "&amp;IDNMaps[[#This Row],[Name]])</f>
        <v>(Relation) PartnerTask/Partner</v>
      </c>
      <c r="P28" s="6">
        <f ca="1">IFERROR(VLOOKUP(IDNMaps[[#This Row],[Primary]],INDIRECT(VLOOKUP(IDNMaps[[#This Row],[Type]],RecordCount[],2,0)),VLOOKUP(IDNMaps[[#This Row],[Type]],RecordCount[],8,0),0),"")</f>
        <v>800810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Form Fields-1</v>
      </c>
      <c r="N29" s="6" t="str">
        <f ca="1">IFERROR(VLOOKUP(IDNMaps[[#This Row],[Primary]],INDIRECT(VLOOKUP(IDNMaps[[#This Row],[Type]],RecordCount[],2,0)),VLOOKUP(IDNMaps[[#This Row],[Type]],RecordCount[],7,0),0),"")</f>
        <v>Group/CreateGroup/name</v>
      </c>
      <c r="O29" s="6" t="str">
        <f ca="1">IF(IDNMaps[[#This Row],[Name]]="","","("&amp;IDNMaps[[#This Row],[Type]]&amp;") "&amp;IDNMaps[[#This Row],[Name]])</f>
        <v>(Fields) Group/CreateGroup/name</v>
      </c>
      <c r="P29" s="6">
        <f ca="1">IFERROR(VLOOKUP(IDNMaps[[#This Row],[Primary]],INDIRECT(VLOOKUP(IDNMaps[[#This Row],[Type]],RecordCount[],2,0)),VLOOKUP(IDNMaps[[#This Row],[Type]],RecordCount[],8,0),0),"")</f>
        <v>801001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Form Fields-2</v>
      </c>
      <c r="N30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30" s="6" t="str">
        <f ca="1">IF(IDNMaps[[#This Row],[Name]]="","","("&amp;IDNMaps[[#This Row],[Type]]&amp;") "&amp;IDNMaps[[#This Row],[Name]])</f>
        <v>(Fields) Group/CreateGroup/description</v>
      </c>
      <c r="P30" s="6">
        <f ca="1">IFERROR(VLOOKUP(IDNMaps[[#This Row],[Primary]],INDIRECT(VLOOKUP(IDNMaps[[#This Row],[Type]],RecordCount[],2,0)),VLOOKUP(IDNMaps[[#This Row],[Type]],RecordCount[],8,0),0),"")</f>
        <v>801002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Form Fields-3</v>
      </c>
      <c r="N31" s="6" t="str">
        <f ca="1">IFERROR(VLOOKUP(IDNMaps[[#This Row],[Primary]],INDIRECT(VLOOKUP(IDNMaps[[#This Row],[Type]],RecordCount[],2,0)),VLOOKUP(IDNMaps[[#This Row],[Type]],RecordCount[],7,0),0),"")</f>
        <v>Group/CreateGroup/status</v>
      </c>
      <c r="O31" s="6" t="str">
        <f ca="1">IF(IDNMaps[[#This Row],[Name]]="","","("&amp;IDNMaps[[#This Row],[Type]]&amp;") "&amp;IDNMaps[[#This Row],[Name]])</f>
        <v>(Fields) Group/CreateGroup/status</v>
      </c>
      <c r="P31" s="6">
        <f ca="1">IFERROR(VLOOKUP(IDNMaps[[#This Row],[Primary]],INDIRECT(VLOOKUP(IDNMaps[[#This Row],[Type]],RecordCount[],2,0)),VLOOKUP(IDNMaps[[#This Row],[Type]],RecordCount[],8,0),0),"")</f>
        <v>801003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Form Fields-4</v>
      </c>
      <c r="N32" s="6" t="str">
        <f ca="1">IFERROR(VLOOKUP(IDNMaps[[#This Row],[Primary]],INDIRECT(VLOOKUP(IDNMaps[[#This Row],[Type]],RecordCount[],2,0)),VLOOKUP(IDNMaps[[#This Row],[Type]],RecordCount[],7,0),0),"")</f>
        <v>Partner/CreatePartner/name</v>
      </c>
      <c r="O32" s="6" t="str">
        <f ca="1">IF(IDNMaps[[#This Row],[Name]]="","","("&amp;IDNMaps[[#This Row],[Type]]&amp;") "&amp;IDNMaps[[#This Row],[Name]])</f>
        <v>(Fields) Partner/CreatePartner/name</v>
      </c>
      <c r="P32" s="6">
        <f ca="1">IFERROR(VLOOKUP(IDNMaps[[#This Row],[Primary]],INDIRECT(VLOOKUP(IDNMaps[[#This Row],[Type]],RecordCount[],2,0)),VLOOKUP(IDNMaps[[#This Row],[Type]],RecordCount[],8,0),0),"")</f>
        <v>801004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Form Fields-5</v>
      </c>
      <c r="N33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33" s="6" t="str">
        <f ca="1">IF(IDNMaps[[#This Row],[Name]]="","","("&amp;IDNMaps[[#This Row],[Type]]&amp;") "&amp;IDNMaps[[#This Row],[Name]])</f>
        <v>(Fields) Partner/CreatePartner/email</v>
      </c>
      <c r="P33" s="6">
        <f ca="1">IFERROR(VLOOKUP(IDNMaps[[#This Row],[Primary]],INDIRECT(VLOOKUP(IDNMaps[[#This Row],[Type]],RecordCount[],2,0)),VLOOKUP(IDNMaps[[#This Row],[Type]],RecordCount[],8,0),0),"")</f>
        <v>801005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Form Fields-6</v>
      </c>
      <c r="N34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34" s="6" t="str">
        <f ca="1">IF(IDNMaps[[#This Row],[Name]]="","","("&amp;IDNMaps[[#This Row],[Type]]&amp;") "&amp;IDNMaps[[#This Row],[Name]])</f>
        <v>(Fields) Partner/CreatePartner/password</v>
      </c>
      <c r="P34" s="6">
        <f ca="1">IFERROR(VLOOKUP(IDNMaps[[#This Row],[Primary]],INDIRECT(VLOOKUP(IDNMaps[[#This Row],[Type]],RecordCount[],2,0)),VLOOKUP(IDNMaps[[#This Row],[Type]],RecordCount[],8,0),0),"")</f>
        <v>801006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Form Fields-7</v>
      </c>
      <c r="N35" s="6" t="str">
        <f ca="1">IFERROR(VLOOKUP(IDNMaps[[#This Row],[Primary]],INDIRECT(VLOOKUP(IDNMaps[[#This Row],[Type]],RecordCount[],2,0)),VLOOKUP(IDNMaps[[#This Row],[Type]],RecordCount[],7,0),0),"")</f>
        <v>Task/CreateTask/name</v>
      </c>
      <c r="O35" s="6" t="str">
        <f ca="1">IF(IDNMaps[[#This Row],[Name]]="","","("&amp;IDNMaps[[#This Row],[Type]]&amp;") "&amp;IDNMaps[[#This Row],[Name]])</f>
        <v>(Fields) Task/CreateTask/name</v>
      </c>
      <c r="P35" s="6">
        <f ca="1">IFERROR(VLOOKUP(IDNMaps[[#This Row],[Primary]],INDIRECT(VLOOKUP(IDNMaps[[#This Row],[Type]],RecordCount[],2,0)),VLOOKUP(IDNMaps[[#This Row],[Type]],RecordCount[],8,0),0),"")</f>
        <v>801007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Form Fields-8</v>
      </c>
      <c r="N36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36" s="6" t="str">
        <f ca="1">IF(IDNMaps[[#This Row],[Name]]="","","("&amp;IDNMaps[[#This Row],[Type]]&amp;") "&amp;IDNMaps[[#This Row],[Name]])</f>
        <v>(Fields) Task/CreateTask/description</v>
      </c>
      <c r="P36" s="6">
        <f ca="1">IFERROR(VLOOKUP(IDNMaps[[#This Row],[Primary]],INDIRECT(VLOOKUP(IDNMaps[[#This Row],[Type]],RecordCount[],2,0)),VLOOKUP(IDNMaps[[#This Row],[Type]],RecordCount[],8,0),0),"")</f>
        <v>801008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Form Fields-9</v>
      </c>
      <c r="N37" s="6" t="str">
        <f ca="1">IFERROR(VLOOKUP(IDNMaps[[#This Row],[Primary]],INDIRECT(VLOOKUP(IDNMaps[[#This Row],[Type]],RecordCount[],2,0)),VLOOKUP(IDNMaps[[#This Row],[Type]],RecordCount[],7,0),0),"")</f>
        <v>Task/CreateTask/returnable</v>
      </c>
      <c r="O37" s="6" t="str">
        <f ca="1">IF(IDNMaps[[#This Row],[Name]]="","","("&amp;IDNMaps[[#This Row],[Type]]&amp;") "&amp;IDNMaps[[#This Row],[Name]])</f>
        <v>(Fields) Task/CreateTask/returnable</v>
      </c>
      <c r="P37" s="6">
        <f ca="1">IFERROR(VLOOKUP(IDNMaps[[#This Row],[Primary]],INDIRECT(VLOOKUP(IDNMaps[[#This Row],[Type]],RecordCount[],2,0)),VLOOKUP(IDNMaps[[#This Row],[Type]],RecordCount[],8,0),0),"")</f>
        <v>801009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Form Fields-10</v>
      </c>
      <c r="N38" s="6" t="str">
        <f ca="1">IFERROR(VLOOKUP(IDNMaps[[#This Row],[Primary]],INDIRECT(VLOOKUP(IDNMaps[[#This Row],[Type]],RecordCount[],2,0)),VLOOKUP(IDNMaps[[#This Row],[Type]],RecordCount[],7,0),0),"")</f>
        <v>Task/CreateTask/dismissable</v>
      </c>
      <c r="O38" s="6" t="str">
        <f ca="1">IF(IDNMaps[[#This Row],[Name]]="","","("&amp;IDNMaps[[#This Row],[Type]]&amp;") "&amp;IDNMaps[[#This Row],[Name]])</f>
        <v>(Fields) Task/CreateTask/dismissable</v>
      </c>
      <c r="P38" s="6">
        <f ca="1">IFERROR(VLOOKUP(IDNMaps[[#This Row],[Primary]],INDIRECT(VLOOKUP(IDNMaps[[#This Row],[Type]],RecordCount[],2,0)),VLOOKUP(IDNMaps[[#This Row],[Type]],RecordCount[],8,0),0),"")</f>
        <v>801010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Form Fields-11</v>
      </c>
      <c r="N39" s="6" t="str">
        <f ca="1">IFERROR(VLOOKUP(IDNMaps[[#This Row],[Primary]],INDIRECT(VLOOKUP(IDNMaps[[#This Row],[Type]],RecordCount[],2,0)),VLOOKUP(IDNMaps[[#This Row],[Type]],RecordCount[],7,0),0),"")</f>
        <v>Task/CreateTask/editable</v>
      </c>
      <c r="O39" s="6" t="str">
        <f ca="1">IF(IDNMaps[[#This Row],[Name]]="","","("&amp;IDNMaps[[#This Row],[Type]]&amp;") "&amp;IDNMaps[[#This Row],[Name]])</f>
        <v>(Fields) Task/CreateTask/editable</v>
      </c>
      <c r="P39" s="6">
        <f ca="1">IFERROR(VLOOKUP(IDNMaps[[#This Row],[Primary]],INDIRECT(VLOOKUP(IDNMaps[[#This Row],[Type]],RecordCount[],2,0)),VLOOKUP(IDNMaps[[#This Row],[Type]],RecordCount[],8,0),0),"")</f>
        <v>801011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Form Fields-12</v>
      </c>
      <c r="N40" s="6" t="str">
        <f ca="1">IFERROR(VLOOKUP(IDNMaps[[#This Row],[Primary]],INDIRECT(VLOOKUP(IDNMaps[[#This Row],[Type]],RecordCount[],2,0)),VLOOKUP(IDNMaps[[#This Row],[Type]],RecordCount[],7,0),0),"")</f>
        <v>Task/CreateTask/completion</v>
      </c>
      <c r="O40" s="6" t="str">
        <f ca="1">IF(IDNMaps[[#This Row],[Name]]="","","("&amp;IDNMaps[[#This Row],[Type]]&amp;") "&amp;IDNMaps[[#This Row],[Name]])</f>
        <v>(Fields) Task/CreateTask/completion</v>
      </c>
      <c r="P40" s="6">
        <f ca="1">IFERROR(VLOOKUP(IDNMaps[[#This Row],[Primary]],INDIRECT(VLOOKUP(IDNMaps[[#This Row],[Type]],RecordCount[],2,0)),VLOOKUP(IDNMaps[[#This Row],[Type]],RecordCount[],8,0),0),"")</f>
        <v>801012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Form Fields-13</v>
      </c>
      <c r="N41" s="6" t="str">
        <f ca="1">IFERROR(VLOOKUP(IDNMaps[[#This Row],[Primary]],INDIRECT(VLOOKUP(IDNMaps[[#This Row],[Type]],RecordCount[],2,0)),VLOOKUP(IDNMaps[[#This Row],[Type]],RecordCount[],7,0),0),"")</f>
        <v>Task/CreateTask/assign</v>
      </c>
      <c r="O41" s="6" t="str">
        <f ca="1">IF(IDNMaps[[#This Row],[Name]]="","","("&amp;IDNMaps[[#This Row],[Type]]&amp;") "&amp;IDNMaps[[#This Row],[Name]])</f>
        <v>(Fields) Task/CreateTask/assign</v>
      </c>
      <c r="P41" s="6">
        <f ca="1">IFERROR(VLOOKUP(IDNMaps[[#This Row],[Primary]],INDIRECT(VLOOKUP(IDNMaps[[#This Row],[Type]],RecordCount[],2,0)),VLOOKUP(IDNMaps[[#This Row],[Type]],RecordCount[],8,0),0),"")</f>
        <v>801013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Form Fields-14</v>
      </c>
      <c r="N42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42" s="6" t="str">
        <f ca="1">IF(IDNMaps[[#This Row],[Name]]="","","("&amp;IDNMaps[[#This Row],[Type]]&amp;") "&amp;IDNMaps[[#This Row],[Name]])</f>
        <v>(Fields) PartnerTask/TaskCompleteDescription/task.name</v>
      </c>
      <c r="P42" s="6">
        <f ca="1">IFERROR(VLOOKUP(IDNMaps[[#This Row],[Primary]],INDIRECT(VLOOKUP(IDNMaps[[#This Row],[Type]],RecordCount[],2,0)),VLOOKUP(IDNMaps[[#This Row],[Type]],RecordCount[],8,0),0),"")</f>
        <v>801014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Form Fields-15</v>
      </c>
      <c r="N43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43" s="6" t="str">
        <f ca="1">IF(IDNMaps[[#This Row],[Name]]="","","("&amp;IDNMaps[[#This Row],[Type]]&amp;") "&amp;IDNMaps[[#This Row],[Name]])</f>
        <v>(Fields) PartnerTask/TaskCompleteDescription/task.description</v>
      </c>
      <c r="P43" s="6">
        <f ca="1">IFERROR(VLOOKUP(IDNMaps[[#This Row],[Primary]],INDIRECT(VLOOKUP(IDNMaps[[#This Row],[Type]],RecordCount[],2,0)),VLOOKUP(IDNMaps[[#This Row],[Type]],RecordCount[],8,0),0),"")</f>
        <v>801015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Form Fields-16</v>
      </c>
      <c r="N44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44" s="6" t="str">
        <f ca="1">IF(IDNMaps[[#This Row],[Name]]="","","("&amp;IDNMaps[[#This Row],[Type]]&amp;") "&amp;IDNMaps[[#This Row],[Name]])</f>
        <v>(Fields) PartnerTask/TaskCompleteDescription/progress</v>
      </c>
      <c r="P44" s="6">
        <f ca="1">IFERROR(VLOOKUP(IDNMaps[[#This Row],[Primary]],INDIRECT(VLOOKUP(IDNMaps[[#This Row],[Type]],RecordCount[],2,0)),VLOOKUP(IDNMaps[[#This Row],[Type]],RecordCount[],8,0),0),"")</f>
        <v>801016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Form Fields-17</v>
      </c>
      <c r="N45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45" s="6" t="str">
        <f ca="1">IF(IDNMaps[[#This Row],[Name]]="","","("&amp;IDNMaps[[#This Row],[Type]]&amp;") "&amp;IDNMaps[[#This Row],[Name]])</f>
        <v>(Fields) PartnerTask/TaskCompleteDescription/remarks</v>
      </c>
      <c r="P45" s="6">
        <f ca="1">IFERROR(VLOOKUP(IDNMaps[[#This Row],[Primary]],INDIRECT(VLOOKUP(IDNMaps[[#This Row],[Type]],RecordCount[],2,0)),VLOOKUP(IDNMaps[[#This Row],[Type]],RecordCount[],8,0),0),"")</f>
        <v>801017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Form Fields-18</v>
      </c>
      <c r="N46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46" s="6" t="str">
        <f ca="1">IF(IDNMaps[[#This Row],[Name]]="","","("&amp;IDNMaps[[#This Row],[Type]]&amp;") "&amp;IDNMaps[[#This Row],[Name]])</f>
        <v>(Fields) PartnerTask/TaskCompleteAttachment/task.name</v>
      </c>
      <c r="P46" s="6">
        <f ca="1">IFERROR(VLOOKUP(IDNMaps[[#This Row],[Primary]],INDIRECT(VLOOKUP(IDNMaps[[#This Row],[Type]],RecordCount[],2,0)),VLOOKUP(IDNMaps[[#This Row],[Type]],RecordCount[],8,0),0),"")</f>
        <v>801018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Form Fields-19</v>
      </c>
      <c r="N47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47" s="6" t="str">
        <f ca="1">IF(IDNMaps[[#This Row],[Name]]="","","("&amp;IDNMaps[[#This Row],[Type]]&amp;") "&amp;IDNMaps[[#This Row],[Name]])</f>
        <v>(Fields) PartnerTask/TaskCompleteAttachment/task.description</v>
      </c>
      <c r="P47" s="6">
        <f ca="1">IFERROR(VLOOKUP(IDNMaps[[#This Row],[Primary]],INDIRECT(VLOOKUP(IDNMaps[[#This Row],[Type]],RecordCount[],2,0)),VLOOKUP(IDNMaps[[#This Row],[Type]],RecordCount[],8,0),0),"")</f>
        <v>801019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Form Fields-20</v>
      </c>
      <c r="N48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48" s="6" t="str">
        <f ca="1">IF(IDNMaps[[#This Row],[Name]]="","","("&amp;IDNMaps[[#This Row],[Type]]&amp;") "&amp;IDNMaps[[#This Row],[Name]])</f>
        <v>(Fields) PartnerTask/TaskCompleteAttachment/progress</v>
      </c>
      <c r="P48" s="6">
        <f ca="1">IFERROR(VLOOKUP(IDNMaps[[#This Row],[Primary]],INDIRECT(VLOOKUP(IDNMaps[[#This Row],[Type]],RecordCount[],2,0)),VLOOKUP(IDNMaps[[#This Row],[Type]],RecordCount[],8,0),0),"")</f>
        <v>801020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Form Fields-21</v>
      </c>
      <c r="N49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49" s="6" t="str">
        <f ca="1">IF(IDNMaps[[#This Row],[Name]]="","","("&amp;IDNMaps[[#This Row],[Type]]&amp;") "&amp;IDNMaps[[#This Row],[Name]])</f>
        <v>(Fields) PartnerTask/TaskCompleteAttachment/remarks</v>
      </c>
      <c r="P49" s="6">
        <f ca="1">IFERROR(VLOOKUP(IDNMaps[[#This Row],[Primary]],INDIRECT(VLOOKUP(IDNMaps[[#This Row],[Type]],RecordCount[],2,0)),VLOOKUP(IDNMaps[[#This Row],[Type]],RecordCount[],8,0),0),"")</f>
        <v>801021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Form Fields-22</v>
      </c>
      <c r="N50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50" s="6" t="str">
        <f ca="1">IF(IDNMaps[[#This Row],[Name]]="","","("&amp;IDNMaps[[#This Row],[Type]]&amp;") "&amp;IDNMaps[[#This Row],[Name]])</f>
        <v>(Fields) PartnerTask/TaskCompleteAttachment/attachment1</v>
      </c>
      <c r="P50" s="6">
        <f ca="1">IFERROR(VLOOKUP(IDNMaps[[#This Row],[Primary]],INDIRECT(VLOOKUP(IDNMaps[[#This Row],[Type]],RecordCount[],2,0)),VLOOKUP(IDNMaps[[#This Row],[Type]],RecordCount[],8,0),0),"")</f>
        <v>801022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Form Fields-23</v>
      </c>
      <c r="N51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51" s="6" t="str">
        <f ca="1">IF(IDNMaps[[#This Row],[Name]]="","","("&amp;IDNMaps[[#This Row],[Type]]&amp;") "&amp;IDNMaps[[#This Row],[Name]])</f>
        <v>(Fields) PartnerTask/TaskCompleteAttachment/attachment2</v>
      </c>
      <c r="P51" s="6">
        <f ca="1">IFERROR(VLOOKUP(IDNMaps[[#This Row],[Primary]],INDIRECT(VLOOKUP(IDNMaps[[#This Row],[Type]],RecordCount[],2,0)),VLOOKUP(IDNMaps[[#This Row],[Type]],RecordCount[],8,0),0),"")</f>
        <v>801023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Form Fields-24</v>
      </c>
      <c r="N52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52" s="6" t="str">
        <f ca="1">IF(IDNMaps[[#This Row],[Name]]="","","("&amp;IDNMaps[[#This Row],[Type]]&amp;") "&amp;IDNMaps[[#This Row],[Name]])</f>
        <v>(Fields) PartnerTask/TaskCompleteAttachment/attachment3</v>
      </c>
      <c r="P52" s="6">
        <f ca="1">IFERROR(VLOOKUP(IDNMaps[[#This Row],[Primary]],INDIRECT(VLOOKUP(IDNMaps[[#This Row],[Type]],RecordCount[],2,0)),VLOOKUP(IDNMaps[[#This Row],[Type]],RecordCount[],8,0),0),"")</f>
        <v>801024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Form Fields-25</v>
      </c>
      <c r="N53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53" s="6" t="str">
        <f ca="1">IF(IDNMaps[[#This Row],[Name]]="","","("&amp;IDNMaps[[#This Row],[Type]]&amp;") "&amp;IDNMaps[[#This Row],[Name]])</f>
        <v>(Fields) PartnerTask/TaskDismissForm/task.name</v>
      </c>
      <c r="P53" s="6">
        <f ca="1">IFERROR(VLOOKUP(IDNMaps[[#This Row],[Primary]],INDIRECT(VLOOKUP(IDNMaps[[#This Row],[Type]],RecordCount[],2,0)),VLOOKUP(IDNMaps[[#This Row],[Type]],RecordCount[],8,0),0),"")</f>
        <v>801025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Form Fields-26</v>
      </c>
      <c r="N54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54" s="6" t="str">
        <f ca="1">IF(IDNMaps[[#This Row],[Name]]="","","("&amp;IDNMaps[[#This Row],[Type]]&amp;") "&amp;IDNMaps[[#This Row],[Name]])</f>
        <v>(Fields) PartnerTask/TaskDismissForm/task.description</v>
      </c>
      <c r="P54" s="6">
        <f ca="1">IFERROR(VLOOKUP(IDNMaps[[#This Row],[Primary]],INDIRECT(VLOOKUP(IDNMaps[[#This Row],[Type]],RecordCount[],2,0)),VLOOKUP(IDNMaps[[#This Row],[Type]],RecordCount[],8,0),0),"")</f>
        <v>801026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Form Fields-27</v>
      </c>
      <c r="N55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55" s="6" t="str">
        <f ca="1">IF(IDNMaps[[#This Row],[Name]]="","","("&amp;IDNMaps[[#This Row],[Type]]&amp;") "&amp;IDNMaps[[#This Row],[Name]])</f>
        <v>(Fields) PartnerTask/TaskDismissForm/progress</v>
      </c>
      <c r="P55" s="6">
        <f ca="1">IFERROR(VLOOKUP(IDNMaps[[#This Row],[Primary]],INDIRECT(VLOOKUP(IDNMaps[[#This Row],[Type]],RecordCount[],2,0)),VLOOKUP(IDNMaps[[#This Row],[Type]],RecordCount[],8,0),0),"")</f>
        <v>801027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28</v>
      </c>
      <c r="M56" s="6" t="str">
        <f ca="1">IFERROR(VLOOKUP(IDNMaps[[#This Row],[Type]],RecordCount[],6,0)&amp;"-"&amp;IDNMaps[[#This Row],[Type Count]],"")</f>
        <v>Form Fields-28</v>
      </c>
      <c r="N56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56" s="6" t="str">
        <f ca="1">IF(IDNMaps[[#This Row],[Name]]="","","("&amp;IDNMaps[[#This Row],[Type]]&amp;") "&amp;IDNMaps[[#This Row],[Name]])</f>
        <v>(Fields) PartnerTask/TaskDismissForm/remarks</v>
      </c>
      <c r="P56" s="6">
        <f ca="1">IFERROR(VLOOKUP(IDNMaps[[#This Row],[Primary]],INDIRECT(VLOOKUP(IDNMaps[[#This Row],[Type]],RecordCount[],2,0)),VLOOKUP(IDNMaps[[#This Row],[Type]],RecordCount[],8,0),0),"")</f>
        <v>801028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D11" sqref="D11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4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4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2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2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2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808</v>
      </c>
      <c r="F15" s="63" t="s">
        <v>843</v>
      </c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1119</v>
      </c>
      <c r="B18" s="63" t="s">
        <v>810</v>
      </c>
      <c r="C18" s="63" t="s">
        <v>35</v>
      </c>
      <c r="D18" s="63" t="s">
        <v>1120</v>
      </c>
      <c r="E18" s="63" t="s">
        <v>808</v>
      </c>
      <c r="F18" s="63" t="s">
        <v>1121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1123</v>
      </c>
      <c r="B19" s="63" t="s">
        <v>806</v>
      </c>
      <c r="C19" s="63" t="s">
        <v>1123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1118</v>
      </c>
      <c r="E23" s="63" t="s">
        <v>808</v>
      </c>
      <c r="F23" s="63" t="s">
        <v>884</v>
      </c>
      <c r="G23" s="63"/>
      <c r="H23" s="63"/>
      <c r="I23" s="63"/>
      <c r="J23" s="64">
        <f>COUNTIF(TableFields[Field],Columns[[#This Row],[Column]])</f>
        <v>1</v>
      </c>
    </row>
  </sheetData>
  <conditionalFormatting sqref="C20:C22">
    <cfRule type="duplicateValues" dxfId="462" priority="3"/>
  </conditionalFormatting>
  <conditionalFormatting sqref="C11:C13">
    <cfRule type="duplicateValues" dxfId="461" priority="1"/>
  </conditionalFormatting>
  <conditionalFormatting sqref="C19">
    <cfRule type="duplicateValues" dxfId="460" priority="49"/>
  </conditionalFormatting>
  <conditionalFormatting sqref="A2:A23">
    <cfRule type="duplicateValues" dxfId="459" priority="5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7" workbookViewId="0">
      <selection activeCell="K11" sqref="K1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802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802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802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802</v>
      </c>
      <c r="B14" s="63" t="s">
        <v>817</v>
      </c>
      <c r="C14" s="63" t="str">
        <f>VLOOKUP(TableFields[Field],Columns[],2,0)&amp;"("</f>
        <v>foreignNullable(</v>
      </c>
      <c r="D14" s="63" t="str">
        <f>IF(VLOOKUP(TableFields[Field],Columns[],3,0)&lt;&gt;"","'"&amp;VLOOKUP(TableFields[Field],Columns[],3,0)&amp;"'","")</f>
        <v>'parent'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5" spans="1:11" x14ac:dyDescent="0.25">
      <c r="A15" s="63" t="s">
        <v>802</v>
      </c>
      <c r="B15" s="63" t="s">
        <v>825</v>
      </c>
      <c r="C15" s="63" t="str">
        <f>VLOOKUP(TableFields[Field],Columns[],2,0)&amp;"("</f>
        <v>enum(</v>
      </c>
      <c r="D15" s="63" t="str">
        <f>IF(VLOOKUP(TableFields[Field],Columns[],3,0)&lt;&gt;"","'"&amp;VLOOKUP(TableFields[Field],Columns[],3,0)&amp;"'","")</f>
        <v>'returnable'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5" s="63" t="str">
        <f>IF(VLOOKUP(TableFields[Field],Columns[],5,0)=0,"","-&gt;"&amp;VLOOKUP(TableFields[Field],Columns[],5,0))</f>
        <v>-&gt;nullable()</v>
      </c>
      <c r="G15" s="63" t="str">
        <f>IF(VLOOKUP(TableFields[Field],Columns[],6,0)=0,"","-&gt;"&amp;VLOOKUP(TableFields[Field],Columns[],6,0))</f>
        <v>-&gt;default('No')</v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16" spans="1:11" x14ac:dyDescent="0.25">
      <c r="A16" s="63" t="s">
        <v>802</v>
      </c>
      <c r="B16" s="63" t="s">
        <v>826</v>
      </c>
      <c r="C16" s="63" t="str">
        <f>VLOOKUP(TableFields[Field],Columns[],2,0)&amp;"("</f>
        <v>enum(</v>
      </c>
      <c r="D16" s="63" t="str">
        <f>IF(VLOOKUP(TableFields[Field],Columns[],3,0)&lt;&gt;"","'"&amp;VLOOKUP(TableFields[Field],Columns[],3,0)&amp;"'","")</f>
        <v>'dismissable'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6" s="63" t="str">
        <f>IF(VLOOKUP(TableFields[Field],Columns[],5,0)=0,"","-&gt;"&amp;VLOOKUP(TableFields[Field],Columns[],5,0))</f>
        <v>-&gt;nullable()</v>
      </c>
      <c r="G16" s="63" t="str">
        <f>IF(VLOOKUP(TableFields[Field],Columns[],6,0)=0,"","-&gt;"&amp;VLOOKUP(TableFields[Field],Columns[],6,0))</f>
        <v>-&gt;default('No')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17" spans="1:11" x14ac:dyDescent="0.25">
      <c r="A17" s="63" t="s">
        <v>802</v>
      </c>
      <c r="B17" s="63" t="s">
        <v>827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'editable'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-&gt;default('No')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18" spans="1:11" x14ac:dyDescent="0.25">
      <c r="A18" s="63" t="s">
        <v>802</v>
      </c>
      <c r="B18" s="63" t="s">
        <v>829</v>
      </c>
      <c r="C18" s="63" t="str">
        <f>VLOOKUP(TableFields[Field],Columns[],2,0)&amp;"("</f>
        <v>tinyInteger(</v>
      </c>
      <c r="D18" s="63" t="str">
        <f>IF(VLOOKUP(TableFields[Field],Columns[],3,0)&lt;&gt;"","'"&amp;VLOOKUP(TableFields[Field],Columns[],3,0)&amp;"'","")</f>
        <v>'weightage'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3" t="str">
        <f>IF(VLOOKUP(TableFields[Field],Columns[],5,0)=0,"","-&gt;"&amp;VLOOKUP(TableFields[Field],Columns[],5,0))</f>
        <v>-&gt;default('100')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9" spans="1:11" x14ac:dyDescent="0.25">
      <c r="A19" s="63" t="s">
        <v>802</v>
      </c>
      <c r="B19" s="63" t="s">
        <v>832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'completion'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>-&gt;default('Description')</v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Task'])-&gt;nullable()-&gt;default('Description');</v>
      </c>
    </row>
    <row r="20" spans="1:11" x14ac:dyDescent="0.25">
      <c r="A20" s="63" t="s">
        <v>802</v>
      </c>
      <c r="B20" s="63" t="s">
        <v>841</v>
      </c>
      <c r="C20" s="63" t="str">
        <f>VLOOKUP(TableFields[Field],Columns[],2,0)&amp;"("</f>
        <v>foreignNullable(</v>
      </c>
      <c r="D20" s="63" t="str">
        <f>IF(VLOOKUP(TableFields[Field],Columns[],3,0)&lt;&gt;"","'"&amp;VLOOKUP(TableFields[Field],Columns[],3,0)&amp;"'","")</f>
        <v>'assign'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0" s="63" t="str">
        <f>IF(VLOOKUP(TableFields[Field],Columns[],5,0)=0,"","-&gt;"&amp;VLOOKUP(TableFields[Field],Columns[],5,0))</f>
        <v/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1" spans="1:11" x14ac:dyDescent="0.25">
      <c r="A21" s="63" t="s">
        <v>802</v>
      </c>
      <c r="B21" s="63" t="s">
        <v>809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'status'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-&gt;default('Active')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" spans="1:11" x14ac:dyDescent="0.25">
      <c r="A22" s="63" t="s">
        <v>802</v>
      </c>
      <c r="B22" s="63" t="s">
        <v>288</v>
      </c>
      <c r="C22" s="63" t="str">
        <f>VLOOKUP(TableFields[Field],Columns[],2,0)&amp;"("</f>
        <v>audit(</v>
      </c>
      <c r="D22" s="63" t="str">
        <f>IF(VLOOKUP(TableFields[Field],Columns[],3,0)&lt;&gt;"","'"&amp;VLOOKUP(TableFields[Field],Columns[],3,0)&amp;"'","")</f>
        <v/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" spans="1:11" x14ac:dyDescent="0.25">
      <c r="A23" s="63" t="s">
        <v>805</v>
      </c>
      <c r="B23" s="63" t="s">
        <v>21</v>
      </c>
      <c r="C23" s="63" t="str">
        <f>VLOOKUP(TableFields[Field],Columns[],2,0)&amp;"("</f>
        <v>bigIncrements(</v>
      </c>
      <c r="D23" s="63" t="str">
        <f>IF(VLOOKUP(TableFields[Field],Columns[],3,0)&lt;&gt;"","'"&amp;VLOOKUP(TableFields[Field],Columns[],3,0)&amp;"'","")</f>
        <v>'id'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63" t="str">
        <f>IF(VLOOKUP(TableFields[Field],Columns[],5,0)=0,"","-&gt;"&amp;VLOOKUP(TableFields[Field],Columns[],5,0))</f>
        <v/>
      </c>
      <c r="G23" s="63" t="str">
        <f>IF(VLOOKUP(TableFields[Field],Columns[],6,0)=0,"","-&gt;"&amp;VLOOKUP(TableFields[Field],Columns[],6,0))</f>
        <v/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" spans="1:11" x14ac:dyDescent="0.25">
      <c r="A24" s="63" t="s">
        <v>805</v>
      </c>
      <c r="B24" s="63" t="s">
        <v>815</v>
      </c>
      <c r="C24" s="63" t="str">
        <f>VLOOKUP(TableFields[Field],Columns[],2,0)&amp;"("</f>
        <v>foreignCascade(</v>
      </c>
      <c r="D24" s="63" t="str">
        <f>IF(VLOOKUP(TableFields[Field],Columns[],3,0)&lt;&gt;"","'"&amp;VLOOKUP(TableFields[Field],Columns[],3,0)&amp;"'","")</f>
        <v>'partner'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5" spans="1:11" x14ac:dyDescent="0.25">
      <c r="A25" s="63" t="s">
        <v>805</v>
      </c>
      <c r="B25" s="63" t="s">
        <v>835</v>
      </c>
      <c r="C25" s="63" t="str">
        <f>VLOOKUP(TableFields[Field],Columns[],2,0)&amp;"("</f>
        <v>foreignCascade(</v>
      </c>
      <c r="D25" s="63" t="str">
        <f>IF(VLOOKUP(TableFields[Field],Columns[],3,0)&lt;&gt;"","'"&amp;VLOOKUP(TableFields[Field],Columns[],3,0)&amp;"'","")</f>
        <v>'task'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26" spans="1:11" x14ac:dyDescent="0.25">
      <c r="A26" s="63" t="s">
        <v>805</v>
      </c>
      <c r="B26" s="63" t="s">
        <v>1119</v>
      </c>
      <c r="C26" s="63" t="str">
        <f>VLOOKUP(TableFields[Field],Columns[],2,0)&amp;"("</f>
        <v>enum(</v>
      </c>
      <c r="D26" s="63" t="str">
        <f>IF(VLOOKUP(TableFields[Field],Columns[],3,0)&lt;&gt;"","'"&amp;VLOOKUP(TableFields[Field],Columns[],3,0)&amp;"'","")</f>
        <v>'type'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26" s="63" t="str">
        <f>IF(VLOOKUP(TableFields[Field],Columns[],5,0)=0,"","-&gt;"&amp;VLOOKUP(TableFields[Field],Columns[],5,0))</f>
        <v>-&gt;nullable()</v>
      </c>
      <c r="G26" s="63" t="str">
        <f>IF(VLOOKUP(TableFields[Field],Columns[],6,0)=0,"","-&gt;"&amp;VLOOKUP(TableFields[Field],Columns[],6,0))</f>
        <v>-&gt;default('Main')</v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27" spans="1:11" x14ac:dyDescent="0.25">
      <c r="A27" s="63" t="s">
        <v>805</v>
      </c>
      <c r="B27" s="63" t="s">
        <v>1123</v>
      </c>
      <c r="C27" s="63" t="str">
        <f>VLOOKUP(TableFields[Field],Columns[],2,0)&amp;"("</f>
        <v>string(</v>
      </c>
      <c r="D27" s="63" t="str">
        <f>IF(VLOOKUP(TableFields[Field],Columns[],3,0)&lt;&gt;"","'"&amp;VLOOKUP(TableFields[Field],Columns[],3,0)&amp;"'","")</f>
        <v>'remarks'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/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28" spans="1:11" x14ac:dyDescent="0.25">
      <c r="A28" s="63" t="s">
        <v>805</v>
      </c>
      <c r="B28" s="63" t="s">
        <v>837</v>
      </c>
      <c r="C28" s="63" t="str">
        <f>VLOOKUP(TableFields[Field],Columns[],2,0)&amp;"("</f>
        <v>bigInteger(</v>
      </c>
      <c r="D28" s="63" t="str">
        <f>IF(VLOOKUP(TableFields[Field],Columns[],3,0)&lt;&gt;"","'"&amp;VLOOKUP(TableFields[Field],Columns[],3,0)&amp;"'","")</f>
        <v>'attachment1'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63" t="str">
        <f>IF(VLOOKUP(TableFields[Field],Columns[],5,0)=0,"","-&gt;"&amp;VLOOKUP(TableFields[Field],Columns[],5,0))</f>
        <v>-&gt;nullable()</v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29" spans="1:11" x14ac:dyDescent="0.25">
      <c r="A29" s="63" t="s">
        <v>805</v>
      </c>
      <c r="B29" s="63" t="s">
        <v>839</v>
      </c>
      <c r="C29" s="63" t="str">
        <f>VLOOKUP(TableFields[Field],Columns[],2,0)&amp;"("</f>
        <v>bigInteger(</v>
      </c>
      <c r="D29" s="63" t="str">
        <f>IF(VLOOKUP(TableFields[Field],Columns[],3,0)&lt;&gt;"","'"&amp;VLOOKUP(TableFields[Field],Columns[],3,0)&amp;"'","")</f>
        <v>'attachment2'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>-&gt;nullable()</v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0" spans="1:11" x14ac:dyDescent="0.25">
      <c r="A30" s="63" t="s">
        <v>805</v>
      </c>
      <c r="B30" s="63" t="s">
        <v>840</v>
      </c>
      <c r="C30" s="63" t="str">
        <f>VLOOKUP(TableFields[Field],Columns[],2,0)&amp;"("</f>
        <v>bigInteger(</v>
      </c>
      <c r="D30" s="63" t="str">
        <f>IF(VLOOKUP(TableFields[Field],Columns[],3,0)&lt;&gt;"","'"&amp;VLOOKUP(TableFields[Field],Columns[],3,0)&amp;"'","")</f>
        <v>'attachment3'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/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1" spans="1:11" x14ac:dyDescent="0.25">
      <c r="A31" s="63" t="s">
        <v>805</v>
      </c>
      <c r="B31" s="63" t="s">
        <v>823</v>
      </c>
      <c r="C31" s="63" t="str">
        <f>VLOOKUP(TableFields[Field],Columns[],2,0)&amp;"("</f>
        <v>enum(</v>
      </c>
      <c r="D31" s="63" t="str">
        <f>IF(VLOOKUP(TableFields[Field],Columns[],3,0)&lt;&gt;"","'"&amp;VLOOKUP(TableFields[Field],Columns[],3,0)&amp;"'","")</f>
        <v>'progress'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>-&gt;default('New')</v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2" spans="1:11" x14ac:dyDescent="0.25">
      <c r="A32" s="63" t="s">
        <v>805</v>
      </c>
      <c r="B32" s="63" t="s">
        <v>288</v>
      </c>
      <c r="C32" s="63" t="str">
        <f>VLOOKUP(TableFields[Field],Columns[],2,0)&amp;"("</f>
        <v>audit(</v>
      </c>
      <c r="D32" s="63" t="str">
        <f>IF(VLOOKUP(TableFields[Field],Columns[],3,0)&lt;&gt;"","'"&amp;VLOOKUP(TableFields[Field],Columns[],3,0)&amp;"'","")</f>
        <v/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3" t="str">
        <f>IF(VLOOKUP(TableFields[Field],Columns[],5,0)=0,"","-&gt;"&amp;VLOOKUP(TableFields[Field],Columns[],5,0))</f>
        <v/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32">
      <formula1>AvailableFields</formula1>
    </dataValidation>
    <dataValidation type="list" allowBlank="1" showInputMessage="1" showErrorMessage="1" sqref="A2:A3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selection activeCell="F18" sqref="F1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855</v>
      </c>
      <c r="F5" s="65" t="s">
        <v>856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857</v>
      </c>
      <c r="G7" s="65" t="s">
        <v>858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866</v>
      </c>
      <c r="E8" s="65" t="s">
        <v>862</v>
      </c>
      <c r="F8" s="65" t="s">
        <v>867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863</v>
      </c>
      <c r="F9" s="65" t="s">
        <v>853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861</v>
      </c>
      <c r="E10" s="65" t="s">
        <v>862</v>
      </c>
      <c r="F10" s="65" t="s">
        <v>860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863</v>
      </c>
      <c r="F11" s="65" t="s">
        <v>844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864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864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864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1117</v>
      </c>
      <c r="G18" s="65">
        <v>803217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800302</v>
      </c>
      <c r="F19" s="65" t="s">
        <v>864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865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1060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844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859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859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845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859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846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859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847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859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F23" sqref="F2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9" t="s">
        <v>159</v>
      </c>
      <c r="B1" s="89"/>
      <c r="C1" s="89"/>
      <c r="D1" s="89"/>
      <c r="E1" s="90" t="str">
        <f>"\"&amp;VLOOKUP($A$1,SeedMap[],3,0)&amp;"\"&amp;VLOOKUP($A$1,SeedMap[],4,0)&amp;"::"&amp;VLOOKUP($A$1,SeedMap[],8,0)&amp;"()"</f>
        <v>\Milestone\Appframe\Model\ResourceForm::query()</v>
      </c>
      <c r="F1" s="90"/>
      <c r="G1" s="90"/>
      <c r="H1" s="90"/>
      <c r="I1" s="91" t="s">
        <v>73</v>
      </c>
      <c r="J1" s="91"/>
      <c r="K1" s="91"/>
      <c r="L1" s="91"/>
      <c r="M1" s="91"/>
      <c r="N1" s="91"/>
      <c r="O1" s="91"/>
      <c r="P1" s="91"/>
      <c r="Q1" s="91"/>
      <c r="R1" s="91"/>
      <c r="S1" s="23" t="str">
        <f>""</f>
        <v/>
      </c>
      <c r="T1" s="10"/>
    </row>
    <row r="2" spans="1:20" s="28" customFormat="1" ht="15" customHeight="1" x14ac:dyDescent="0.25">
      <c r="A2" s="89"/>
      <c r="B2" s="89"/>
      <c r="C2" s="89"/>
      <c r="D2" s="89"/>
      <c r="E2" s="90" t="str">
        <f>VLOOKUP($A$1,SeedMap[],5,0)</f>
        <v>ResourceForms</v>
      </c>
      <c r="F2" s="90"/>
      <c r="G2" s="90"/>
      <c r="H2" s="90"/>
      <c r="I2" s="91" t="s">
        <v>72</v>
      </c>
      <c r="J2" s="91"/>
      <c r="K2" s="91"/>
      <c r="L2" s="91"/>
      <c r="M2" s="91"/>
      <c r="N2" s="91"/>
      <c r="O2" s="91"/>
      <c r="P2" s="91"/>
      <c r="Q2" s="91"/>
      <c r="R2" s="91"/>
      <c r="S2" s="23" t="str">
        <f>";"</f>
        <v>;</v>
      </c>
      <c r="T2" s="10"/>
    </row>
    <row r="3" spans="1:20" s="28" customFormat="1" ht="15" customHeight="1" x14ac:dyDescent="0.25">
      <c r="A3" s="89"/>
      <c r="B3" s="89"/>
      <c r="C3" s="89"/>
      <c r="D3" s="89"/>
      <c r="E3" s="90" t="str">
        <f>VLOOKUP($A$1,SeedMap[],6,0)</f>
        <v>[[Primary]:[Action Text]]</v>
      </c>
      <c r="F3" s="90"/>
      <c r="G3" s="90"/>
      <c r="H3" s="90"/>
      <c r="I3" s="91" t="s">
        <v>158</v>
      </c>
      <c r="J3" s="91"/>
      <c r="K3" s="91"/>
      <c r="L3" s="91"/>
      <c r="M3" s="91"/>
      <c r="N3" s="91"/>
      <c r="O3" s="91"/>
      <c r="P3" s="91"/>
      <c r="Q3" s="91"/>
      <c r="R3" s="91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4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title</v>
      </c>
      <c r="H5" s="25" t="str">
        <f t="shared" ca="1" si="1"/>
        <v>action_text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6" t="str">
        <f>$I$1</f>
        <v>$_ = \DB::statement('SELECT @@GLOBAL.foreign_key_checks');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10"/>
      <c r="T6" s="10"/>
    </row>
    <row r="7" spans="1:20" x14ac:dyDescent="0.25">
      <c r="A7" s="24"/>
      <c r="B7" s="87" t="str">
        <f>$I$2</f>
        <v>\DB::statement('set foreign_key_checks = 0');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20" x14ac:dyDescent="0.25">
      <c r="A8" s="24"/>
      <c r="B8" s="88" t="str">
        <f>$E$1</f>
        <v>\Milestone\Appframe\Model\ResourceForm::query()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'800901',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'800502', </v>
      </c>
      <c r="E9" s="50" t="str">
        <f t="shared" ca="1" si="2"/>
        <v xml:space="preserve">'name' =&gt; 'CreateGroup', </v>
      </c>
      <c r="F9" s="50" t="str">
        <f t="shared" ca="1" si="2"/>
        <v xml:space="preserve">'description' =&gt; 'Create new partner group', </v>
      </c>
      <c r="G9" s="50" t="str">
        <f t="shared" ca="1" si="2"/>
        <v xml:space="preserve">'title' =&gt; 'Groups', </v>
      </c>
      <c r="H9" s="50" t="str">
        <f t="shared" ca="1" si="2"/>
        <v xml:space="preserve">'action_text' =&gt; 'Save',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'800902', </v>
      </c>
      <c r="D10" s="50" t="str">
        <f t="shared" ca="1" si="2"/>
        <v xml:space="preserve">'resource' =&gt; '800501', </v>
      </c>
      <c r="E10" s="50" t="str">
        <f t="shared" ca="1" si="2"/>
        <v xml:space="preserve">'name' =&gt; 'CreatePartner', </v>
      </c>
      <c r="F10" s="50" t="str">
        <f t="shared" ca="1" si="2"/>
        <v xml:space="preserve">'description' =&gt; 'Create new partner', </v>
      </c>
      <c r="G10" s="50" t="str">
        <f t="shared" ca="1" si="2"/>
        <v xml:space="preserve">'title' =&gt; 'Partners', </v>
      </c>
      <c r="H10" s="50" t="str">
        <f t="shared" ca="1" si="2"/>
        <v xml:space="preserve">'action_text' =&gt; 'Save',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'800903', </v>
      </c>
      <c r="D11" s="50" t="str">
        <f t="shared" ca="1" si="2"/>
        <v xml:space="preserve">'resource' =&gt; '800504', </v>
      </c>
      <c r="E11" s="50" t="str">
        <f t="shared" ca="1" si="2"/>
        <v xml:space="preserve">'name' =&gt; 'CreateTask', </v>
      </c>
      <c r="F11" s="50" t="str">
        <f t="shared" ca="1" si="2"/>
        <v xml:space="preserve">'description' =&gt; 'Create new task', </v>
      </c>
      <c r="G11" s="50" t="str">
        <f t="shared" ca="1" si="2"/>
        <v xml:space="preserve">'title' =&gt; 'Tasks', </v>
      </c>
      <c r="H11" s="50" t="str">
        <f t="shared" ca="1" si="2"/>
        <v xml:space="preserve">'action_text' =&gt; 'Save', </v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'800904', </v>
      </c>
      <c r="D12" s="50" t="str">
        <f t="shared" ca="1" si="2"/>
        <v xml:space="preserve">'resource' =&gt; '800505', </v>
      </c>
      <c r="E12" s="50" t="str">
        <f t="shared" ca="1" si="2"/>
        <v xml:space="preserve">'name' =&gt; 'TaskCompleteDescription', </v>
      </c>
      <c r="F12" s="50" t="str">
        <f t="shared" ca="1" si="2"/>
        <v xml:space="preserve">'description' =&gt; 'Form to make task complete by updating complete_comment', </v>
      </c>
      <c r="G12" s="50" t="str">
        <f t="shared" ca="1" si="2"/>
        <v xml:space="preserve">'title' =&gt; 'Complete', </v>
      </c>
      <c r="H12" s="50" t="str">
        <f t="shared" ca="1" si="2"/>
        <v xml:space="preserve">'action_text' =&gt; 'Complete', </v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'800905', </v>
      </c>
      <c r="D13" s="50" t="str">
        <f t="shared" ca="1" si="2"/>
        <v xml:space="preserve">'resource' =&gt; '800505', </v>
      </c>
      <c r="E13" s="50" t="str">
        <f t="shared" ca="1" si="2"/>
        <v xml:space="preserve">'name' =&gt; 'TaskCompleteAttachment', </v>
      </c>
      <c r="F13" s="50" t="str">
        <f t="shared" ca="1" si="2"/>
        <v xml:space="preserve">'description' =&gt; 'Form to make task complete by attaching files', </v>
      </c>
      <c r="G13" s="50" t="str">
        <f t="shared" ca="1" si="2"/>
        <v xml:space="preserve">'title' =&gt; 'Complete', </v>
      </c>
      <c r="H13" s="50" t="str">
        <f t="shared" ca="1" si="2"/>
        <v xml:space="preserve">'action_text' =&gt; 'Complete', </v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'800906', </v>
      </c>
      <c r="D14" s="50" t="str">
        <f t="shared" ca="1" si="2"/>
        <v xml:space="preserve">'resource' =&gt; '800505', </v>
      </c>
      <c r="E14" s="50" t="str">
        <f t="shared" ca="1" si="2"/>
        <v xml:space="preserve">'name' =&gt; 'TaskDismissForm', </v>
      </c>
      <c r="F14" s="50" t="str">
        <f t="shared" ca="1" si="2"/>
        <v xml:space="preserve">'description' =&gt; 'Form to dismiss a task', </v>
      </c>
      <c r="G14" s="50" t="str">
        <f t="shared" ca="1" si="2"/>
        <v xml:space="preserve">'title' =&gt; 'Dismiss', </v>
      </c>
      <c r="H14" s="50" t="str">
        <f t="shared" ca="1" si="2"/>
        <v xml:space="preserve">'action_text' =&gt; 'Dismiss', </v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>\DB::statement('set foreign_key_checks = ' . $_);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E1" workbookViewId="0">
      <selection activeCell="G7" sqref="G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844</v>
      </c>
      <c r="F3" s="63" t="s">
        <v>848</v>
      </c>
      <c r="G3" s="63" t="s">
        <v>853</v>
      </c>
      <c r="H3" s="62" t="str">
        <f t="shared" ref="H3:H7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849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GroupPartner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845</v>
      </c>
      <c r="F5" s="63" t="s">
        <v>850</v>
      </c>
      <c r="G5" s="63" t="s">
        <v>854</v>
      </c>
      <c r="H5" s="62" t="str">
        <f t="shared" si="0"/>
        <v>Milestone\Task\Model</v>
      </c>
      <c r="I5" s="63" t="s">
        <v>804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846</v>
      </c>
      <c r="F6" s="63" t="s">
        <v>851</v>
      </c>
      <c r="G6" s="63" t="s">
        <v>851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847</v>
      </c>
      <c r="F7" s="63" t="s">
        <v>852</v>
      </c>
      <c r="G7" s="63" t="s">
        <v>851</v>
      </c>
      <c r="H7" s="62" t="str">
        <f t="shared" si="0"/>
        <v>Milestone\Task\Model</v>
      </c>
      <c r="I7" s="63" t="s">
        <v>805</v>
      </c>
      <c r="J7" s="63"/>
      <c r="K7" s="63"/>
      <c r="L7" s="63"/>
      <c r="M7" s="64">
        <f>ResourceTable[No]</f>
        <v>800505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E1" workbookViewId="0">
      <selection activeCell="I12" sqref="I12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844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868</v>
      </c>
      <c r="J3" s="60" t="s">
        <v>869</v>
      </c>
      <c r="K3" s="60" t="s">
        <v>76</v>
      </c>
      <c r="L3" s="60" t="s">
        <v>870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847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885</v>
      </c>
      <c r="V3" s="63" t="s">
        <v>886</v>
      </c>
      <c r="W3" s="63" t="s">
        <v>887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844</v>
      </c>
      <c r="F4" s="62" t="s">
        <v>846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871</v>
      </c>
      <c r="J4" s="60" t="s">
        <v>872</v>
      </c>
      <c r="K4" s="60" t="s">
        <v>851</v>
      </c>
      <c r="L4" s="60" t="s">
        <v>870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847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890</v>
      </c>
      <c r="V4" s="63" t="s">
        <v>888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844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875</v>
      </c>
      <c r="J5" s="60" t="s">
        <v>876</v>
      </c>
      <c r="K5" s="60" t="s">
        <v>853</v>
      </c>
      <c r="L5" s="60" t="s">
        <v>870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847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891</v>
      </c>
      <c r="V5" s="63" t="s">
        <v>889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846</v>
      </c>
      <c r="F6" s="62" t="s">
        <v>846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878</v>
      </c>
      <c r="J6" s="60" t="s">
        <v>879</v>
      </c>
      <c r="K6" s="60" t="s">
        <v>880</v>
      </c>
      <c r="L6" s="60" t="s">
        <v>881</v>
      </c>
      <c r="M6" s="68">
        <f>VLOOKUP(RelationTable[Relate Resource],CHOOSE({1,2},ResourceTable[Name],ResourceTable[No]),2,0)</f>
        <v>800504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847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892</v>
      </c>
      <c r="V6" s="63" t="s">
        <v>893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846</v>
      </c>
      <c r="F7" s="62" t="s">
        <v>846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882</v>
      </c>
      <c r="J7" s="60" t="s">
        <v>883</v>
      </c>
      <c r="K7" s="60" t="s">
        <v>851</v>
      </c>
      <c r="L7" s="60" t="s">
        <v>873</v>
      </c>
      <c r="M7" s="68">
        <f>VLOOKUP(RelationTable[Relate Resource],CHOOSE({1,2},ResourceTable[Name],ResourceTable[No]),2,0)</f>
        <v>800504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847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1063</v>
      </c>
      <c r="V7" s="63" t="s">
        <v>1064</v>
      </c>
      <c r="W7" s="63" t="s">
        <v>1065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846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800504</v>
      </c>
      <c r="I8" s="60" t="s">
        <v>980</v>
      </c>
      <c r="J8" s="60" t="s">
        <v>981</v>
      </c>
      <c r="K8" s="60" t="s">
        <v>853</v>
      </c>
      <c r="L8" s="60" t="s">
        <v>870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846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1068</v>
      </c>
      <c r="V8" s="63" t="s">
        <v>1069</v>
      </c>
      <c r="W8" s="63" t="s">
        <v>1067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846</v>
      </c>
      <c r="F9" s="62" t="s">
        <v>847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800504</v>
      </c>
      <c r="I9" s="60" t="s">
        <v>877</v>
      </c>
      <c r="J9" s="60" t="s">
        <v>982</v>
      </c>
      <c r="K9" s="60" t="s">
        <v>874</v>
      </c>
      <c r="L9" s="60" t="s">
        <v>873</v>
      </c>
      <c r="M9" s="68">
        <f>VLOOKUP(RelationTable[Relate Resource],CHOOSE({1,2},ResourceTable[Name],ResourceTable[No]),2,0)</f>
        <v>800505</v>
      </c>
      <c r="N9" s="69">
        <f>RelationTable[RELID]</f>
        <v>800807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844</v>
      </c>
      <c r="F10" s="62" t="s">
        <v>847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983</v>
      </c>
      <c r="J10" s="60" t="s">
        <v>984</v>
      </c>
      <c r="K10" s="60" t="s">
        <v>874</v>
      </c>
      <c r="L10" s="60" t="s">
        <v>873</v>
      </c>
      <c r="M10" s="68">
        <f>VLOOKUP(RelationTable[Relate Resource],CHOOSE({1,2},ResourceTable[Name],ResourceTable[No]),2,0)</f>
        <v>800505</v>
      </c>
      <c r="N10" s="69">
        <f>RelationTable[RELID]</f>
        <v>800808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847</v>
      </c>
      <c r="F11" s="6" t="s">
        <v>846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800505</v>
      </c>
      <c r="I11" s="15" t="s">
        <v>994</v>
      </c>
      <c r="J11" s="15" t="s">
        <v>995</v>
      </c>
      <c r="K11" s="15" t="s">
        <v>846</v>
      </c>
      <c r="L11" s="15" t="s">
        <v>881</v>
      </c>
      <c r="M11" s="36">
        <f>VLOOKUP(RelationTable[Relate Resource],CHOOSE({1,2},ResourceTable[Name],ResourceTable[No]),2,0)</f>
        <v>800504</v>
      </c>
      <c r="N11" s="53">
        <f>RelationTable[RELID]</f>
        <v>800809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847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800505</v>
      </c>
      <c r="I12" s="60" t="s">
        <v>1070</v>
      </c>
      <c r="J12" s="60" t="s">
        <v>1071</v>
      </c>
      <c r="K12" s="15" t="s">
        <v>844</v>
      </c>
      <c r="L12" s="15" t="s">
        <v>881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</sheetData>
  <dataValidations count="1">
    <dataValidation type="list" allowBlank="1" showInputMessage="1" showErrorMessage="1" sqref="Q2:Q8 E2:F1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C1" workbookViewId="0">
      <selection activeCell="F18" sqref="F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hidden="1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2" bestFit="1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bestFit="1" customWidth="1"/>
    <col min="24" max="24" width="29.42578125" style="20" bestFit="1" customWidth="1"/>
    <col min="25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1057</v>
      </c>
      <c r="L1" s="1" t="s">
        <v>1058</v>
      </c>
      <c r="M1" s="1" t="s">
        <v>1059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1057</v>
      </c>
      <c r="L2" s="37" t="s">
        <v>1058</v>
      </c>
      <c r="M2" s="37" t="s">
        <v>1059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908</v>
      </c>
      <c r="G3" s="71" t="s">
        <v>909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82" t="str">
        <f>IF(ResourceAction[[#This Row],[Resource Name]]="","idn2",IF(ResourceAction[[#This Row],[IDN2]]="","",VLOOKUP(ResourceAction[[#This Row],[IDN2]],IDNMaps[[Display]:[ID]],2,0)))</f>
        <v/>
      </c>
      <c r="T3" s="82" t="str">
        <f>IF(ResourceAction[[#This Row],[Resource Name]]="","idn3",IF(ResourceAction[[#This Row],[IDN3]]="","",VLOOKUP(ResourceAction[[#This Row],[IDN3]],IDNMaps[[Display]:[ID]],2,0)))</f>
        <v/>
      </c>
      <c r="U3" s="82" t="str">
        <f>IF(ResourceAction[[#This Row],[Resource Name]]="","idn4",IF(ResourceAction[[#This Row],[IDN4]]="","",VLOOKUP(ResourceAction[[#This Row],[IDN4]],IDNMaps[[Display]:[ID]],2,0)))</f>
        <v/>
      </c>
      <c r="V3" s="82" t="str">
        <f>IF(ResourceAction[[#This Row],[Resource Name]]="","idn5",IF(ResourceAction[[#This Row],[IDN5]]="","",VLOOKUP(ResourceAction[[#This Row],[IDN5]],IDNMaps[[Display]:[ID]],2,0)))</f>
        <v/>
      </c>
      <c r="W3" s="83" t="s">
        <v>910</v>
      </c>
      <c r="X3" s="83"/>
      <c r="Y3" s="83"/>
      <c r="Z3" s="83"/>
      <c r="AA3" s="83"/>
      <c r="AB3" s="78">
        <f>ResourceAction[No]</f>
        <v>803201</v>
      </c>
      <c r="AC3"/>
      <c r="AD3" s="63" t="s">
        <v>948</v>
      </c>
      <c r="AE3" s="60">
        <f>VLOOKUP(ActionListNData[[#This Row],[Action Name]],ResourceAction[[Display]:[No]],3,0)</f>
        <v>803205</v>
      </c>
      <c r="AF3" s="15" t="s">
        <v>934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914</v>
      </c>
      <c r="G4" s="71" t="s">
        <v>930</v>
      </c>
      <c r="H4" s="71"/>
      <c r="I4" s="71"/>
      <c r="J4" s="71" t="s">
        <v>915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82" t="str">
        <f>IF(ResourceAction[[#This Row],[Resource Name]]="","idn2",IF(ResourceAction[[#This Row],[IDN2]]="","",VLOOKUP(ResourceAction[[#This Row],[IDN2]],IDNMaps[[Display]:[ID]],2,0)))</f>
        <v/>
      </c>
      <c r="T4" s="82" t="str">
        <f>IF(ResourceAction[[#This Row],[Resource Name]]="","idn3",IF(ResourceAction[[#This Row],[IDN3]]="","",VLOOKUP(ResourceAction[[#This Row],[IDN3]],IDNMaps[[Display]:[ID]],2,0)))</f>
        <v/>
      </c>
      <c r="U4" s="82" t="str">
        <f>IF(ResourceAction[[#This Row],[Resource Name]]="","idn4",IF(ResourceAction[[#This Row],[IDN4]]="","",VLOOKUP(ResourceAction[[#This Row],[IDN4]],IDNMaps[[Display]:[ID]],2,0)))</f>
        <v/>
      </c>
      <c r="V4" s="82" t="str">
        <f>IF(ResourceAction[[#This Row],[Resource Name]]="","idn5",IF(ResourceAction[[#This Row],[IDN5]]="","",VLOOKUP(ResourceAction[[#This Row],[IDN5]],IDNMaps[[Display]:[ID]],2,0)))</f>
        <v/>
      </c>
      <c r="W4" s="83" t="s">
        <v>916</v>
      </c>
      <c r="X4" s="83"/>
      <c r="Y4" s="83"/>
      <c r="Z4" s="83"/>
      <c r="AA4" s="83"/>
      <c r="AB4" s="78">
        <f>ResourceAction[No]</f>
        <v>803202</v>
      </c>
      <c r="AC4"/>
      <c r="AD4" s="63" t="s">
        <v>953</v>
      </c>
      <c r="AE4" s="60">
        <f>VLOOKUP(ActionListNData[[#This Row],[Action Name]],ResourceAction[[Display]:[No]],3,0)</f>
        <v>803206</v>
      </c>
      <c r="AF4" s="15" t="s">
        <v>913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844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925</v>
      </c>
      <c r="G5" s="71" t="s">
        <v>926</v>
      </c>
      <c r="H5" s="71"/>
      <c r="I5" s="71"/>
      <c r="J5" s="71" t="s">
        <v>927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82" t="str">
        <f>IF(ResourceAction[[#This Row],[Resource Name]]="","idn2",IF(ResourceAction[[#This Row],[IDN2]]="","",VLOOKUP(ResourceAction[[#This Row],[IDN2]],IDNMaps[[Display]:[ID]],2,0)))</f>
        <v/>
      </c>
      <c r="T5" s="82" t="str">
        <f>IF(ResourceAction[[#This Row],[Resource Name]]="","idn3",IF(ResourceAction[[#This Row],[IDN3]]="","",VLOOKUP(ResourceAction[[#This Row],[IDN3]],IDNMaps[[Display]:[ID]],2,0)))</f>
        <v/>
      </c>
      <c r="U5" s="82" t="str">
        <f>IF(ResourceAction[[#This Row],[Resource Name]]="","idn4",IF(ResourceAction[[#This Row],[IDN4]]="","",VLOOKUP(ResourceAction[[#This Row],[IDN4]],IDNMaps[[Display]:[ID]],2,0)))</f>
        <v/>
      </c>
      <c r="V5" s="82" t="str">
        <f>IF(ResourceAction[[#This Row],[Resource Name]]="","idn5",IF(ResourceAction[[#This Row],[IDN5]]="","",VLOOKUP(ResourceAction[[#This Row],[IDN5]],IDNMaps[[Display]:[ID]],2,0)))</f>
        <v/>
      </c>
      <c r="W5" s="83" t="s">
        <v>928</v>
      </c>
      <c r="X5" s="83"/>
      <c r="Y5" s="83"/>
      <c r="Z5" s="83"/>
      <c r="AA5" s="83"/>
      <c r="AB5" s="78">
        <f>ResourceAction[No]</f>
        <v>803203</v>
      </c>
      <c r="AC5"/>
      <c r="AD5" s="63" t="s">
        <v>988</v>
      </c>
      <c r="AE5" s="60">
        <f>VLOOKUP(ActionListNData[[#This Row],[Action Name]],ResourceAction[[Display]:[No]],3,0)</f>
        <v>803209</v>
      </c>
      <c r="AF5" s="15" t="s">
        <v>962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844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929</v>
      </c>
      <c r="G6" s="71" t="s">
        <v>931</v>
      </c>
      <c r="H6" s="71"/>
      <c r="I6" s="71"/>
      <c r="J6" s="71" t="s">
        <v>915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82" t="str">
        <f>IF(ResourceAction[[#This Row],[Resource Name]]="","idn2",IF(ResourceAction[[#This Row],[IDN2]]="","",VLOOKUP(ResourceAction[[#This Row],[IDN2]],IDNMaps[[Display]:[ID]],2,0)))</f>
        <v/>
      </c>
      <c r="T6" s="82" t="str">
        <f>IF(ResourceAction[[#This Row],[Resource Name]]="","idn3",IF(ResourceAction[[#This Row],[IDN3]]="","",VLOOKUP(ResourceAction[[#This Row],[IDN3]],IDNMaps[[Display]:[ID]],2,0)))</f>
        <v/>
      </c>
      <c r="U6" s="82" t="str">
        <f>IF(ResourceAction[[#This Row],[Resource Name]]="","idn4",IF(ResourceAction[[#This Row],[IDN4]]="","",VLOOKUP(ResourceAction[[#This Row],[IDN4]],IDNMaps[[Display]:[ID]],2,0)))</f>
        <v/>
      </c>
      <c r="V6" s="82" t="str">
        <f>IF(ResourceAction[[#This Row],[Resource Name]]="","idn5",IF(ResourceAction[[#This Row],[IDN5]]="","",VLOOKUP(ResourceAction[[#This Row],[IDN5]],IDNMaps[[Display]:[ID]],2,0)))</f>
        <v/>
      </c>
      <c r="W6" s="83" t="s">
        <v>935</v>
      </c>
      <c r="X6" s="83"/>
      <c r="Y6" s="83"/>
      <c r="Z6" s="83"/>
      <c r="AA6" s="83"/>
      <c r="AB6" s="78">
        <f>ResourceAction[No]</f>
        <v>803204</v>
      </c>
      <c r="AC6"/>
      <c r="AD6" s="1" t="s">
        <v>1038</v>
      </c>
      <c r="AE6" s="15">
        <f>VLOOKUP(ActionListNData[[#This Row],[Action Name]],ResourceAction[[Display]:[No]],3,0)</f>
        <v>803215</v>
      </c>
      <c r="AF6" s="15" t="s">
        <v>992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803215</v>
      </c>
      <c r="AK6" s="15">
        <f>IF(ActionListNData[[#This Row],[Action Name]]="","resource_list",IFERROR(VLOOKUP(ActionListNData[[#This Row],[Resource List]],ResourceList[[ListDisplayName]:[No]],2,0),""))</f>
        <v>802204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803215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844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943</v>
      </c>
      <c r="G7" s="71" t="s">
        <v>944</v>
      </c>
      <c r="H7" s="71" t="s">
        <v>945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946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82">
        <f ca="1">IF(ResourceAction[[#This Row],[Resource Name]]="","idn2",IF(ResourceAction[[#This Row],[IDN2]]="","",VLOOKUP(ResourceAction[[#This Row],[IDN2]],IDNMaps[[Display]:[ID]],2,0)))</f>
        <v>802201</v>
      </c>
      <c r="T7" s="82" t="str">
        <f>IF(ResourceAction[[#This Row],[Resource Name]]="","idn3",IF(ResourceAction[[#This Row],[IDN3]]="","",VLOOKUP(ResourceAction[[#This Row],[IDN3]],IDNMaps[[Display]:[ID]],2,0)))</f>
        <v/>
      </c>
      <c r="U7" s="82" t="str">
        <f>IF(ResourceAction[[#This Row],[Resource Name]]="","idn4",IF(ResourceAction[[#This Row],[IDN4]]="","",VLOOKUP(ResourceAction[[#This Row],[IDN4]],IDNMaps[[Display]:[ID]],2,0)))</f>
        <v/>
      </c>
      <c r="V7" s="82" t="str">
        <f>IF(ResourceAction[[#This Row],[Resource Name]]="","idn5",IF(ResourceAction[[#This Row],[IDN5]]="","",VLOOKUP(ResourceAction[[#This Row],[IDN5]],IDNMaps[[Display]:[ID]],2,0)))</f>
        <v/>
      </c>
      <c r="W7" s="83" t="s">
        <v>947</v>
      </c>
      <c r="X7" s="83" t="s">
        <v>916</v>
      </c>
      <c r="Y7" s="83"/>
      <c r="Z7" s="83"/>
      <c r="AA7" s="83"/>
      <c r="AB7" s="78">
        <f>ResourceAction[No]</f>
        <v>803205</v>
      </c>
      <c r="AC7"/>
      <c r="AD7" s="63" t="s">
        <v>1056</v>
      </c>
      <c r="AE7" s="60">
        <f>VLOOKUP(ActionListNData[[#This Row],[Action Name]],ResourceAction[[Display]:[No]],3,0)</f>
        <v>803216</v>
      </c>
      <c r="AF7" s="15" t="s">
        <v>992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803216</v>
      </c>
      <c r="AK7" s="60">
        <f>IF(ActionListNData[[#This Row],[Action Name]]="","resource_list",IFERROR(VLOOKUP(ActionListNData[[#This Row],[Resource List]],ResourceList[[ListDisplayName]:[No]],2,0),""))</f>
        <v>802204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803216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949</v>
      </c>
      <c r="G8" s="71" t="s">
        <v>950</v>
      </c>
      <c r="H8" s="71" t="s">
        <v>951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946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82">
        <f ca="1">IF(ResourceAction[[#This Row],[Resource Name]]="","idn2",IF(ResourceAction[[#This Row],[IDN2]]="","",VLOOKUP(ResourceAction[[#This Row],[IDN2]],IDNMaps[[Display]:[ID]],2,0)))</f>
        <v>802202</v>
      </c>
      <c r="T8" s="82" t="str">
        <f>IF(ResourceAction[[#This Row],[Resource Name]]="","idn3",IF(ResourceAction[[#This Row],[IDN3]]="","",VLOOKUP(ResourceAction[[#This Row],[IDN3]],IDNMaps[[Display]:[ID]],2,0)))</f>
        <v/>
      </c>
      <c r="U8" s="82" t="str">
        <f>IF(ResourceAction[[#This Row],[Resource Name]]="","idn4",IF(ResourceAction[[#This Row],[IDN4]]="","",VLOOKUP(ResourceAction[[#This Row],[IDN4]],IDNMaps[[Display]:[ID]],2,0)))</f>
        <v/>
      </c>
      <c r="V8" s="82" t="str">
        <f>IF(ResourceAction[[#This Row],[Resource Name]]="","idn5",IF(ResourceAction[[#This Row],[IDN5]]="","",VLOOKUP(ResourceAction[[#This Row],[IDN5]],IDNMaps[[Display]:[ID]],2,0)))</f>
        <v/>
      </c>
      <c r="W8" s="83" t="s">
        <v>952</v>
      </c>
      <c r="X8" s="83" t="s">
        <v>935</v>
      </c>
      <c r="Y8" s="83"/>
      <c r="Z8" s="83"/>
      <c r="AA8" s="83"/>
      <c r="AB8" s="78">
        <f>ResourceAction[No]</f>
        <v>803206</v>
      </c>
      <c r="AC8"/>
      <c r="AD8" s="63" t="s">
        <v>1134</v>
      </c>
      <c r="AE8" s="60">
        <f>VLOOKUP(ActionListNData[[#This Row],[Action Name]],ResourceAction[[Display]:[No]],3,0)</f>
        <v>803217</v>
      </c>
      <c r="AF8" s="15" t="s">
        <v>1005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803217</v>
      </c>
      <c r="AK8" s="60">
        <f>IF(ActionListNData[[#This Row],[Action Name]]="","resource_list",IFERROR(VLOOKUP(ActionListNData[[#This Row],[Resource List]],ResourceList[[ListDisplayName]:[No]],2,0),""))</f>
        <v>802207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803217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846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800504</v>
      </c>
      <c r="F9" s="71" t="s">
        <v>963</v>
      </c>
      <c r="G9" s="71" t="s">
        <v>964</v>
      </c>
      <c r="H9" s="71"/>
      <c r="I9" s="71"/>
      <c r="J9" s="71" t="s">
        <v>965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82" t="str">
        <f>IF(ResourceAction[[#This Row],[Resource Name]]="","idn2",IF(ResourceAction[[#This Row],[IDN2]]="","",VLOOKUP(ResourceAction[[#This Row],[IDN2]],IDNMaps[[Display]:[ID]],2,0)))</f>
        <v/>
      </c>
      <c r="T9" s="82" t="str">
        <f>IF(ResourceAction[[#This Row],[Resource Name]]="","idn3",IF(ResourceAction[[#This Row],[IDN3]]="","",VLOOKUP(ResourceAction[[#This Row],[IDN3]],IDNMaps[[Display]:[ID]],2,0)))</f>
        <v/>
      </c>
      <c r="U9" s="82" t="str">
        <f>IF(ResourceAction[[#This Row],[Resource Name]]="","idn4",IF(ResourceAction[[#This Row],[IDN4]]="","",VLOOKUP(ResourceAction[[#This Row],[IDN4]],IDNMaps[[Display]:[ID]],2,0)))</f>
        <v/>
      </c>
      <c r="V9" s="82" t="str">
        <f>IF(ResourceAction[[#This Row],[Resource Name]]="","idn5",IF(ResourceAction[[#This Row],[IDN5]]="","",VLOOKUP(ResourceAction[[#This Row],[IDN5]],IDNMaps[[Display]:[ID]],2,0)))</f>
        <v/>
      </c>
      <c r="W9" s="83" t="s">
        <v>966</v>
      </c>
      <c r="X9" s="83"/>
      <c r="Y9" s="83"/>
      <c r="Z9" s="83"/>
      <c r="AA9" s="83"/>
      <c r="AB9" s="78">
        <f>ResourceAction[No]</f>
        <v>803207</v>
      </c>
      <c r="AC9"/>
      <c r="AD9" s="63" t="s">
        <v>1134</v>
      </c>
      <c r="AE9" s="60">
        <f>VLOOKUP(ActionListNData[[#This Row],[Action Name]],ResourceAction[[Display]:[No]],3,0)</f>
        <v>803217</v>
      </c>
      <c r="AF9" s="15" t="s">
        <v>1004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803217</v>
      </c>
      <c r="AK9" s="60">
        <f>IF(ActionListNData[[#This Row],[Action Name]]="","resource_list",IFERROR(VLOOKUP(ActionListNData[[#This Row],[Resource List]],ResourceList[[ListDisplayName]:[No]],2,0),""))</f>
        <v>802206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803217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846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800504</v>
      </c>
      <c r="F10" s="71" t="s">
        <v>967</v>
      </c>
      <c r="G10" s="71" t="s">
        <v>968</v>
      </c>
      <c r="H10" s="71"/>
      <c r="I10" s="71"/>
      <c r="J10" s="71" t="s">
        <v>915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82" t="str">
        <f>IF(ResourceAction[[#This Row],[Resource Name]]="","idn2",IF(ResourceAction[[#This Row],[IDN2]]="","",VLOOKUP(ResourceAction[[#This Row],[IDN2]],IDNMaps[[Display]:[ID]],2,0)))</f>
        <v/>
      </c>
      <c r="T10" s="82" t="str">
        <f>IF(ResourceAction[[#This Row],[Resource Name]]="","idn3",IF(ResourceAction[[#This Row],[IDN3]]="","",VLOOKUP(ResourceAction[[#This Row],[IDN3]],IDNMaps[[Display]:[ID]],2,0)))</f>
        <v/>
      </c>
      <c r="U10" s="82" t="str">
        <f>IF(ResourceAction[[#This Row],[Resource Name]]="","idn4",IF(ResourceAction[[#This Row],[IDN4]]="","",VLOOKUP(ResourceAction[[#This Row],[IDN4]],IDNMaps[[Display]:[ID]],2,0)))</f>
        <v/>
      </c>
      <c r="V10" s="82" t="str">
        <f>IF(ResourceAction[[#This Row],[Resource Name]]="","idn5",IF(ResourceAction[[#This Row],[IDN5]]="","",VLOOKUP(ResourceAction[[#This Row],[IDN5]],IDNMaps[[Display]:[ID]],2,0)))</f>
        <v/>
      </c>
      <c r="W10" s="83" t="s">
        <v>969</v>
      </c>
      <c r="X10" s="83"/>
      <c r="Y10" s="83"/>
      <c r="Z10" s="83"/>
      <c r="AA10" s="83"/>
      <c r="AB10" s="78">
        <f>ResourceAction[No]</f>
        <v>803208</v>
      </c>
      <c r="AC10"/>
      <c r="AD10" s="63" t="s">
        <v>1134</v>
      </c>
      <c r="AE10" s="60">
        <f>VLOOKUP(ActionListNData[[#This Row],[Action Name]],ResourceAction[[Display]:[No]],3,0)</f>
        <v>803217</v>
      </c>
      <c r="AF10" s="15" t="s">
        <v>1003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803217</v>
      </c>
      <c r="AK10" s="60">
        <f>IF(ActionListNData[[#This Row],[Action Name]]="","resource_list",IFERROR(VLOOKUP(ActionListNData[[#This Row],[Resource List]],ResourceList[[ListDisplayName]:[No]],2,0),""))</f>
        <v>802205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803217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846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800504</v>
      </c>
      <c r="F11" s="71" t="s">
        <v>985</v>
      </c>
      <c r="G11" s="71" t="s">
        <v>986</v>
      </c>
      <c r="H11" s="71" t="s">
        <v>951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946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82">
        <f ca="1">IF(ResourceAction[[#This Row],[Resource Name]]="","idn2",IF(ResourceAction[[#This Row],[IDN2]]="","",VLOOKUP(ResourceAction[[#This Row],[IDN2]],IDNMaps[[Display]:[ID]],2,0)))</f>
        <v>802202</v>
      </c>
      <c r="T11" s="82" t="str">
        <f>IF(ResourceAction[[#This Row],[Resource Name]]="","idn3",IF(ResourceAction[[#This Row],[IDN3]]="","",VLOOKUP(ResourceAction[[#This Row],[IDN3]],IDNMaps[[Display]:[ID]],2,0)))</f>
        <v/>
      </c>
      <c r="U11" s="82" t="str">
        <f>IF(ResourceAction[[#This Row],[Resource Name]]="","idn4",IF(ResourceAction[[#This Row],[IDN4]]="","",VLOOKUP(ResourceAction[[#This Row],[IDN4]],IDNMaps[[Display]:[ID]],2,0)))</f>
        <v/>
      </c>
      <c r="V11" s="82" t="str">
        <f>IF(ResourceAction[[#This Row],[Resource Name]]="","idn5",IF(ResourceAction[[#This Row],[IDN5]]="","",VLOOKUP(ResourceAction[[#This Row],[IDN5]],IDNMaps[[Display]:[ID]],2,0)))</f>
        <v/>
      </c>
      <c r="W11" s="83" t="s">
        <v>987</v>
      </c>
      <c r="X11" s="83" t="s">
        <v>935</v>
      </c>
      <c r="Y11" s="83"/>
      <c r="Z11" s="83"/>
      <c r="AA11" s="83"/>
      <c r="AB11" s="78">
        <f>ResourceAction[No]</f>
        <v>803209</v>
      </c>
      <c r="AC11"/>
      <c r="AD11" s="63" t="s">
        <v>1106</v>
      </c>
      <c r="AE11" s="60">
        <f>VLOOKUP(ActionListNData[[#This Row],[Action Name]],ResourceAction[[Display]:[No]],3,0)</f>
        <v>803210</v>
      </c>
      <c r="AF11" s="15" t="s">
        <v>962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846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800504</v>
      </c>
      <c r="F12" s="71" t="s">
        <v>1099</v>
      </c>
      <c r="G12" s="71" t="s">
        <v>1100</v>
      </c>
      <c r="H12" s="71" t="s">
        <v>1101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1078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82">
        <f ca="1">IF(ResourceAction[[#This Row],[Resource Name]]="","idn2",IF(ResourceAction[[#This Row],[IDN2]]="","",VLOOKUP(ResourceAction[[#This Row],[IDN2]],IDNMaps[[Display]:[ID]],2,0)))</f>
        <v>802209</v>
      </c>
      <c r="T12" s="82" t="str">
        <f>IF(ResourceAction[[#This Row],[Resource Name]]="","idn3",IF(ResourceAction[[#This Row],[IDN3]]="","",VLOOKUP(ResourceAction[[#This Row],[IDN3]],IDNMaps[[Display]:[ID]],2,0)))</f>
        <v/>
      </c>
      <c r="U12" s="82" t="str">
        <f>IF(ResourceAction[[#This Row],[Resource Name]]="","idn4",IF(ResourceAction[[#This Row],[IDN4]]="","",VLOOKUP(ResourceAction[[#This Row],[IDN4]],IDNMaps[[Display]:[ID]],2,0)))</f>
        <v/>
      </c>
      <c r="V12" s="82" t="str">
        <f>IF(ResourceAction[[#This Row],[Resource Name]]="","idn5",IF(ResourceAction[[#This Row],[IDN5]]="","",VLOOKUP(ResourceAction[[#This Row],[IDN5]],IDNMaps[[Display]:[ID]],2,0)))</f>
        <v/>
      </c>
      <c r="W12" s="83" t="s">
        <v>1079</v>
      </c>
      <c r="X12" s="83" t="s">
        <v>1105</v>
      </c>
      <c r="Y12" s="83"/>
      <c r="Z12" s="83"/>
      <c r="AA12" s="83"/>
      <c r="AB12" s="78">
        <f>ResourceAction[No]</f>
        <v>803210</v>
      </c>
      <c r="AC12"/>
      <c r="AD12" s="63" t="s">
        <v>1107</v>
      </c>
      <c r="AE12" s="60">
        <f>VLOOKUP(ActionListNData[[#This Row],[Action Name]],ResourceAction[[Display]:[No]],3,0)</f>
        <v>803218</v>
      </c>
      <c r="AF12" s="60" t="s">
        <v>992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803218</v>
      </c>
      <c r="AK12" s="60">
        <f>IF(ActionListNData[[#This Row],[Action Name]]="","resource_list",IFERROR(VLOOKUP(ActionListNData[[#This Row],[Resource List]],ResourceList[[ListDisplayName]:[No]],2,0),""))</f>
        <v>802204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803218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37" t="str">
        <f>'Table Seed Map'!$A$34&amp;"-"&amp;(COUNTA($E$1:ResourceAction[[#This Row],[Resource]])-2)</f>
        <v>Resource Actions-11</v>
      </c>
      <c r="B13" s="37" t="str">
        <f>ResourceAction[[#This Row],[Resource Name]]&amp;"/"&amp;ResourceAction[[#This Row],[Name]]</f>
        <v>PartnerTask/ListNewTasksAction</v>
      </c>
      <c r="C13" s="35" t="s">
        <v>847</v>
      </c>
      <c r="D13" s="37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37">
        <f>IFERROR(VLOOKUP(ResourceAction[[#This Row],[Resource Name]],ResourceTable[[RName]:[No]],3,0),"resource")</f>
        <v>800505</v>
      </c>
      <c r="F13" s="37" t="s">
        <v>1017</v>
      </c>
      <c r="G13" s="37" t="s">
        <v>1006</v>
      </c>
      <c r="H13" s="37"/>
      <c r="I13" s="37"/>
      <c r="J13" s="37" t="s">
        <v>991</v>
      </c>
      <c r="K13" s="37"/>
      <c r="L13" s="37"/>
      <c r="M13" s="37"/>
      <c r="N13" s="39" t="str">
        <f>'Table Seed Map'!$A$35&amp;"-"&amp;(COUNTA($E$1:ResourceAction[[#This Row],[Resource]])-2)</f>
        <v>Action Method-11</v>
      </c>
      <c r="O13" s="37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37">
        <f>IF(ResourceAction[[#This Row],[No]]="id","resource_action",ResourceAction[[#This Row],[No]])</f>
        <v>803211</v>
      </c>
      <c r="Q13" s="48" t="s">
        <v>122</v>
      </c>
      <c r="R13" s="49">
        <f ca="1">IF(ResourceAction[[#This Row],[Resource Name]]="","idn1",IF(ResourceAction[[#This Row],[IDN1]]="","",VLOOKUP(ResourceAction[[#This Row],[IDN1]],IDNMaps[[Display]:[ID]],2,0)))</f>
        <v>802204</v>
      </c>
      <c r="S13" s="49" t="str">
        <f>IF(ResourceAction[[#This Row],[Resource Name]]="","idn2",IF(ResourceAction[[#This Row],[IDN2]]="","",VLOOKUP(ResourceAction[[#This Row],[IDN2]],IDNMaps[[Display]:[ID]],2,0)))</f>
        <v/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1007</v>
      </c>
      <c r="X13" s="57"/>
      <c r="Y13" s="57"/>
      <c r="Z13" s="57"/>
      <c r="AA13" s="57"/>
      <c r="AB13" s="54">
        <f>ResourceAction[No]</f>
        <v>803211</v>
      </c>
      <c r="AD13" s="63" t="s">
        <v>1116</v>
      </c>
      <c r="AE13" s="60">
        <f>VLOOKUP(ActionListNData[[#This Row],[Action Name]],ResourceAction[[Display]:[No]],3,0)</f>
        <v>803219</v>
      </c>
      <c r="AF13" s="60" t="s">
        <v>934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803219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803219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PartnerTask/ListCompletedTasksAction</v>
      </c>
      <c r="C14" s="35" t="s">
        <v>847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800505</v>
      </c>
      <c r="F14" s="37" t="s">
        <v>1014</v>
      </c>
      <c r="G14" s="37" t="s">
        <v>1018</v>
      </c>
      <c r="H14" s="37"/>
      <c r="I14" s="37"/>
      <c r="J14" s="37" t="s">
        <v>1012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802207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1010</v>
      </c>
      <c r="X14" s="57"/>
      <c r="Y14" s="57"/>
      <c r="Z14" s="57"/>
      <c r="AA14" s="57"/>
      <c r="AB14" s="54">
        <f>ResourceAction[No]</f>
        <v>803212</v>
      </c>
      <c r="AD14" s="63" t="s">
        <v>1134</v>
      </c>
      <c r="AE14" s="60">
        <f>VLOOKUP(ActionListNData[[#This Row],[Action Name]],ResourceAction[[Display]:[No]],3,0)</f>
        <v>803217</v>
      </c>
      <c r="AF14" s="60" t="s">
        <v>1104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803217</v>
      </c>
      <c r="AK14" s="60">
        <f>IF(ActionListNData[[#This Row],[Action Name]]="","resource_list",IFERROR(VLOOKUP(ActionListNData[[#This Row],[Resource List]],ResourceList[[ListDisplayName]:[No]],2,0),""))</f>
        <v>802209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803217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PartnerTask/ListDismissedTasksAction</v>
      </c>
      <c r="C15" s="35" t="s">
        <v>847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800505</v>
      </c>
      <c r="F15" s="37" t="s">
        <v>1015</v>
      </c>
      <c r="G15" s="37" t="s">
        <v>1019</v>
      </c>
      <c r="H15" s="37"/>
      <c r="I15" s="37"/>
      <c r="J15" s="37" t="s">
        <v>1011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802205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1008</v>
      </c>
      <c r="X15" s="57"/>
      <c r="Y15" s="57"/>
      <c r="Z15" s="57"/>
      <c r="AA15" s="57"/>
      <c r="AB15" s="54">
        <f>ResourceAction[No]</f>
        <v>803213</v>
      </c>
      <c r="AD15" s="63" t="s">
        <v>1134</v>
      </c>
      <c r="AE15" s="60">
        <f>VLOOKUP(ActionListNData[[#This Row],[Action Name]],ResourceAction[[Display]:[No]],3,0)</f>
        <v>803217</v>
      </c>
      <c r="AF15" s="60" t="s">
        <v>1111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803217</v>
      </c>
      <c r="AK15" s="60">
        <f>IF(ActionListNData[[#This Row],[Action Name]]="","resource_list",IFERROR(VLOOKUP(ActionListNData[[#This Row],[Resource List]],ResourceList[[ListDisplayName]:[No]],2,0),""))</f>
        <v>802210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803217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PartnerTask/ListReturnedTasksAction</v>
      </c>
      <c r="C16" s="35" t="s">
        <v>847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800505</v>
      </c>
      <c r="F16" s="37" t="s">
        <v>1016</v>
      </c>
      <c r="G16" s="37" t="s">
        <v>1020</v>
      </c>
      <c r="H16" s="37"/>
      <c r="I16" s="37"/>
      <c r="J16" s="37" t="s">
        <v>1013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1009</v>
      </c>
      <c r="X16" s="57"/>
      <c r="Y16" s="57"/>
      <c r="Z16" s="57"/>
      <c r="AA16" s="57"/>
      <c r="AB16" s="54">
        <f>ResourceAction[No]</f>
        <v>803214</v>
      </c>
    </row>
    <row r="17" spans="1:28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PartnerTask/CompleteDescriptionTaskFormAction</v>
      </c>
      <c r="C17" s="35" t="s">
        <v>847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800505</v>
      </c>
      <c r="F17" s="37" t="s">
        <v>1035</v>
      </c>
      <c r="G17" s="37" t="s">
        <v>1054</v>
      </c>
      <c r="H17" s="37" t="s">
        <v>1024</v>
      </c>
      <c r="I17" s="37"/>
      <c r="J17" s="37"/>
      <c r="K17" s="37"/>
      <c r="L17" s="37" t="s">
        <v>1061</v>
      </c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224</v>
      </c>
      <c r="R17" s="49">
        <f ca="1">IF(ResourceAction[[#This Row],[Resource Name]]="","idn1",IF(ResourceAction[[#This Row],[IDN1]]="","",VLOOKUP(ResourceAction[[#This Row],[IDN1]],IDNMaps[[Display]:[ID]],2,0)))</f>
        <v>800904</v>
      </c>
      <c r="S17" s="49">
        <f ca="1">IF(ResourceAction[[#This Row],[Resource Name]]="","idn2",IF(ResourceAction[[#This Row],[IDN2]]="","",VLOOKUP(ResourceAction[[#This Row],[IDN2]],IDNMaps[[Display]:[ID]],2,0)))</f>
        <v>802701</v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1036</v>
      </c>
      <c r="X17" s="57" t="s">
        <v>1037</v>
      </c>
      <c r="Y17" s="57"/>
      <c r="Z17" s="57"/>
      <c r="AA17" s="57"/>
      <c r="AB17" s="54">
        <f>ResourceAction[No]</f>
        <v>803215</v>
      </c>
    </row>
    <row r="18" spans="1:28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PartnerTask/CompleteAttachmentTaskFormAction</v>
      </c>
      <c r="C18" s="58" t="s">
        <v>847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800505</v>
      </c>
      <c r="F18" s="37" t="s">
        <v>1052</v>
      </c>
      <c r="G18" s="37" t="s">
        <v>1053</v>
      </c>
      <c r="H18" s="37" t="s">
        <v>1024</v>
      </c>
      <c r="I18" s="71"/>
      <c r="J18" s="71"/>
      <c r="K18" s="71"/>
      <c r="L18" s="37" t="s">
        <v>1062</v>
      </c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48" t="s">
        <v>224</v>
      </c>
      <c r="R18" s="82">
        <f ca="1">IF(ResourceAction[[#This Row],[Resource Name]]="","idn1",IF(ResourceAction[[#This Row],[IDN1]]="","",VLOOKUP(ResourceAction[[#This Row],[IDN1]],IDNMaps[[Display]:[ID]],2,0)))</f>
        <v>800905</v>
      </c>
      <c r="S18" s="82">
        <f ca="1">IF(ResourceAction[[#This Row],[Resource Name]]="","idn2",IF(ResourceAction[[#This Row],[IDN2]]="","",VLOOKUP(ResourceAction[[#This Row],[IDN2]],IDNMaps[[Display]:[ID]],2,0)))</f>
        <v>802701</v>
      </c>
      <c r="T18" s="82" t="str">
        <f>IF(ResourceAction[[#This Row],[Resource Name]]="","idn3",IF(ResourceAction[[#This Row],[IDN3]]="","",VLOOKUP(ResourceAction[[#This Row],[IDN3]],IDNMaps[[Display]:[ID]],2,0)))</f>
        <v/>
      </c>
      <c r="U18" s="82" t="str">
        <f>IF(ResourceAction[[#This Row],[Resource Name]]="","idn4",IF(ResourceAction[[#This Row],[IDN4]]="","",VLOOKUP(ResourceAction[[#This Row],[IDN4]],IDNMaps[[Display]:[ID]],2,0)))</f>
        <v/>
      </c>
      <c r="V18" s="82" t="str">
        <f>IF(ResourceAction[[#This Row],[Resource Name]]="","idn5",IF(ResourceAction[[#This Row],[IDN5]]="","",VLOOKUP(ResourceAction[[#This Row],[IDN5]],IDNMaps[[Display]:[ID]],2,0)))</f>
        <v/>
      </c>
      <c r="W18" s="57" t="s">
        <v>1055</v>
      </c>
      <c r="X18" s="57" t="s">
        <v>1037</v>
      </c>
      <c r="Y18" s="83"/>
      <c r="Z18" s="83"/>
      <c r="AA18" s="83"/>
      <c r="AB18" s="78">
        <f>ResourceAction[No]</f>
        <v>803216</v>
      </c>
    </row>
    <row r="19" spans="1:28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PartnerTask/TaskProgressDetails</v>
      </c>
      <c r="C19" s="58" t="s">
        <v>847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800505</v>
      </c>
      <c r="F19" s="71" t="s">
        <v>1131</v>
      </c>
      <c r="G19" s="71" t="s">
        <v>1089</v>
      </c>
      <c r="H19" s="71" t="s">
        <v>1132</v>
      </c>
      <c r="I19" s="71"/>
      <c r="J19" s="71"/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130</v>
      </c>
      <c r="R19" s="82">
        <f ca="1">IF(ResourceAction[[#This Row],[Resource Name]]="","idn1",IF(ResourceAction[[#This Row],[IDN1]]="","",VLOOKUP(ResourceAction[[#This Row],[IDN1]],IDNMaps[[Display]:[ID]],2,0)))</f>
        <v>802701</v>
      </c>
      <c r="S19" s="82" t="str">
        <f>IF(ResourceAction[[#This Row],[Resource Name]]="","idn2",IF(ResourceAction[[#This Row],[IDN2]]="","",VLOOKUP(ResourceAction[[#This Row],[IDN2]],IDNMaps[[Display]:[ID]],2,0)))</f>
        <v/>
      </c>
      <c r="T19" s="82" t="str">
        <f>IF(ResourceAction[[#This Row],[Resource Name]]="","idn3",IF(ResourceAction[[#This Row],[IDN3]]="","",VLOOKUP(ResourceAction[[#This Row],[IDN3]],IDNMaps[[Display]:[ID]],2,0)))</f>
        <v/>
      </c>
      <c r="U19" s="82" t="str">
        <f>IF(ResourceAction[[#This Row],[Resource Name]]="","idn4",IF(ResourceAction[[#This Row],[IDN4]]="","",VLOOKUP(ResourceAction[[#This Row],[IDN4]],IDNMaps[[Display]:[ID]],2,0)))</f>
        <v/>
      </c>
      <c r="V19" s="82" t="str">
        <f>IF(ResourceAction[[#This Row],[Resource Name]]="","idn5",IF(ResourceAction[[#This Row],[IDN5]]="","",VLOOKUP(ResourceAction[[#This Row],[IDN5]],IDNMaps[[Display]:[ID]],2,0)))</f>
        <v/>
      </c>
      <c r="W19" s="57" t="s">
        <v>1037</v>
      </c>
      <c r="X19" s="83"/>
      <c r="Y19" s="83"/>
      <c r="Z19" s="83"/>
      <c r="AA19" s="83"/>
      <c r="AB19" s="78">
        <f>ResourceAction[No]</f>
        <v>803217</v>
      </c>
    </row>
    <row r="20" spans="1:28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PartnerTask/DismissTaskAction</v>
      </c>
      <c r="C20" s="58" t="s">
        <v>847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800505</v>
      </c>
      <c r="F20" s="71" t="s">
        <v>1096</v>
      </c>
      <c r="G20" s="71" t="s">
        <v>1097</v>
      </c>
      <c r="H20" s="71" t="s">
        <v>1092</v>
      </c>
      <c r="I20" s="71"/>
      <c r="J20" s="71"/>
      <c r="K20" s="71"/>
      <c r="L20" s="71" t="s">
        <v>1133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224</v>
      </c>
      <c r="R20" s="82">
        <f ca="1">IF(ResourceAction[[#This Row],[Resource Name]]="","idn1",IF(ResourceAction[[#This Row],[IDN1]]="","",VLOOKUP(ResourceAction[[#This Row],[IDN1]],IDNMaps[[Display]:[ID]],2,0)))</f>
        <v>800906</v>
      </c>
      <c r="S20" s="82">
        <f ca="1">IF(ResourceAction[[#This Row],[Resource Name]]="","idn2",IF(ResourceAction[[#This Row],[IDN2]]="","",VLOOKUP(ResourceAction[[#This Row],[IDN2]],IDNMaps[[Display]:[ID]],2,0)))</f>
        <v>802701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57" t="s">
        <v>1098</v>
      </c>
      <c r="X20" s="83" t="s">
        <v>1037</v>
      </c>
      <c r="Y20" s="83"/>
      <c r="Z20" s="83"/>
      <c r="AA20" s="83"/>
      <c r="AB20" s="78">
        <f>ResourceAction[No]</f>
        <v>803218</v>
      </c>
    </row>
    <row r="21" spans="1:28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Partner/PartnerTaskProgressAction</v>
      </c>
      <c r="C21" s="58" t="s">
        <v>844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800501</v>
      </c>
      <c r="F21" s="71" t="s">
        <v>1112</v>
      </c>
      <c r="G21" s="71" t="s">
        <v>1113</v>
      </c>
      <c r="H21" s="71" t="s">
        <v>1103</v>
      </c>
      <c r="I21" s="71"/>
      <c r="J21" s="71"/>
      <c r="K21" s="71"/>
      <c r="L21" s="71"/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1078</v>
      </c>
      <c r="R21" s="82">
        <f ca="1">IF(ResourceAction[[#This Row],[Resource Name]]="","idn1",IF(ResourceAction[[#This Row],[IDN1]]="","",VLOOKUP(ResourceAction[[#This Row],[IDN1]],IDNMaps[[Display]:[ID]],2,0)))</f>
        <v>800808</v>
      </c>
      <c r="S21" s="82">
        <f ca="1">IF(ResourceAction[[#This Row],[Resource Name]]="","idn2",IF(ResourceAction[[#This Row],[IDN2]]="","",VLOOKUP(ResourceAction[[#This Row],[IDN2]],IDNMaps[[Display]:[ID]],2,0)))</f>
        <v>802210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57" t="s">
        <v>1114</v>
      </c>
      <c r="X21" s="83" t="s">
        <v>1115</v>
      </c>
      <c r="Y21" s="83"/>
      <c r="Z21" s="83"/>
      <c r="AA21" s="83"/>
      <c r="AB21" s="78">
        <f>ResourceAction[No]</f>
        <v>803219</v>
      </c>
    </row>
  </sheetData>
  <dataValidations count="7">
    <dataValidation type="list" allowBlank="1" showInputMessage="1" showErrorMessage="1" sqref="AQ2 AD2:AD15">
      <formula1>ActionsName</formula1>
    </dataValidation>
    <dataValidation type="list" allowBlank="1" showInputMessage="1" showErrorMessage="1" sqref="AF2:AF15">
      <formula1>ListNames</formula1>
    </dataValidation>
    <dataValidation type="list" allowBlank="1" showInputMessage="1" showErrorMessage="1" sqref="AG2:AG15">
      <formula1>DataNames</formula1>
    </dataValidation>
    <dataValidation type="list" allowBlank="1" showInputMessage="1" showErrorMessage="1" sqref="I2:I2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1">
      <formula1>Resources</formula1>
    </dataValidation>
    <dataValidation type="list" allowBlank="1" showInputMessage="1" showErrorMessage="1" sqref="W2:AA21">
      <formula1>IDNs</formula1>
    </dataValidation>
    <dataValidation type="list" allowBlank="1" showInputMessage="1" showErrorMessage="1" sqref="Q2:Q21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2019-12-13T10:33:41Z</dcterms:modified>
</cp:coreProperties>
</file>