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24519"/>
</workbook>
</file>

<file path=xl/calcChain.xml><?xml version="1.0" encoding="utf-8"?>
<calcChain xmlns="http://schemas.openxmlformats.org/spreadsheetml/2006/main">
  <c r="E2" i="4"/>
  <c r="E3"/>
  <c r="E4"/>
  <c r="E5"/>
  <c r="E6"/>
  <c r="E7"/>
  <c r="E8"/>
  <c r="C12" i="2"/>
  <c r="C11"/>
  <c r="C10"/>
  <c r="C2"/>
  <c r="C3"/>
  <c r="C4"/>
  <c r="C5"/>
  <c r="C6"/>
  <c r="C7"/>
  <c r="C8"/>
  <c r="C9"/>
  <c r="C13"/>
  <c r="B8" i="4" l="1"/>
  <c r="P8" s="1"/>
  <c r="C8"/>
  <c r="Q8" s="1"/>
  <c r="D8"/>
  <c r="L8"/>
  <c r="M8"/>
  <c r="N8"/>
  <c r="O8" s="1"/>
  <c r="B7" l="1"/>
  <c r="P7" s="1"/>
  <c r="C7"/>
  <c r="Q7" s="1"/>
  <c r="D7"/>
  <c r="L7"/>
  <c r="M7"/>
  <c r="B6" l="1"/>
  <c r="P6" s="1"/>
  <c r="C6"/>
  <c r="Q6" s="1"/>
  <c r="D6"/>
  <c r="L6"/>
  <c r="M6"/>
  <c r="E13" i="2"/>
  <c r="F13"/>
  <c r="G13"/>
  <c r="D5" i="1"/>
  <c r="D5" i="4" l="1"/>
  <c r="L5"/>
  <c r="M5"/>
  <c r="M2" l="1"/>
  <c r="D4"/>
  <c r="L4"/>
  <c r="M4"/>
  <c r="E12" i="2"/>
  <c r="F12"/>
  <c r="G12"/>
  <c r="D3" i="4" l="1"/>
  <c r="L3"/>
  <c r="M3"/>
  <c r="A2"/>
  <c r="A3" s="1"/>
  <c r="A4" s="1"/>
  <c r="A5" s="1"/>
  <c r="A6" s="1"/>
  <c r="A7" s="1"/>
  <c r="A8" s="1"/>
  <c r="D2"/>
  <c r="F8" s="1"/>
  <c r="L2"/>
  <c r="E11" i="2"/>
  <c r="F11"/>
  <c r="G11"/>
  <c r="D4" i="1"/>
  <c r="E10" i="2"/>
  <c r="F10"/>
  <c r="G10"/>
  <c r="E9"/>
  <c r="F9"/>
  <c r="G9"/>
  <c r="E8"/>
  <c r="F8"/>
  <c r="G8"/>
  <c r="B7" i="6"/>
  <c r="A4" i="5"/>
  <c r="G2" i="2"/>
  <c r="G3"/>
  <c r="G4"/>
  <c r="G5"/>
  <c r="G6"/>
  <c r="G7"/>
  <c r="F2"/>
  <c r="F3"/>
  <c r="F4"/>
  <c r="F5"/>
  <c r="F6"/>
  <c r="F7"/>
  <c r="E2"/>
  <c r="E3"/>
  <c r="E4"/>
  <c r="E5"/>
  <c r="E6"/>
  <c r="E7"/>
  <c r="A2" i="3"/>
  <c r="A3" s="1"/>
  <c r="A4" s="1"/>
  <c r="A5" s="1"/>
  <c r="D2" i="1"/>
  <c r="D3" s="1"/>
  <c r="A2"/>
  <c r="A2" i="2"/>
  <c r="A3" s="1"/>
  <c r="A4" s="1"/>
  <c r="A5" s="1"/>
  <c r="A6" s="1"/>
  <c r="A7" s="1"/>
  <c r="A8" s="1"/>
  <c r="A9" s="1"/>
  <c r="A10" s="1"/>
  <c r="A11" s="1"/>
  <c r="A12" s="1"/>
  <c r="A13" s="1"/>
  <c r="F3" i="4" l="1"/>
  <c r="N5"/>
  <c r="O5" s="1"/>
  <c r="N7"/>
  <c r="O7" s="1"/>
  <c r="F2"/>
  <c r="N4"/>
  <c r="O4" s="1"/>
  <c r="N6"/>
  <c r="O6" s="1"/>
  <c r="F7"/>
  <c r="F6"/>
  <c r="N3"/>
  <c r="O3" s="1"/>
  <c r="B2"/>
  <c r="P2" s="1"/>
  <c r="B5"/>
  <c r="P5" s="1"/>
  <c r="C5"/>
  <c r="Q5" s="1"/>
  <c r="B4"/>
  <c r="P4" s="1"/>
  <c r="C4"/>
  <c r="Q4" s="1"/>
  <c r="N2"/>
  <c r="O2" s="1"/>
  <c r="F5"/>
  <c r="F4"/>
  <c r="C3"/>
  <c r="Q3" s="1"/>
  <c r="C2"/>
  <c r="Q2" s="1"/>
  <c r="B3"/>
  <c r="P3" s="1"/>
  <c r="L5" i="5"/>
  <c r="K5"/>
  <c r="J5"/>
  <c r="P5"/>
  <c r="O5"/>
  <c r="N5"/>
  <c r="M5"/>
  <c r="B15"/>
  <c r="B11" i="6"/>
  <c r="B8" i="5"/>
  <c r="B16"/>
  <c r="B7"/>
  <c r="B21"/>
  <c r="B12"/>
  <c r="B17"/>
  <c r="B18"/>
  <c r="B9"/>
  <c r="B19"/>
  <c r="B10"/>
  <c r="B20"/>
  <c r="B11"/>
  <c r="B13"/>
  <c r="B14"/>
  <c r="D8" i="6" l="1"/>
  <c r="D7"/>
  <c r="U7" s="1"/>
  <c r="V7" s="1"/>
  <c r="D10"/>
  <c r="D9"/>
  <c r="H11"/>
  <c r="H12"/>
  <c r="H13"/>
  <c r="H14"/>
  <c r="H7"/>
  <c r="H8"/>
  <c r="H9"/>
  <c r="H10"/>
  <c r="B15"/>
  <c r="H17" s="1"/>
  <c r="D12"/>
  <c r="D11"/>
  <c r="D13"/>
  <c r="D14"/>
  <c r="M8" i="5"/>
  <c r="L11"/>
  <c r="L8"/>
  <c r="L10"/>
  <c r="J18"/>
  <c r="O18"/>
  <c r="M16"/>
  <c r="N18"/>
  <c r="J12"/>
  <c r="O9"/>
  <c r="L16"/>
  <c r="O11"/>
  <c r="L7"/>
  <c r="O13"/>
  <c r="N19"/>
  <c r="M20"/>
  <c r="J8"/>
  <c r="J7"/>
  <c r="G8"/>
  <c r="G16"/>
  <c r="N11"/>
  <c r="P17"/>
  <c r="M12"/>
  <c r="K13"/>
  <c r="G14"/>
  <c r="O16"/>
  <c r="L20"/>
  <c r="G20"/>
  <c r="N9"/>
  <c r="N16"/>
  <c r="P21"/>
  <c r="L15"/>
  <c r="J14"/>
  <c r="G11"/>
  <c r="G18"/>
  <c r="P11"/>
  <c r="P18"/>
  <c r="M19"/>
  <c r="K21"/>
  <c r="J19"/>
  <c r="G15"/>
  <c r="J17"/>
  <c r="G7"/>
  <c r="N17"/>
  <c r="M11"/>
  <c r="L21"/>
  <c r="J16"/>
  <c r="G13"/>
  <c r="G21"/>
  <c r="P9"/>
  <c r="O7"/>
  <c r="J15"/>
  <c r="G12"/>
  <c r="G19"/>
  <c r="N15"/>
  <c r="O21"/>
  <c r="J11"/>
  <c r="P10"/>
  <c r="O8"/>
  <c r="L13"/>
  <c r="G10"/>
  <c r="N8"/>
  <c r="P13"/>
  <c r="P19"/>
  <c r="L12"/>
  <c r="J9"/>
  <c r="G9"/>
  <c r="G17"/>
  <c r="K19"/>
  <c r="K11"/>
  <c r="M15"/>
  <c r="M10"/>
  <c r="N10"/>
  <c r="M7"/>
  <c r="O14"/>
  <c r="O10"/>
  <c r="K20"/>
  <c r="K18"/>
  <c r="P7"/>
  <c r="J13"/>
  <c r="L19"/>
  <c r="M14"/>
  <c r="M17"/>
  <c r="L9"/>
  <c r="O17"/>
  <c r="J10"/>
  <c r="O19"/>
  <c r="N13"/>
  <c r="O15"/>
  <c r="K14"/>
  <c r="P8"/>
  <c r="K12"/>
  <c r="P12"/>
  <c r="K16"/>
  <c r="J21"/>
  <c r="M18"/>
  <c r="K10"/>
  <c r="M9"/>
  <c r="O12"/>
  <c r="P14"/>
  <c r="K17"/>
  <c r="P16"/>
  <c r="P15"/>
  <c r="L14"/>
  <c r="O20"/>
  <c r="K8"/>
  <c r="M21"/>
  <c r="L18"/>
  <c r="N7"/>
  <c r="M13"/>
  <c r="K7"/>
  <c r="N20"/>
  <c r="N21"/>
  <c r="L17"/>
  <c r="P20"/>
  <c r="J20"/>
  <c r="N12"/>
  <c r="K9"/>
  <c r="N14"/>
  <c r="K15"/>
  <c r="H18" i="6" l="1"/>
  <c r="U10"/>
  <c r="V10" s="1"/>
  <c r="W10" s="1"/>
  <c r="Y10" s="1"/>
  <c r="Z10" s="1"/>
  <c r="AA10" s="1"/>
  <c r="AB10" s="1"/>
  <c r="U8"/>
  <c r="V8" s="1"/>
  <c r="W8" s="1"/>
  <c r="U9"/>
  <c r="V9" s="1"/>
  <c r="W7"/>
  <c r="X7" s="1"/>
  <c r="U13"/>
  <c r="V13" s="1"/>
  <c r="W13" s="1"/>
  <c r="U14"/>
  <c r="V14" s="1"/>
  <c r="W14" s="1"/>
  <c r="U12"/>
  <c r="V12" s="1"/>
  <c r="W12" s="1"/>
  <c r="U11"/>
  <c r="V11" s="1"/>
  <c r="W11" s="1"/>
  <c r="H15"/>
  <c r="H16"/>
  <c r="I7"/>
  <c r="I11"/>
  <c r="D16"/>
  <c r="D15"/>
  <c r="U15" s="1"/>
  <c r="V15" s="1"/>
  <c r="W15" s="1"/>
  <c r="Y15" s="1"/>
  <c r="B19"/>
  <c r="D17"/>
  <c r="D18"/>
  <c r="O23" i="5"/>
  <c r="N23"/>
  <c r="L23"/>
  <c r="P23"/>
  <c r="K23"/>
  <c r="J23"/>
  <c r="M23"/>
  <c r="G23"/>
  <c r="W9" i="6" l="1"/>
  <c r="X10"/>
  <c r="Y11"/>
  <c r="Z11" s="1"/>
  <c r="AA11" s="1"/>
  <c r="AB11" s="1"/>
  <c r="X11"/>
  <c r="Y9"/>
  <c r="X9"/>
  <c r="Y13"/>
  <c r="Z13" s="1"/>
  <c r="AA13" s="1"/>
  <c r="AB13" s="1"/>
  <c r="X13"/>
  <c r="Y8"/>
  <c r="X8"/>
  <c r="X15" s="1"/>
  <c r="Y14"/>
  <c r="Z14" s="1"/>
  <c r="AA14" s="1"/>
  <c r="AB14" s="1"/>
  <c r="X14"/>
  <c r="Y12"/>
  <c r="Z12" s="1"/>
  <c r="AA12" s="1"/>
  <c r="AB12" s="1"/>
  <c r="X12"/>
  <c r="Y7"/>
  <c r="Z7" s="1"/>
  <c r="AA7" s="1"/>
  <c r="U16"/>
  <c r="V16" s="1"/>
  <c r="W16" s="1"/>
  <c r="U17"/>
  <c r="V17" s="1"/>
  <c r="W17" s="1"/>
  <c r="U18"/>
  <c r="V18" s="1"/>
  <c r="W18" s="1"/>
  <c r="Z15"/>
  <c r="AA15" s="1"/>
  <c r="AB15" s="1"/>
  <c r="I15"/>
  <c r="H20"/>
  <c r="H22"/>
  <c r="H19"/>
  <c r="H21"/>
  <c r="D20"/>
  <c r="D22"/>
  <c r="D21"/>
  <c r="B23"/>
  <c r="D19"/>
  <c r="U19" s="1"/>
  <c r="V19" s="1"/>
  <c r="Z9" l="1"/>
  <c r="AA9" s="1"/>
  <c r="Z8"/>
  <c r="AA8" s="1"/>
  <c r="Y16"/>
  <c r="Z16" s="1"/>
  <c r="AA16" s="1"/>
  <c r="AB16" s="1"/>
  <c r="X16"/>
  <c r="Y17"/>
  <c r="Z17" s="1"/>
  <c r="AA17" s="1"/>
  <c r="AB17" s="1"/>
  <c r="X17"/>
  <c r="Y18"/>
  <c r="Z18" s="1"/>
  <c r="AA18" s="1"/>
  <c r="AB18" s="1"/>
  <c r="X18"/>
  <c r="W19"/>
  <c r="U21"/>
  <c r="V21" s="1"/>
  <c r="W21" s="1"/>
  <c r="U20"/>
  <c r="V20" s="1"/>
  <c r="W20" s="1"/>
  <c r="U22"/>
  <c r="V22" s="1"/>
  <c r="W22" s="1"/>
  <c r="I19"/>
  <c r="H23"/>
  <c r="H25"/>
  <c r="H24"/>
  <c r="H26"/>
  <c r="D25"/>
  <c r="D24"/>
  <c r="B27"/>
  <c r="D23"/>
  <c r="U23" s="1"/>
  <c r="V23" s="1"/>
  <c r="D26"/>
  <c r="AB9" l="1"/>
  <c r="AB8"/>
  <c r="U24"/>
  <c r="V24" s="1"/>
  <c r="W24" s="1"/>
  <c r="Y24" s="1"/>
  <c r="Z24" s="1"/>
  <c r="AA24" s="1"/>
  <c r="AB24" s="1"/>
  <c r="Y21"/>
  <c r="Z21" s="1"/>
  <c r="AA21" s="1"/>
  <c r="AB21" s="1"/>
  <c r="X21"/>
  <c r="Y19"/>
  <c r="Z19" s="1"/>
  <c r="AA19" s="1"/>
  <c r="X19"/>
  <c r="Y20"/>
  <c r="Z20" s="1"/>
  <c r="AA20" s="1"/>
  <c r="AB20" s="1"/>
  <c r="X20"/>
  <c r="Y22"/>
  <c r="Z22" s="1"/>
  <c r="AA22" s="1"/>
  <c r="AB22" s="1"/>
  <c r="X22"/>
  <c r="W23"/>
  <c r="U25"/>
  <c r="V25" s="1"/>
  <c r="W25" s="1"/>
  <c r="U26"/>
  <c r="V26" s="1"/>
  <c r="W26" s="1"/>
  <c r="I23"/>
  <c r="H28"/>
  <c r="H30"/>
  <c r="H27"/>
  <c r="H29"/>
  <c r="D28"/>
  <c r="D27"/>
  <c r="D29"/>
  <c r="D30"/>
  <c r="U27" l="1"/>
  <c r="V27" s="1"/>
  <c r="W27" s="1"/>
  <c r="X27" s="1"/>
  <c r="AB7"/>
  <c r="AB19"/>
  <c r="X24"/>
  <c r="Y23"/>
  <c r="Z23" s="1"/>
  <c r="AA23" s="1"/>
  <c r="AB23" s="1"/>
  <c r="X23"/>
  <c r="Y25"/>
  <c r="Z25" s="1"/>
  <c r="AA25" s="1"/>
  <c r="AB25" s="1"/>
  <c r="X25"/>
  <c r="Y26"/>
  <c r="Z26" s="1"/>
  <c r="AA26" s="1"/>
  <c r="AB26" s="1"/>
  <c r="X26"/>
  <c r="U28"/>
  <c r="V28" s="1"/>
  <c r="W28" s="1"/>
  <c r="U29"/>
  <c r="V29" s="1"/>
  <c r="W29" s="1"/>
  <c r="U30"/>
  <c r="V30" s="1"/>
  <c r="W30" s="1"/>
  <c r="I27"/>
  <c r="I2" s="1"/>
  <c r="J2" s="1"/>
  <c r="Y27" l="1"/>
  <c r="Z27" s="1"/>
  <c r="AA27" s="1"/>
  <c r="AB27" s="1"/>
  <c r="Y30"/>
  <c r="X30"/>
  <c r="Y29"/>
  <c r="Z29" s="1"/>
  <c r="AA29" s="1"/>
  <c r="AB29" s="1"/>
  <c r="X29"/>
  <c r="Y28"/>
  <c r="Z28" s="1"/>
  <c r="AA28" s="1"/>
  <c r="AB28" s="1"/>
  <c r="X28"/>
  <c r="Z30" l="1"/>
  <c r="AA30" s="1"/>
  <c r="AB30" s="1"/>
  <c r="L7"/>
  <c r="L9"/>
  <c r="L11"/>
  <c r="L10"/>
  <c r="L8"/>
  <c r="K16" l="1"/>
  <c r="N7"/>
  <c r="K24"/>
  <c r="N9"/>
  <c r="K20"/>
  <c r="N8"/>
  <c r="K32"/>
  <c r="N11"/>
  <c r="K28"/>
  <c r="N10"/>
  <c r="M30" l="1"/>
  <c r="Q30" s="1"/>
  <c r="M28"/>
  <c r="Q28" s="1"/>
  <c r="M31"/>
  <c r="Q31" s="1"/>
  <c r="M29"/>
  <c r="Q29" s="1"/>
  <c r="M34"/>
  <c r="Q34" s="1"/>
  <c r="M33"/>
  <c r="Q33" s="1"/>
  <c r="M32"/>
  <c r="Q32" s="1"/>
  <c r="M35"/>
  <c r="Q35" s="1"/>
  <c r="M16"/>
  <c r="Q16" s="1"/>
  <c r="M19"/>
  <c r="Q19" s="1"/>
  <c r="M17"/>
  <c r="Q17" s="1"/>
  <c r="M18"/>
  <c r="Q18" s="1"/>
  <c r="M27"/>
  <c r="Q27" s="1"/>
  <c r="M25"/>
  <c r="Q25" s="1"/>
  <c r="M24"/>
  <c r="Q24" s="1"/>
  <c r="M26"/>
  <c r="Q26" s="1"/>
  <c r="M22"/>
  <c r="Q22" s="1"/>
  <c r="M20"/>
  <c r="Q20" s="1"/>
  <c r="M23"/>
  <c r="Q23" s="1"/>
  <c r="M21"/>
  <c r="Q21" s="1"/>
  <c r="R16" l="1"/>
  <c r="R28"/>
  <c r="R20"/>
  <c r="R32"/>
  <c r="R24"/>
</calcChain>
</file>

<file path=xl/sharedStrings.xml><?xml version="1.0" encoding="utf-8"?>
<sst xmlns="http://schemas.openxmlformats.org/spreadsheetml/2006/main" count="108" uniqueCount="64">
  <si>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</si>
  <si>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</si>
  <si>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</si>
  <si>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</si>
  <si>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</si>
  <si>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</si>
  <si>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</si>
  <si>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</si>
  <si>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</si>
  <si>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</si>
  <si>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</si>
  <si>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</si>
  <si>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</si>
  <si>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</si>
  <si>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</si>
  <si>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</si>
  <si>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</si>
  <si>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</si>
  <si>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</si>
  <si>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</si>
  <si>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</si>
  <si>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</si>
  <si>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</si>
  <si>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</si>
  <si>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</si>
  <si>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</si>
  <si>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</si>
  <si>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</si>
  <si>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</si>
  <si>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</si>
  <si>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</si>
  <si>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</si>
  <si>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</si>
  <si>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</si>
  <si>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</si>
  <si>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</si>
  <si>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</si>
  <si>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</si>
  <si>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</si>
  <si>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</si>
  <si>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</si>
  <si>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</si>
  <si>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</si>
  <si>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</si>
  <si>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</si>
  <si>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</si>
  <si>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</si>
  <si>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</si>
  <si>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</si>
  <si>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</si>
  <si>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</si>
  <si>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</si>
  <si>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</si>
  <si>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</si>
  <si>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</si>
  <si>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</si>
  <si>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</si>
  <si>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</si>
  <si>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</si>
  <si>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</si>
  <si>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</si>
  <si>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</si>
  <si>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SDS/Solving the issue of repeating icon in tray</t>
  </si>
  <si>
    <t>TKT/DB Designing</t>
  </si>
</sst>
</file>

<file path=xl/styles.xml><?xml version="1.0" encoding="utf-8"?>
<styleSheet xmlns="http://schemas.openxmlformats.org/spreadsheetml/2006/main">
  <numFmts count="2">
    <numFmt numFmtId="164" formatCode="dd\/mmm\/yy"/>
    <numFmt numFmtId="165" formatCode="dd\/mmm"/>
  </numFmts>
  <fonts count="1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3" formatCode="hh:mm\ AM/PM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clustered"/>
        <c:ser>
          <c:idx val="0"/>
          <c:order val="0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121.00000000000006</c:v>
                </c:pt>
                <c:pt idx="1">
                  <c:v>119.99999999999989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gapWidth val="0"/>
        <c:overlap val="100"/>
        <c:axId val="61676544"/>
        <c:axId val="61686528"/>
      </c:barChart>
      <c:catAx>
        <c:axId val="61676544"/>
        <c:scaling>
          <c:orientation val="minMax"/>
        </c:scaling>
        <c:axPos val="l"/>
        <c:majorGridlines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686528"/>
        <c:crosses val="autoZero"/>
        <c:auto val="1"/>
        <c:lblAlgn val="ctr"/>
        <c:lblOffset val="100"/>
      </c:catAx>
      <c:valAx>
        <c:axId val="61686528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676544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stacked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121.00000000000006</c:v>
                </c:pt>
                <c:pt idx="2">
                  <c:v>119.99999999999989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20"/>
        <c:overlap val="100"/>
        <c:axId val="61727104"/>
        <c:axId val="61728640"/>
      </c:barChart>
      <c:catAx>
        <c:axId val="61727104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728640"/>
        <c:crosses val="autoZero"/>
        <c:auto val="1"/>
        <c:lblAlgn val="ctr"/>
        <c:lblOffset val="100"/>
      </c:catAx>
      <c:valAx>
        <c:axId val="6172864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72710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Val val="1"/>
            <c:showCatName val="1"/>
            <c:showPercent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121.00000000000006</c:v>
                </c:pt>
                <c:pt idx="1">
                  <c:v>119.99999999999989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CatName val="1"/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121.00000000000006</c:v>
                </c:pt>
                <c:pt idx="2">
                  <c:v>119.99999999999989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axId val="64639360"/>
        <c:axId val="64640896"/>
      </c:areaChart>
      <c:catAx>
        <c:axId val="64639360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4640896"/>
        <c:crosses val="autoZero"/>
        <c:auto val="1"/>
        <c:lblAlgn val="ctr"/>
        <c:lblOffset val="100"/>
      </c:catAx>
      <c:valAx>
        <c:axId val="646408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4639360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2.212399312154948E-2"/>
          <c:y val="0"/>
          <c:w val="0.70026343258816826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330.99999999999994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Percent val="1"/>
        </c:dLbls>
        <c:firstSliceAng val="0"/>
        <c:holeSize val="10"/>
      </c:doughnutChart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Val val="1"/>
            <c:showCatName val="1"/>
            <c:showPercent val="1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0</c:v>
                </c:pt>
                <c:pt idx="1">
                  <c:v>240.00000000000003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TASK 1</c:v>
          </c:tx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SerName val="1"/>
            <c:separator>
</c:separator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30.000000000000053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209.99999999999997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66282624"/>
        <c:axId val="66284160"/>
      </c:barChart>
      <c:catAx>
        <c:axId val="662826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284160"/>
        <c:crosses val="autoZero"/>
        <c:auto val="1"/>
        <c:lblAlgn val="ctr"/>
        <c:lblOffset val="100"/>
      </c:catAx>
      <c:valAx>
        <c:axId val="66284160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282624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</c:title>
    <c:plotArea>
      <c:layout/>
      <c:barChart>
        <c:barDir val="bar"/>
        <c:grouping val="cluster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gapWidth val="25"/>
        <c:overlap val="40"/>
        <c:axId val="66595840"/>
        <c:axId val="66609920"/>
      </c:barChart>
      <c:dateAx>
        <c:axId val="66595840"/>
        <c:scaling>
          <c:orientation val="maxMin"/>
        </c:scaling>
        <c:axPos val="l"/>
        <c:numFmt formatCode="dd\/mmm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609920"/>
        <c:crosses val="autoZero"/>
        <c:auto val="1"/>
        <c:lblOffset val="100"/>
        <c:baseTimeUnit val="days"/>
      </c:dateAx>
      <c:valAx>
        <c:axId val="66609920"/>
        <c:scaling>
          <c:orientation val="minMax"/>
        </c:scaling>
        <c:axPos val="t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595840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5" totalsRowShown="0" headerRowDxfId="37" dataDxfId="36">
  <autoFilter ref="D1:G5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13" totalsRowShown="0" headerRowDxfId="31" dataDxfId="30">
  <autoFilter ref="A1:G13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CONCATENATE([Project],"/",[Task])</calculatedColumnFormula>
    </tableColumn>
    <tableColumn id="5" name="PRJ" dataDxfId="24">
      <calculatedColumnFormula>[Project]</calculatedColumnFormula>
    </tableColumn>
    <tableColumn id="6" name="TSK" dataDxfId="23">
      <calculatedColumnFormula>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8" totalsRowShown="0" headerRowDxfId="18" dataDxfId="17">
  <autoFilter ref="A1:Q8"/>
  <tableColumns count="17">
    <tableColumn id="1" name="No" dataDxfId="16">
      <calculatedColumnFormula>IFERROR($A1+1,1)</calculatedColumnFormula>
    </tableColumn>
    <tableColumn id="11" name="PRJ" dataDxfId="15">
      <calculatedColumnFormula>VLOOKUP([Task],ProjectTasks[[TaskProjectCode]:[TSK]],2,0)</calculatedColumnFormula>
    </tableColumn>
    <tableColumn id="12" name="TSK" dataDxfId="14">
      <calculatedColumnFormula>VLOOKUP([Task],ProjectTasks[[TaskProjectCode]:[TSK]],3,0)</calculatedColumnFormula>
    </tableColumn>
    <tableColumn id="13" name="EmployeeDate" dataDxfId="13">
      <calculatedColumnFormula>[Employee]&amp;"/"&amp;[Date]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([End Time]-[Start Time])*1440</calculatedColumnFormula>
    </tableColumn>
    <tableColumn id="8" name="Total" dataDxfId="4">
      <calculatedColumnFormula>TEXT([End Time]-[Start Time],"HH:mm")</calculatedColumnFormula>
    </tableColumn>
    <tableColumn id="9" name="Day Total Minutes" dataDxfId="3">
      <calculatedColumnFormula>SUMIFS([Total Minutes],[Date],[Date],[Employee],[Employee])</calculatedColumnFormula>
    </tableColumn>
    <tableColumn id="10" name="Day Total" dataDxfId="2">
      <calculatedColumnFormula>TEXT([Day Total Minutes]/1440,"HH:mm")</calculatedColumnFormula>
    </tableColumn>
    <tableColumn id="16" name="PRJLST" dataDxfId="1">
      <calculatedColumnFormula>[PRJ]</calculatedColumnFormula>
    </tableColumn>
    <tableColumn id="17" name="TSKLST" dataDxfId="0">
      <calculatedColumnFormula>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F9" sqref="F9"/>
    </sheetView>
  </sheetViews>
  <sheetFormatPr defaultRowHeight="1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>
      <c r="A2" s="2">
        <f>IFERROR($A1+1,1)</f>
        <v>1</v>
      </c>
      <c r="B2" s="1" t="s">
        <v>2</v>
      </c>
      <c r="D2" s="2">
        <f>IFERROR($D1+1,1)</f>
        <v>1</v>
      </c>
      <c r="E2" s="1" t="s">
        <v>5</v>
      </c>
      <c r="F2" s="1" t="s">
        <v>10</v>
      </c>
      <c r="G2" s="1" t="s">
        <v>2</v>
      </c>
    </row>
    <row r="3" spans="1:7">
      <c r="A3" s="2">
        <v>2</v>
      </c>
      <c r="B3" s="1" t="s">
        <v>3</v>
      </c>
      <c r="D3" s="3">
        <f>IFERROR($D2+1,1)</f>
        <v>2</v>
      </c>
      <c r="E3" s="4" t="s">
        <v>47</v>
      </c>
      <c r="F3" s="4" t="s">
        <v>48</v>
      </c>
      <c r="G3" s="4" t="s">
        <v>2</v>
      </c>
    </row>
    <row r="4" spans="1:7">
      <c r="D4" s="40">
        <f>IFERROR($D3+1,1)</f>
        <v>3</v>
      </c>
      <c r="E4" s="41" t="s">
        <v>51</v>
      </c>
      <c r="F4" s="42" t="s">
        <v>52</v>
      </c>
      <c r="G4" s="42" t="s">
        <v>3</v>
      </c>
    </row>
    <row r="5" spans="1:7">
      <c r="D5" s="40">
        <f>IFERROR($D4+1,1)</f>
        <v>4</v>
      </c>
      <c r="E5" s="42" t="s">
        <v>59</v>
      </c>
      <c r="F5" s="42" t="s">
        <v>60</v>
      </c>
      <c r="G5" s="42" t="s">
        <v>3</v>
      </c>
    </row>
  </sheetData>
  <dataValidations count="1">
    <dataValidation type="list" allowBlank="1" showInputMessage="1" showErrorMessage="1" sqref="G2:G5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D14" sqref="D14"/>
    </sheetView>
  </sheetViews>
  <sheetFormatPr defaultRowHeight="1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CONCATENATE([Project],"/",[Task])</f>
        <v>TEEBPD/Theme Designing</v>
      </c>
      <c r="F2" s="7" t="str">
        <f>[Project]</f>
        <v>TEEBPD</v>
      </c>
      <c r="G2" s="7" t="str">
        <f>[Task]</f>
        <v>Theme Designing</v>
      </c>
    </row>
    <row r="3" spans="1:7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CONCATENATE([Project],"/",[Task])</f>
        <v>TEEBPD/Database Structure Designing</v>
      </c>
      <c r="F3" s="7" t="str">
        <f>[Project]</f>
        <v>TEEBPD</v>
      </c>
      <c r="G3" s="7" t="str">
        <f>[Task]</f>
        <v>Database Structure Designing</v>
      </c>
    </row>
    <row r="4" spans="1:7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CONCATENATE([Project],"/",[Task])</f>
        <v>TEEBPD/Appframe configuration</v>
      </c>
      <c r="F4" s="7" t="str">
        <f>[Project]</f>
        <v>TEEBPD</v>
      </c>
      <c r="G4" s="7" t="str">
        <f>[Task]</f>
        <v>Appframe configuration</v>
      </c>
    </row>
    <row r="5" spans="1:7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CONCATENATE([Project],"/",[Task])</f>
        <v>TEEBPD/Inhouse Testing</v>
      </c>
      <c r="F5" s="7" t="str">
        <f>[Project]</f>
        <v>TEEBPD</v>
      </c>
      <c r="G5" s="7" t="str">
        <f>[Task]</f>
        <v>Inhouse Testing</v>
      </c>
    </row>
    <row r="6" spans="1:7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CONCATENATE([Project],"/",[Task])</f>
        <v>TEEBPD/Client Demonstration</v>
      </c>
      <c r="F6" s="7" t="str">
        <f>[Project]</f>
        <v>TEEBPD</v>
      </c>
      <c r="G6" s="7" t="str">
        <f>[Task]</f>
        <v>Client Demonstration</v>
      </c>
    </row>
    <row r="7" spans="1:7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CONCATENATE([Project],"/",[Task])</f>
        <v>TEEBPD/Client Suggestion Implementation</v>
      </c>
      <c r="F7" s="7" t="str">
        <f>[Project]</f>
        <v>TEEBPD</v>
      </c>
      <c r="G7" s="7" t="str">
        <f>[Task]</f>
        <v>Client Suggestion Implementation</v>
      </c>
    </row>
    <row r="8" spans="1:7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CONCATENATE([Project],"/",[Task])</f>
        <v>TKT/Database Analysis from Old Project</v>
      </c>
      <c r="F8" s="34" t="str">
        <f>[Project]</f>
        <v>TKT</v>
      </c>
      <c r="G8" s="34" t="str">
        <f>[Task]</f>
        <v>Database Analysis from Old Project</v>
      </c>
    </row>
    <row r="9" spans="1:7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CONCATENATE([Project],"/",[Task])</f>
        <v>TKT/DB Designing</v>
      </c>
      <c r="F9" s="34" t="str">
        <f>[Project]</f>
        <v>TKT</v>
      </c>
      <c r="G9" s="34" t="str">
        <f>[Task]</f>
        <v>DB Designing</v>
      </c>
    </row>
    <row r="10" spans="1:7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CONCATENATE([Project],"/",[Task])</f>
        <v>TKT/Appframe configuration</v>
      </c>
      <c r="F10" s="34" t="str">
        <f>[Project]</f>
        <v>TKT</v>
      </c>
      <c r="G10" s="34" t="str">
        <f>[Task]</f>
        <v>Appframe configuration</v>
      </c>
    </row>
    <row r="11" spans="1:7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CONCATENATE([Project],"/",[Task])</f>
        <v>TKT/Discussion for ticketing modification</v>
      </c>
      <c r="F11" s="45" t="str">
        <f>[Project]</f>
        <v>TKT</v>
      </c>
      <c r="G11" s="45" t="str">
        <f>[Task]</f>
        <v>Discussion for ticketing modification</v>
      </c>
    </row>
    <row r="12" spans="1:7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CONCATENATE([Project],"/",[Task])</f>
        <v>SDS/Decryption</v>
      </c>
      <c r="F12" s="45" t="str">
        <f>[Project]</f>
        <v>SDS</v>
      </c>
      <c r="G12" s="45" t="str">
        <f>[Task]</f>
        <v>Decryption</v>
      </c>
    </row>
    <row r="13" spans="1:7">
      <c r="A13" s="43">
        <f t="shared" si="1"/>
        <v>12</v>
      </c>
      <c r="B13" s="42" t="s">
        <v>52</v>
      </c>
      <c r="C13" s="44" t="str">
        <f>ProjectTasks[[#This Row],[Project]]&amp;"-"&amp;COUNTIF($B$1:ProjectTasks[[#This Row],[Project]],ProjectTasks[[#This Row],[Project]])</f>
        <v>SDS-2</v>
      </c>
      <c r="D13" s="42" t="s">
        <v>61</v>
      </c>
      <c r="E13" s="45" t="str">
        <f>CONCATENATE([Project],"/",[Task])</f>
        <v>SDS/Solving the issue of repeating icon in tray</v>
      </c>
      <c r="F13" s="45" t="str">
        <f>[Project]</f>
        <v>SDS</v>
      </c>
      <c r="G13" s="45" t="str">
        <f>[Task]</f>
        <v>Solving the issue of repeating icon in tray</v>
      </c>
    </row>
  </sheetData>
  <dataValidations count="1">
    <dataValidation type="list" allowBlank="1" showInputMessage="1" showErrorMessage="1" sqref="B2:B13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23" sqref="C23"/>
    </sheetView>
  </sheetViews>
  <sheetFormatPr defaultRowHeight="15"/>
  <cols>
    <col min="2" max="2" width="39.28515625" customWidth="1"/>
  </cols>
  <sheetData>
    <row r="1" spans="1:2">
      <c r="A1" s="1" t="s">
        <v>0</v>
      </c>
      <c r="B1" s="1" t="s">
        <v>15</v>
      </c>
    </row>
    <row r="2" spans="1:2">
      <c r="A2" s="5">
        <f t="shared" ref="A2:A5" si="0">IFERROR($A1+1,1)</f>
        <v>1</v>
      </c>
      <c r="B2" s="1" t="s">
        <v>54</v>
      </c>
    </row>
    <row r="3" spans="1:2">
      <c r="A3" s="5">
        <f t="shared" si="0"/>
        <v>2</v>
      </c>
      <c r="B3" s="1" t="s">
        <v>17</v>
      </c>
    </row>
    <row r="4" spans="1:2">
      <c r="A4" s="5">
        <f t="shared" si="0"/>
        <v>3</v>
      </c>
      <c r="B4" s="1" t="s">
        <v>16</v>
      </c>
    </row>
    <row r="5" spans="1:2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8"/>
  <sheetViews>
    <sheetView tabSelected="1" workbookViewId="0">
      <selection activeCell="G4" sqref="G4"/>
    </sheetView>
  </sheetViews>
  <sheetFormatPr defaultRowHeight="1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>
      <c r="A2" s="5">
        <f t="shared" ref="A2:A8" si="0">IFERROR($A1+1,1)</f>
        <v>1</v>
      </c>
      <c r="B2" s="10" t="str">
        <f>VLOOKUP([Task],ProjectTasks[[TaskProjectCode]:[TSK]],2,0)</f>
        <v>TKT</v>
      </c>
      <c r="C2" s="10" t="str">
        <f>VLOOKUP([Task],ProjectTasks[[TaskProjectCode]:[TSK]],3,0)</f>
        <v>Discussion for ticketing modification</v>
      </c>
      <c r="D2" s="10" t="str">
        <f>[Employee]&amp;"/"&amp;[Date]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([End Time]-[Start Time])*1440</f>
        <v>90</v>
      </c>
      <c r="M2" s="2" t="str">
        <f>TEXT([End Time]-[Start Time],"HH:mm")</f>
        <v>01:30</v>
      </c>
      <c r="N2" s="2">
        <f>SUMIFS([Total Minutes],[Date],[Date],[Employee],[Employee])</f>
        <v>330</v>
      </c>
      <c r="O2" s="2" t="str">
        <f>TEXT([Day Total Minutes]/1440,"HH:mm")</f>
        <v>05:30</v>
      </c>
      <c r="P2" s="10" t="str">
        <f>[PRJ]</f>
        <v>TKT</v>
      </c>
      <c r="Q2" s="10" t="str">
        <f>[TSK]</f>
        <v>Discussion for ticketing modification</v>
      </c>
    </row>
    <row r="3" spans="1:17">
      <c r="A3" s="47">
        <f t="shared" si="0"/>
        <v>2</v>
      </c>
      <c r="B3" s="44" t="str">
        <f>VLOOKUP([Task],ProjectTasks[[TaskProjectCode]:[TSK]],2,0)</f>
        <v>TKT</v>
      </c>
      <c r="C3" s="44" t="str">
        <f>VLOOKUP([Task],ProjectTasks[[TaskProjectCode]:[TSK]],3,0)</f>
        <v>Discussion for ticketing modification</v>
      </c>
      <c r="D3" s="44" t="str">
        <f>[Employee]&amp;"/"&amp;[Date]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([End Time]-[Start Time])*1440</f>
        <v>90</v>
      </c>
      <c r="M3" s="40" t="str">
        <f>TEXT([End Time]-[Start Time],"HH:mm")</f>
        <v>01:30</v>
      </c>
      <c r="N3" s="40">
        <f>SUMIFS([Total Minutes],[Date],[Date],[Employee],[Employee])</f>
        <v>330.99999999999994</v>
      </c>
      <c r="O3" s="40" t="str">
        <f>TEXT([Day Total Minutes]/1440,"HH:mm")</f>
        <v>05:31</v>
      </c>
      <c r="P3" s="44" t="str">
        <f>[PRJ]</f>
        <v>TKT</v>
      </c>
      <c r="Q3" s="44" t="str">
        <f>[TSK]</f>
        <v>Discussion for ticketing modification</v>
      </c>
    </row>
    <row r="4" spans="1:17">
      <c r="A4" s="47">
        <f t="shared" si="0"/>
        <v>3</v>
      </c>
      <c r="B4" s="44" t="str">
        <f>VLOOKUP([Task],ProjectTasks[[TaskProjectCode]:[TSK]],2,0)</f>
        <v>SDS</v>
      </c>
      <c r="C4" s="44" t="str">
        <f>VLOOKUP([Task],ProjectTasks[[TaskProjectCode]:[TSK]],3,0)</f>
        <v>Decryption</v>
      </c>
      <c r="D4" s="44" t="str">
        <f>[Employee]&amp;"/"&amp;[Date]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([End Time]-[Start Time])*1440</f>
        <v>30.000000000000053</v>
      </c>
      <c r="M4" s="40" t="str">
        <f>TEXT([End Time]-[Start Time],"HH:mm")</f>
        <v>00:30</v>
      </c>
      <c r="N4" s="40">
        <f>SUMIFS([Total Minutes],[Date],[Date],[Employee],[Employee])</f>
        <v>330</v>
      </c>
      <c r="O4" s="40" t="str">
        <f>TEXT([Day Total Minutes]/1440,"HH:mm")</f>
        <v>05:30</v>
      </c>
      <c r="P4" s="44" t="str">
        <f>[PRJ]</f>
        <v>SDS</v>
      </c>
      <c r="Q4" s="44" t="str">
        <f>[TSK]</f>
        <v>Decryption</v>
      </c>
    </row>
    <row r="5" spans="1:17">
      <c r="A5" s="47">
        <f t="shared" si="0"/>
        <v>4</v>
      </c>
      <c r="B5" s="44" t="str">
        <f>VLOOKUP([Task],ProjectTasks[[TaskProjectCode]:[TSK]],2,0)</f>
        <v>TKT</v>
      </c>
      <c r="C5" s="44" t="str">
        <f>VLOOKUP([Task],ProjectTasks[[TaskProjectCode]:[TSK]],3,0)</f>
        <v>Database Analysis from Old Project</v>
      </c>
      <c r="D5" s="44" t="str">
        <f>[Employee]&amp;"/"&amp;[Date]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([End Time]-[Start Time])*1440</f>
        <v>121.00000000000006</v>
      </c>
      <c r="M5" s="40" t="str">
        <f>TEXT([End Time]-[Start Time],"HH:mm")</f>
        <v>02:01</v>
      </c>
      <c r="N5" s="40">
        <f>SUMIFS([Total Minutes],[Date],[Date],[Employee],[Employee])</f>
        <v>330.99999999999994</v>
      </c>
      <c r="O5" s="40" t="str">
        <f>TEXT([Day Total Minutes]/1440,"HH:mm")</f>
        <v>05:31</v>
      </c>
      <c r="P5" s="44" t="str">
        <f>[PRJ]</f>
        <v>TKT</v>
      </c>
      <c r="Q5" s="44" t="str">
        <f>[TSK]</f>
        <v>Database Analysis from Old Project</v>
      </c>
    </row>
    <row r="6" spans="1:17">
      <c r="A6" s="47">
        <f t="shared" si="0"/>
        <v>5</v>
      </c>
      <c r="B6" s="44" t="str">
        <f>VLOOKUP([Task],ProjectTasks[[TaskProjectCode]:[TSK]],2,0)</f>
        <v>SDS</v>
      </c>
      <c r="C6" s="44" t="str">
        <f>VLOOKUP([Task],ProjectTasks[[TaskProjectCode]:[TSK]],3,0)</f>
        <v>Solving the issue of repeating icon in tray</v>
      </c>
      <c r="D6" s="44" t="str">
        <f>[Employee]&amp;"/"&amp;[Date]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62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([End Time]-[Start Time])*1440</f>
        <v>89.999999999999915</v>
      </c>
      <c r="M6" s="40" t="str">
        <f>TEXT([End Time]-[Start Time],"HH:mm")</f>
        <v>01:30</v>
      </c>
      <c r="N6" s="40">
        <f>SUMIFS([Total Minutes],[Date],[Date],[Employee],[Employee])</f>
        <v>330</v>
      </c>
      <c r="O6" s="40" t="str">
        <f>TEXT([Day Total Minutes]/1440,"HH:mm")</f>
        <v>05:30</v>
      </c>
      <c r="P6" s="44" t="str">
        <f>[PRJ]</f>
        <v>SDS</v>
      </c>
      <c r="Q6" s="44" t="str">
        <f>[TSK]</f>
        <v>Solving the issue of repeating icon in tray</v>
      </c>
    </row>
    <row r="7" spans="1:17">
      <c r="A7" s="47">
        <f t="shared" si="0"/>
        <v>6</v>
      </c>
      <c r="B7" s="44" t="str">
        <f>VLOOKUP([Task],ProjectTasks[[TaskProjectCode]:[TSK]],2,0)</f>
        <v>TKT</v>
      </c>
      <c r="C7" s="44" t="str">
        <f>VLOOKUP([Task],ProjectTasks[[TaskProjectCode]:[TSK]],3,0)</f>
        <v>DB Designing</v>
      </c>
      <c r="D7" s="44" t="str">
        <f>[Employee]&amp;"/"&amp;[Date]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63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([End Time]-[Start Time])*1440</f>
        <v>119.99999999999989</v>
      </c>
      <c r="M7" s="40" t="str">
        <f>TEXT([End Time]-[Start Time],"HH:mm")</f>
        <v>02:00</v>
      </c>
      <c r="N7" s="40">
        <f>SUMIFS([Total Minutes],[Date],[Date],[Employee],[Employee])</f>
        <v>330.99999999999994</v>
      </c>
      <c r="O7" s="40" t="str">
        <f>TEXT([Day Total Minutes]/1440,"HH:mm")</f>
        <v>05:31</v>
      </c>
      <c r="P7" s="44" t="str">
        <f>[PRJ]</f>
        <v>TKT</v>
      </c>
      <c r="Q7" s="44" t="str">
        <f>[TSK]</f>
        <v>DB Designing</v>
      </c>
    </row>
    <row r="8" spans="1:17">
      <c r="A8" s="47">
        <f t="shared" si="0"/>
        <v>7</v>
      </c>
      <c r="B8" s="44" t="str">
        <f>VLOOKUP([Task],ProjectTasks[[TaskProjectCode]:[TSK]],2,0)</f>
        <v>SDS</v>
      </c>
      <c r="C8" s="44" t="str">
        <f>VLOOKUP([Task],ProjectTasks[[TaskProjectCode]:[TSK]],3,0)</f>
        <v>Solving the issue of repeating icon in tray</v>
      </c>
      <c r="D8" s="44" t="str">
        <f>[Employee]&amp;"/"&amp;[Date]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62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([End Time]-[Start Time])*1440</f>
        <v>120.00000000000006</v>
      </c>
      <c r="M8" s="40" t="str">
        <f>TEXT([End Time]-[Start Time],"HH:mm")</f>
        <v>02:00</v>
      </c>
      <c r="N8" s="40">
        <f>SUMIFS([Total Minutes],[Date],[Date],[Employee],[Employee])</f>
        <v>330</v>
      </c>
      <c r="O8" s="40" t="str">
        <f>TEXT([Day Total Minutes]/1440,"HH:mm")</f>
        <v>05:30</v>
      </c>
      <c r="P8" s="44" t="str">
        <f>[PRJ]</f>
        <v>SDS</v>
      </c>
      <c r="Q8" s="44" t="str">
        <f>[TSK]</f>
        <v>Solving the issue of repeating icon in tray</v>
      </c>
    </row>
  </sheetData>
  <dataValidations count="2">
    <dataValidation type="list" allowBlank="1" showInputMessage="1" showErrorMessage="1" sqref="H2:H8">
      <formula1>EmployeeNames</formula1>
    </dataValidation>
    <dataValidation type="list" allowBlank="1" showInputMessage="1" showErrorMessage="1" sqref="G2:G8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24"/>
  <sheetViews>
    <sheetView topLeftCell="A34" workbookViewId="0">
      <selection sqref="A1:E3"/>
    </sheetView>
  </sheetViews>
  <sheetFormatPr defaultRowHeight="15"/>
  <cols>
    <col min="10" max="16" width="13.28515625" customWidth="1"/>
  </cols>
  <sheetData>
    <row r="1" spans="1:16">
      <c r="A1" s="51" t="s">
        <v>47</v>
      </c>
      <c r="B1" s="51"/>
      <c r="C1" s="51"/>
      <c r="D1" s="51"/>
      <c r="E1" s="51"/>
    </row>
    <row r="2" spans="1:16">
      <c r="A2" s="51"/>
      <c r="B2" s="51"/>
      <c r="C2" s="51"/>
      <c r="D2" s="51"/>
      <c r="E2" s="51"/>
      <c r="J2" s="69" t="s">
        <v>33</v>
      </c>
      <c r="K2" s="69"/>
      <c r="L2" s="69"/>
    </row>
    <row r="3" spans="1:16">
      <c r="A3" s="51"/>
      <c r="B3" s="51"/>
      <c r="C3" s="51"/>
      <c r="D3" s="51"/>
      <c r="E3" s="51"/>
      <c r="J3" s="69"/>
      <c r="K3" s="69"/>
      <c r="L3" s="69"/>
    </row>
    <row r="4" spans="1:16" ht="15.75" thickBot="1">
      <c r="A4" s="53" t="str">
        <f>VLOOKUP($A$1,Project[[Project]:[Project Code]],2,0)</f>
        <v>TKT</v>
      </c>
      <c r="B4" s="53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>
      <c r="A5" s="56" t="s">
        <v>31</v>
      </c>
      <c r="B5" s="54" t="s">
        <v>29</v>
      </c>
      <c r="C5" s="54"/>
      <c r="D5" s="54"/>
      <c r="E5" s="54"/>
      <c r="F5" s="54"/>
      <c r="G5" s="59" t="s">
        <v>32</v>
      </c>
      <c r="H5" s="63"/>
      <c r="J5" s="56" t="str">
        <f>IFERROR(VLOOKUP(J$4,Employees[],2,0),"")</f>
        <v>Aswathy</v>
      </c>
      <c r="K5" s="59" t="str">
        <f>IFERROR(VLOOKUP(K$4,Employees[],2,0),"")</f>
        <v>Vishnu</v>
      </c>
      <c r="L5" s="59" t="str">
        <f>IFERROR(VLOOKUP(L$4,Employees[],2,0),"")</f>
        <v>Shareena</v>
      </c>
      <c r="M5" s="59" t="str">
        <f>IFERROR(VLOOKUP(M$4,Employees[],2,0),"")</f>
        <v>Firose</v>
      </c>
      <c r="N5" s="59" t="str">
        <f>IFERROR(VLOOKUP(N$4,Employees[],2,0),"")</f>
        <v/>
      </c>
      <c r="O5" s="59" t="str">
        <f>IFERROR(VLOOKUP(O$4,Employees[],2,0),"")</f>
        <v/>
      </c>
      <c r="P5" s="63" t="str">
        <f>IFERROR(VLOOKUP(P$4,Employees[],2,0),"")</f>
        <v/>
      </c>
    </row>
    <row r="6" spans="1:16">
      <c r="A6" s="57"/>
      <c r="B6" s="55"/>
      <c r="C6" s="55"/>
      <c r="D6" s="55"/>
      <c r="E6" s="55"/>
      <c r="F6" s="55"/>
      <c r="G6" s="60"/>
      <c r="H6" s="64"/>
      <c r="J6" s="57"/>
      <c r="K6" s="60"/>
      <c r="L6" s="60"/>
      <c r="M6" s="60"/>
      <c r="N6" s="60"/>
      <c r="O6" s="60"/>
      <c r="P6" s="64"/>
    </row>
    <row r="7" spans="1:16">
      <c r="A7" s="12">
        <v>1</v>
      </c>
      <c r="B7" s="52" t="str">
        <f>IFERROR(VLOOKUP($A$4&amp;"-"&amp;$A7,ProjectTasks[[PRJTSKSEQ]:[Task]],2,0),"")</f>
        <v>Database Analysis from Old Project</v>
      </c>
      <c r="C7" s="52"/>
      <c r="D7" s="52"/>
      <c r="E7" s="52"/>
      <c r="F7" s="52"/>
      <c r="G7" s="61">
        <f>SUMIFS(TaskTimings[Total Minutes],TaskTimings[PRJ],$A$4,TaskTimings[TSK],$B7)</f>
        <v>121.00000000000006</v>
      </c>
      <c r="H7" s="62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121.00000000000006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>
      <c r="A8" s="12">
        <v>2</v>
      </c>
      <c r="B8" s="52" t="str">
        <f>IFERROR(VLOOKUP($A$4&amp;"-"&amp;$A8,ProjectTasks[[PRJTSKSEQ]:[Task]],2,0),"")</f>
        <v>DB Designing</v>
      </c>
      <c r="C8" s="52"/>
      <c r="D8" s="52"/>
      <c r="E8" s="52"/>
      <c r="F8" s="52"/>
      <c r="G8" s="61">
        <f>SUMIFS(TaskTimings[Total Minutes],TaskTimings[PRJ],$A$4,TaskTimings[TSK],$B8)</f>
        <v>119.99999999999989</v>
      </c>
      <c r="H8" s="62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119.99999999999989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>
      <c r="A9" s="12">
        <v>3</v>
      </c>
      <c r="B9" s="52" t="str">
        <f>IFERROR(VLOOKUP($A$4&amp;"-"&amp;$A9,ProjectTasks[[PRJTSKSEQ]:[Task]],2,0),"")</f>
        <v>Appframe configuration</v>
      </c>
      <c r="C9" s="52"/>
      <c r="D9" s="52"/>
      <c r="E9" s="52"/>
      <c r="F9" s="52"/>
      <c r="G9" s="61">
        <f>SUMIFS(TaskTimings[Total Minutes],TaskTimings[PRJ],$A$4,TaskTimings[TSK],$B9)</f>
        <v>0</v>
      </c>
      <c r="H9" s="62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>
      <c r="A10" s="12">
        <v>4</v>
      </c>
      <c r="B10" s="52" t="str">
        <f>IFERROR(VLOOKUP($A$4&amp;"-"&amp;$A10,ProjectTasks[[PRJTSKSEQ]:[Task]],2,0),"")</f>
        <v>Discussion for ticketing modification</v>
      </c>
      <c r="C10" s="52"/>
      <c r="D10" s="52"/>
      <c r="E10" s="52"/>
      <c r="F10" s="52"/>
      <c r="G10" s="61">
        <f>SUMIFS(TaskTimings[Total Minutes],TaskTimings[PRJ],$A$4,TaskTimings[TSK],$B10)</f>
        <v>180</v>
      </c>
      <c r="H10" s="62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>
      <c r="A11" s="12">
        <v>5</v>
      </c>
      <c r="B11" s="52" t="str">
        <f>IFERROR(VLOOKUP($A$4&amp;"-"&amp;$A11,ProjectTasks[[PRJTSKSEQ]:[Task]],2,0),"")</f>
        <v/>
      </c>
      <c r="C11" s="52"/>
      <c r="D11" s="52"/>
      <c r="E11" s="52"/>
      <c r="F11" s="52"/>
      <c r="G11" s="61">
        <f>SUMIFS(TaskTimings[Total Minutes],TaskTimings[PRJ],$A$4,TaskTimings[TSK],$B11)</f>
        <v>0</v>
      </c>
      <c r="H11" s="62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>
      <c r="A12" s="12">
        <v>6</v>
      </c>
      <c r="B12" s="52" t="str">
        <f>IFERROR(VLOOKUP($A$4&amp;"-"&amp;$A12,ProjectTasks[[PRJTSKSEQ]:[Task]],2,0),"")</f>
        <v/>
      </c>
      <c r="C12" s="52"/>
      <c r="D12" s="52"/>
      <c r="E12" s="52"/>
      <c r="F12" s="52"/>
      <c r="G12" s="61">
        <f>SUMIFS(TaskTimings[Total Minutes],TaskTimings[PRJ],$A$4,TaskTimings[TSK],$B12)</f>
        <v>0</v>
      </c>
      <c r="H12" s="62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>
      <c r="A13" s="12">
        <v>7</v>
      </c>
      <c r="B13" s="52" t="str">
        <f>IFERROR(VLOOKUP($A$4&amp;"-"&amp;$A13,ProjectTasks[[PRJTSKSEQ]:[Task]],2,0),"")</f>
        <v/>
      </c>
      <c r="C13" s="52"/>
      <c r="D13" s="52"/>
      <c r="E13" s="52"/>
      <c r="F13" s="52"/>
      <c r="G13" s="61">
        <f>SUMIFS(TaskTimings[Total Minutes],TaskTimings[PRJ],$A$4,TaskTimings[TSK],$B13)</f>
        <v>0</v>
      </c>
      <c r="H13" s="62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>
      <c r="A14" s="12">
        <v>8</v>
      </c>
      <c r="B14" s="52" t="str">
        <f>IFERROR(VLOOKUP($A$4&amp;"-"&amp;$A14,ProjectTasks[[PRJTSKSEQ]:[Task]],2,0),"")</f>
        <v/>
      </c>
      <c r="C14" s="52"/>
      <c r="D14" s="52"/>
      <c r="E14" s="52"/>
      <c r="F14" s="52"/>
      <c r="G14" s="61">
        <f>SUMIFS(TaskTimings[Total Minutes],TaskTimings[PRJ],$A$4,TaskTimings[TSK],$B14)</f>
        <v>0</v>
      </c>
      <c r="H14" s="62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>
      <c r="A15" s="12">
        <v>9</v>
      </c>
      <c r="B15" s="52" t="str">
        <f>IFERROR(VLOOKUP($A$4&amp;"-"&amp;$A15,ProjectTasks[[PRJTSKSEQ]:[Task]],2,0),"")</f>
        <v/>
      </c>
      <c r="C15" s="52"/>
      <c r="D15" s="52"/>
      <c r="E15" s="52"/>
      <c r="F15" s="52"/>
      <c r="G15" s="61">
        <f>SUMIFS(TaskTimings[Total Minutes],TaskTimings[PRJ],$A$4,TaskTimings[TSK],$B15)</f>
        <v>0</v>
      </c>
      <c r="H15" s="62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>
      <c r="A16" s="12">
        <v>10</v>
      </c>
      <c r="B16" s="52" t="str">
        <f>IFERROR(VLOOKUP($A$4&amp;"-"&amp;$A16,ProjectTasks[[PRJTSKSEQ]:[Task]],2,0),"")</f>
        <v/>
      </c>
      <c r="C16" s="52"/>
      <c r="D16" s="52"/>
      <c r="E16" s="52"/>
      <c r="F16" s="52"/>
      <c r="G16" s="61">
        <f>SUMIFS(TaskTimings[Total Minutes],TaskTimings[PRJ],$A$4,TaskTimings[TSK],$B16)</f>
        <v>0</v>
      </c>
      <c r="H16" s="62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>
      <c r="A17" s="12">
        <v>11</v>
      </c>
      <c r="B17" s="52" t="str">
        <f>IFERROR(VLOOKUP($A$4&amp;"-"&amp;$A17,ProjectTasks[[PRJTSKSEQ]:[Task]],2,0),"")</f>
        <v/>
      </c>
      <c r="C17" s="52"/>
      <c r="D17" s="52"/>
      <c r="E17" s="52"/>
      <c r="F17" s="52"/>
      <c r="G17" s="61">
        <f>SUMIFS(TaskTimings[Total Minutes],TaskTimings[PRJ],$A$4,TaskTimings[TSK],$B17)</f>
        <v>0</v>
      </c>
      <c r="H17" s="62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>
      <c r="A18" s="12">
        <v>12</v>
      </c>
      <c r="B18" s="52" t="str">
        <f>IFERROR(VLOOKUP($A$4&amp;"-"&amp;$A18,ProjectTasks[[PRJTSKSEQ]:[Task]],2,0),"")</f>
        <v/>
      </c>
      <c r="C18" s="52"/>
      <c r="D18" s="52"/>
      <c r="E18" s="52"/>
      <c r="F18" s="52"/>
      <c r="G18" s="61">
        <f>SUMIFS(TaskTimings[Total Minutes],TaskTimings[PRJ],$A$4,TaskTimings[TSK],$B18)</f>
        <v>0</v>
      </c>
      <c r="H18" s="62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>
      <c r="A19" s="12">
        <v>13</v>
      </c>
      <c r="B19" s="52" t="str">
        <f>IFERROR(VLOOKUP($A$4&amp;"-"&amp;$A19,ProjectTasks[[PRJTSKSEQ]:[Task]],2,0),"")</f>
        <v/>
      </c>
      <c r="C19" s="52"/>
      <c r="D19" s="52"/>
      <c r="E19" s="52"/>
      <c r="F19" s="52"/>
      <c r="G19" s="61">
        <f>SUMIFS(TaskTimings[Total Minutes],TaskTimings[PRJ],$A$4,TaskTimings[TSK],$B19)</f>
        <v>0</v>
      </c>
      <c r="H19" s="62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>
      <c r="A20" s="12">
        <v>14</v>
      </c>
      <c r="B20" s="52" t="str">
        <f>IFERROR(VLOOKUP($A$4&amp;"-"&amp;$A20,ProjectTasks[[PRJTSKSEQ]:[Task]],2,0),"")</f>
        <v/>
      </c>
      <c r="C20" s="52"/>
      <c r="D20" s="52"/>
      <c r="E20" s="52"/>
      <c r="F20" s="52"/>
      <c r="G20" s="61">
        <f>SUMIFS(TaskTimings[Total Minutes],TaskTimings[PRJ],$A$4,TaskTimings[TSK],$B20)</f>
        <v>0</v>
      </c>
      <c r="H20" s="62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>
      <c r="A21" s="13">
        <v>15</v>
      </c>
      <c r="B21" s="58" t="str">
        <f>IFERROR(VLOOKUP($A$4&amp;"-"&amp;$A21,ProjectTasks[[PRJTSKSEQ]:[Task]],2,0),"")</f>
        <v/>
      </c>
      <c r="C21" s="58"/>
      <c r="D21" s="58"/>
      <c r="E21" s="58"/>
      <c r="F21" s="58"/>
      <c r="G21" s="67">
        <f>SUMIFS(TaskTimings[Total Minutes],TaskTimings[PRJ],$A$4,TaskTimings[TSK],$B21)</f>
        <v>0</v>
      </c>
      <c r="H21" s="68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/>
    <row r="23" spans="1:16">
      <c r="D23" s="70" t="s">
        <v>24</v>
      </c>
      <c r="E23" s="71"/>
      <c r="F23" s="72"/>
      <c r="G23" s="70">
        <f>SUM(G7:H21)</f>
        <v>420.99999999999994</v>
      </c>
      <c r="H23" s="72"/>
      <c r="J23" s="65">
        <f>SUM(J7:J21)</f>
        <v>90</v>
      </c>
      <c r="K23" s="65">
        <f t="shared" ref="K23:P23" si="0">SUM(K7:K21)</f>
        <v>0</v>
      </c>
      <c r="L23" s="65">
        <f t="shared" si="0"/>
        <v>330.99999999999994</v>
      </c>
      <c r="M23" s="65">
        <f t="shared" si="0"/>
        <v>0</v>
      </c>
      <c r="N23" s="65">
        <f t="shared" si="0"/>
        <v>0</v>
      </c>
      <c r="O23" s="65">
        <f t="shared" si="0"/>
        <v>0</v>
      </c>
      <c r="P23" s="65">
        <f t="shared" si="0"/>
        <v>0</v>
      </c>
    </row>
    <row r="24" spans="1:16" ht="15.75" thickBot="1">
      <c r="D24" s="73"/>
      <c r="E24" s="74"/>
      <c r="F24" s="75"/>
      <c r="G24" s="73"/>
      <c r="H24" s="75"/>
      <c r="J24" s="66"/>
      <c r="K24" s="66"/>
      <c r="L24" s="66"/>
      <c r="M24" s="66"/>
      <c r="N24" s="66"/>
      <c r="O24" s="66"/>
      <c r="P24" s="66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35"/>
  <sheetViews>
    <sheetView workbookViewId="0">
      <selection activeCell="L10" sqref="L10:M10"/>
    </sheetView>
  </sheetViews>
  <sheetFormatPr defaultRowHeight="15"/>
  <sheetData>
    <row r="1" spans="1:28">
      <c r="A1" s="95" t="s">
        <v>54</v>
      </c>
      <c r="B1" s="95"/>
      <c r="C1" s="95"/>
      <c r="D1" s="95"/>
      <c r="F1" s="97" t="s">
        <v>35</v>
      </c>
      <c r="G1" s="97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>
      <c r="A2" s="95"/>
      <c r="B2" s="95"/>
      <c r="C2" s="95"/>
      <c r="D2" s="95"/>
      <c r="F2" s="96">
        <v>43430</v>
      </c>
      <c r="G2" s="96"/>
      <c r="I2" s="76">
        <f>SUM(I7:I30)</f>
        <v>330</v>
      </c>
      <c r="J2" s="78" t="str">
        <f>TEXT($I$2/1440,"H:mm")</f>
        <v>5:30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>
      <c r="A3" s="95"/>
      <c r="B3" s="95"/>
      <c r="C3" s="95"/>
      <c r="D3" s="95"/>
      <c r="F3" s="96"/>
      <c r="G3" s="96"/>
      <c r="I3" s="77"/>
      <c r="J3" s="7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>
      <c r="K4" s="69" t="s">
        <v>44</v>
      </c>
      <c r="L4" s="69"/>
      <c r="M4" s="69"/>
    </row>
    <row r="5" spans="1:28" ht="15.75" thickBot="1">
      <c r="B5" s="69" t="s">
        <v>45</v>
      </c>
      <c r="C5" s="69"/>
      <c r="D5" s="69"/>
      <c r="E5" s="69"/>
      <c r="F5" s="69"/>
      <c r="K5" s="93"/>
      <c r="L5" s="93"/>
      <c r="M5" s="93"/>
    </row>
    <row r="6" spans="1:28" ht="15.75" thickBot="1">
      <c r="A6" s="14">
        <v>1</v>
      </c>
      <c r="B6" s="94"/>
      <c r="C6" s="94"/>
      <c r="D6" s="94"/>
      <c r="E6" s="94"/>
      <c r="F6" s="94"/>
      <c r="J6" s="25"/>
      <c r="K6" s="38" t="s">
        <v>0</v>
      </c>
      <c r="L6" s="86" t="s">
        <v>4</v>
      </c>
      <c r="M6" s="86"/>
      <c r="N6" s="39" t="s">
        <v>41</v>
      </c>
      <c r="O6" s="25"/>
      <c r="P6" s="25"/>
      <c r="Q6" s="25"/>
      <c r="R6" s="25"/>
      <c r="S6" s="25"/>
      <c r="T6" s="25"/>
    </row>
    <row r="7" spans="1:28">
      <c r="A7" s="14">
        <v>2</v>
      </c>
      <c r="B7" s="98">
        <f>$F$2</f>
        <v>43430</v>
      </c>
      <c r="C7" s="59"/>
      <c r="D7" s="99" t="str">
        <f>IFERROR(VLOOKUP($A$1&amp;"/"&amp;$B$7&amp;"/"&amp;$A6,TaskTimings[[EmployeeDateSeqCode]:[Task]],2,0),"")</f>
        <v>TKT/Discussion for ticketing modification</v>
      </c>
      <c r="E7" s="99"/>
      <c r="F7" s="99"/>
      <c r="G7" s="99"/>
      <c r="H7" s="23">
        <f>IFERROR(VLOOKUP($A$1&amp;"/"&amp;$B$7&amp;"/"&amp;$A6,TaskTimings[[EmployeeDateSeqCode]:[Total Minutes]],7,0),0)</f>
        <v>90</v>
      </c>
      <c r="I7" s="88">
        <f>SUM(H7:H10)</f>
        <v>330</v>
      </c>
      <c r="J7" s="25"/>
      <c r="K7" s="30">
        <v>1</v>
      </c>
      <c r="L7" s="80" t="str">
        <f>IFERROR(VLOOKUP($K7,$X$7:$Y$30,2,0),"")</f>
        <v>TKT</v>
      </c>
      <c r="M7" s="80"/>
      <c r="N7" s="26">
        <f>SUMIFS($AB$8:$AB$30,$Y$8:$Y$30,$L7)</f>
        <v>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90</v>
      </c>
    </row>
    <row r="8" spans="1:28">
      <c r="A8" s="14">
        <v>3</v>
      </c>
      <c r="B8" s="57"/>
      <c r="C8" s="60"/>
      <c r="D8" s="89" t="str">
        <f>IFERROR(VLOOKUP($A$1&amp;"/"&amp;$B$7&amp;"/"&amp;$A7,TaskTimings[[EmployeeDateSeqCode]:[Task]],2,0),"")</f>
        <v>SDS/Decryption</v>
      </c>
      <c r="E8" s="89"/>
      <c r="F8" s="89"/>
      <c r="G8" s="89"/>
      <c r="H8" s="22">
        <f>IFERROR(VLOOKUP($A$1&amp;"/"&amp;$B$7&amp;"/"&amp;$A7,TaskTimings[[EmployeeDateSeqCode]:[Total Minutes]],7,0),0)</f>
        <v>30.000000000000053</v>
      </c>
      <c r="I8" s="78"/>
      <c r="J8" s="25"/>
      <c r="K8" s="30">
        <v>2</v>
      </c>
      <c r="L8" s="80" t="str">
        <f>IFERROR(VLOOKUP($K8,$X$7:$Y$30,2,0),"")</f>
        <v>SDS</v>
      </c>
      <c r="M8" s="80"/>
      <c r="N8" s="26">
        <f t="shared" ref="N8:N11" si="0">SUMIFS($AB$8:$AB$30,$Y$8:$Y$30,$L8)</f>
        <v>240.00000000000003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SDS</v>
      </c>
      <c r="W8" s="14">
        <f>IF($V8="","",COUNTIF($V$7:$V8,$V8))</f>
        <v>1</v>
      </c>
      <c r="X8" s="14">
        <f>IF($W8=1,SUM($X$6:$X7)+1,"")</f>
        <v>2</v>
      </c>
      <c r="Y8" s="37" t="str">
        <f t="shared" ref="Y8:Y30" si="1">IF($W8="","",$V8)</f>
        <v>SDS</v>
      </c>
      <c r="Z8" s="33" t="str">
        <f>IF($Y8="","",$Y8&amp;"/"&amp;COUNTIF($Y$7:$Y8,$Y8))</f>
        <v>SDS/1</v>
      </c>
      <c r="AA8" s="33" t="str">
        <f>IF($Z8="","",VLOOKUP($D8,TaskTimings[[Task]:[TSKLST]],11,0))</f>
        <v>Decryption</v>
      </c>
      <c r="AB8" s="33">
        <f t="shared" ref="AB8:AB30" si="2">IF($AA8="",0,SUMIFS($H$7:$H$30,$D$7:$D$30,$Y8&amp;"/"&amp;$AA8))</f>
        <v>30.000000000000053</v>
      </c>
    </row>
    <row r="9" spans="1:28">
      <c r="A9" s="14">
        <v>4</v>
      </c>
      <c r="B9" s="57"/>
      <c r="C9" s="60"/>
      <c r="D9" s="89" t="str">
        <f>IFERROR(VLOOKUP($A$1&amp;"/"&amp;$B$7&amp;"/"&amp;$A8,TaskTimings[[EmployeeDateSeqCode]:[Task]],2,0),"")</f>
        <v>SDS/Solving the issue of repeating icon in tray</v>
      </c>
      <c r="E9" s="89"/>
      <c r="F9" s="89"/>
      <c r="G9" s="89"/>
      <c r="H9" s="22">
        <f>IFERROR(VLOOKUP($A$1&amp;"/"&amp;$B$7&amp;"/"&amp;$A8,TaskTimings[[EmployeeDateSeqCode]:[Total Minutes]],7,0),0)</f>
        <v>89.999999999999915</v>
      </c>
      <c r="I9" s="78"/>
      <c r="J9" s="25"/>
      <c r="K9" s="30">
        <v>3</v>
      </c>
      <c r="L9" s="80" t="str">
        <f>IFERROR(VLOOKUP($K9,$X$7:$Y$30,2,0),"")</f>
        <v/>
      </c>
      <c r="M9" s="80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33" t="str">
        <f>IF($U9=0,"",VLOOKUP($D9,TaskTimings[[Task]:[PRJLST]],10,0))</f>
        <v>SDS</v>
      </c>
      <c r="W9" s="14">
        <f>IF($V9="","",COUNTIF($V$7:$V9,$V9))</f>
        <v>2</v>
      </c>
      <c r="X9" s="14" t="str">
        <f>IF($W9=1,SUM($X$6:$X8)+1,"")</f>
        <v/>
      </c>
      <c r="Y9" s="37" t="str">
        <f t="shared" si="1"/>
        <v>SDS</v>
      </c>
      <c r="Z9" s="33" t="str">
        <f>IF($Y9="","",$Y9&amp;"/"&amp;COUNTIF($Y$7:$Y9,$Y9))</f>
        <v>SDS/2</v>
      </c>
      <c r="AA9" s="33" t="str">
        <f>IF($Z9="","",VLOOKUP($D9,TaskTimings[[Task]:[TSKLST]],11,0))</f>
        <v>Solving the issue of repeating icon in tray</v>
      </c>
      <c r="AB9" s="33">
        <f t="shared" si="2"/>
        <v>209.99999999999997</v>
      </c>
    </row>
    <row r="10" spans="1:28">
      <c r="A10" s="14">
        <v>1</v>
      </c>
      <c r="B10" s="57"/>
      <c r="C10" s="60"/>
      <c r="D10" s="89" t="str">
        <f>IFERROR(VLOOKUP($A$1&amp;"/"&amp;$B$7&amp;"/"&amp;$A9,TaskTimings[[EmployeeDateSeqCode]:[Task]],2,0),"")</f>
        <v>SDS/Solving the issue of repeating icon in tray</v>
      </c>
      <c r="E10" s="89"/>
      <c r="F10" s="89"/>
      <c r="G10" s="89"/>
      <c r="H10" s="22">
        <f>IFERROR(VLOOKUP($A$1&amp;"/"&amp;$B$7&amp;"/"&amp;$A9,TaskTimings[[EmployeeDateSeqCode]:[Total Minutes]],7,0),0)</f>
        <v>120.00000000000006</v>
      </c>
      <c r="I10" s="78"/>
      <c r="J10" s="25"/>
      <c r="K10" s="30">
        <v>4</v>
      </c>
      <c r="L10" s="80" t="str">
        <f>IFERROR(VLOOKUP($K10,$X$7:$Y$30,2,0),"")</f>
        <v/>
      </c>
      <c r="M10" s="80"/>
      <c r="N10" s="26">
        <f t="shared" si="0"/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>
      <c r="A11" s="14">
        <v>2</v>
      </c>
      <c r="B11" s="90">
        <f>B7+1</f>
        <v>43431</v>
      </c>
      <c r="C11" s="60"/>
      <c r="D11" s="89" t="str">
        <f>IFERROR(VLOOKUP($A$1&amp;"/"&amp;$B$11&amp;"/"&amp;$A10,TaskTimings[[EmployeeDateSeqCode]:[Task]],2,0),"")</f>
        <v/>
      </c>
      <c r="E11" s="89"/>
      <c r="F11" s="89"/>
      <c r="G11" s="89"/>
      <c r="H11" s="22">
        <f>IFERROR(VLOOKUP($A$1&amp;"/"&amp;$B$11&amp;"/"&amp;$A10,TaskTimings[[EmployeeDateSeqCode]:[Total Minutes]],7,0),0)</f>
        <v>0</v>
      </c>
      <c r="I11" s="78">
        <f t="shared" ref="I11" si="3">SUM(H11:H14)</f>
        <v>0</v>
      </c>
      <c r="J11" s="25"/>
      <c r="K11" s="31">
        <v>5</v>
      </c>
      <c r="L11" s="83" t="str">
        <f>IFERROR(VLOOKUP($K11,$X$7:$Y$30,2,0),"")</f>
        <v/>
      </c>
      <c r="M11" s="83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33" t="str">
        <f>IF($U11=0,"",VLOOKUP($D11,TaskTimings[[Task]:[PRJLST]],10,0))</f>
        <v/>
      </c>
      <c r="W11" s="14" t="str">
        <f>IF($V11="","",COUNTIF($V$7:$V11,$V11))</f>
        <v/>
      </c>
      <c r="X11" s="14" t="str">
        <f>IF($W11=1,SUM($X$6:$X10)+1,"")</f>
        <v/>
      </c>
      <c r="Y11" s="37" t="str">
        <f t="shared" si="1"/>
        <v/>
      </c>
      <c r="Z11" s="33" t="str">
        <f>IF($Y11="","",$Y11&amp;"/"&amp;COUNTIF($Y$7:$Y11,$Y11))</f>
        <v/>
      </c>
      <c r="AA11" s="33" t="str">
        <f>IF($Z11="","",VLOOKUP($D11,TaskTimings[[Task]:[TSKLST]],11,0))</f>
        <v/>
      </c>
      <c r="AB11" s="33">
        <f t="shared" si="2"/>
        <v>0</v>
      </c>
    </row>
    <row r="12" spans="1:28">
      <c r="A12" s="14">
        <v>3</v>
      </c>
      <c r="B12" s="57"/>
      <c r="C12" s="60"/>
      <c r="D12" s="89" t="str">
        <f>IFERROR(VLOOKUP($A$1&amp;"/"&amp;$B$11&amp;"/"&amp;$A11,TaskTimings[[EmployeeDateSeqCode]:[Task]],2,0),"")</f>
        <v/>
      </c>
      <c r="E12" s="89"/>
      <c r="F12" s="89"/>
      <c r="G12" s="89"/>
      <c r="H12" s="22">
        <f>IFERROR(VLOOKUP($A$1&amp;"/"&amp;$B$11&amp;"/"&amp;$A11,TaskTimings[[EmployeeDateSeqCode]:[Total Minutes]],7,0),0)</f>
        <v>0</v>
      </c>
      <c r="I12" s="78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>
      <c r="A13" s="14">
        <v>4</v>
      </c>
      <c r="B13" s="57"/>
      <c r="C13" s="60"/>
      <c r="D13" s="89" t="str">
        <f>IFERROR(VLOOKUP($A$1&amp;"/"&amp;$B$11&amp;"/"&amp;$A12,TaskTimings[[EmployeeDateSeqCode]:[Task]],2,0),"")</f>
        <v/>
      </c>
      <c r="E13" s="89"/>
      <c r="F13" s="89"/>
      <c r="G13" s="89"/>
      <c r="H13" s="22">
        <f>IFERROR(VLOOKUP($A$1&amp;"/"&amp;$B$11&amp;"/"&amp;$A12,TaskTimings[[EmployeeDateSeqCode]:[Total Minutes]],7,0),0)</f>
        <v>0</v>
      </c>
      <c r="I13" s="78"/>
      <c r="J13" s="25"/>
      <c r="K13" s="93" t="s">
        <v>46</v>
      </c>
      <c r="L13" s="93"/>
      <c r="M13" s="93"/>
      <c r="N13" s="93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>
      <c r="A14" s="14">
        <v>1</v>
      </c>
      <c r="B14" s="57"/>
      <c r="C14" s="60"/>
      <c r="D14" s="89" t="str">
        <f>IFERROR(VLOOKUP($A$1&amp;"/"&amp;$B$11&amp;"/"&amp;$A13,TaskTimings[[EmployeeDateSeqCode]:[Task]],2,0),"")</f>
        <v/>
      </c>
      <c r="E14" s="89"/>
      <c r="F14" s="89"/>
      <c r="G14" s="89"/>
      <c r="H14" s="22">
        <f>IFERROR(VLOOKUP($A$1&amp;"/"&amp;$B$11&amp;"/"&amp;$A13,TaskTimings[[EmployeeDateSeqCode]:[Total Minutes]],7,0),0)</f>
        <v>0</v>
      </c>
      <c r="I14" s="78"/>
      <c r="J14" s="25"/>
      <c r="K14" s="94"/>
      <c r="L14" s="94"/>
      <c r="M14" s="94"/>
      <c r="N14" s="94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>
      <c r="A15" s="14">
        <v>2</v>
      </c>
      <c r="B15" s="90">
        <f>B11+1</f>
        <v>43432</v>
      </c>
      <c r="C15" s="60"/>
      <c r="D15" s="89" t="str">
        <f>IFERROR(VLOOKUP($A$1&amp;"/"&amp;$B$15&amp;"/"&amp;$A14,TaskTimings[[EmployeeDateSeqCode]:[Task]],2,0),"")</f>
        <v/>
      </c>
      <c r="E15" s="89"/>
      <c r="F15" s="89"/>
      <c r="G15" s="89"/>
      <c r="H15" s="22">
        <f>IFERROR(VLOOKUP($A$1&amp;"/"&amp;$B$15&amp;"/"&amp;$A14,TaskTimings[[EmployeeDateSeqCode]:[Total Minutes]],7,0),0)</f>
        <v>0</v>
      </c>
      <c r="I15" s="78">
        <f t="shared" ref="I15" si="4">SUM(H15:H18)</f>
        <v>0</v>
      </c>
      <c r="J15" s="25"/>
      <c r="K15" s="85" t="s">
        <v>4</v>
      </c>
      <c r="L15" s="84"/>
      <c r="M15" s="84" t="s">
        <v>29</v>
      </c>
      <c r="N15" s="84"/>
      <c r="O15" s="84"/>
      <c r="P15" s="84"/>
      <c r="Q15" s="23" t="s">
        <v>42</v>
      </c>
      <c r="R15" s="29" t="s">
        <v>24</v>
      </c>
      <c r="S15" s="25"/>
      <c r="T15" s="25"/>
      <c r="U15" s="14">
        <f>IF(COUNTIFS($D$6:$D15,D15)=1,1,0)</f>
        <v>0</v>
      </c>
      <c r="V15" s="33" t="str">
        <f>IF($U15=0,"",VLOOKUP($D15,TaskTimings[[Task]:[PRJLST]],10,0))</f>
        <v/>
      </c>
      <c r="W15" s="14" t="str">
        <f>IF($V15="","",COUNTIF($V$7:$V15,$V15))</f>
        <v/>
      </c>
      <c r="X15" s="14" t="str">
        <f>IF($W15=1,SUM($X$6:$X14)+1,"")</f>
        <v/>
      </c>
      <c r="Y15" s="37" t="str">
        <f t="shared" si="1"/>
        <v/>
      </c>
      <c r="Z15" s="33" t="str">
        <f>IF($Y15="","",$Y15&amp;"/"&amp;COUNTIF($Y$7:$Y15,$Y15))</f>
        <v/>
      </c>
      <c r="AA15" s="33" t="str">
        <f>IF($Z15="","",VLOOKUP($D15,TaskTimings[[Task]:[TSKLST]],11,0))</f>
        <v/>
      </c>
      <c r="AB15" s="33">
        <f t="shared" si="2"/>
        <v>0</v>
      </c>
    </row>
    <row r="16" spans="1:28">
      <c r="A16" s="14">
        <v>3</v>
      </c>
      <c r="B16" s="57"/>
      <c r="C16" s="60"/>
      <c r="D16" s="89" t="str">
        <f>IFERROR(VLOOKUP($A$1&amp;"/"&amp;$B$15&amp;"/"&amp;$A15,TaskTimings[[EmployeeDateSeqCode]:[Task]],2,0),"")</f>
        <v/>
      </c>
      <c r="E16" s="89"/>
      <c r="F16" s="89"/>
      <c r="G16" s="89"/>
      <c r="H16" s="22">
        <f>IFERROR(VLOOKUP($A$1&amp;"/"&amp;$B$15&amp;"/"&amp;$A15,TaskTimings[[EmployeeDateSeqCode]:[Total Minutes]],7,0),0)</f>
        <v>0</v>
      </c>
      <c r="I16" s="78"/>
      <c r="J16" s="28">
        <v>1</v>
      </c>
      <c r="K16" s="81" t="str">
        <f>VLOOKUP(1,$K$7:$M$11,2,0)</f>
        <v>TKT</v>
      </c>
      <c r="L16" s="61"/>
      <c r="M16" s="80" t="str">
        <f>IF($K$16="","",IFERROR(VLOOKUP($K$16&amp;"/"&amp;$J16,$Z$7:$AA$30,2,0),""))</f>
        <v>Discussion for ticketing modification</v>
      </c>
      <c r="N16" s="80"/>
      <c r="O16" s="80"/>
      <c r="P16" s="80"/>
      <c r="Q16" s="22">
        <f>IF($M16="","",SUMIFS($H$7:$H$30,$D$7:$D$30,$K$16&amp;"/"&amp;$M16))</f>
        <v>90</v>
      </c>
      <c r="R16" s="78">
        <f>SUM(Q16:Q19)</f>
        <v>90</v>
      </c>
      <c r="S16" s="35"/>
      <c r="T16" s="36"/>
      <c r="U16" s="14">
        <f>IF(COUNTIFS($D$6:$D16,D16)=1,1,0)</f>
        <v>0</v>
      </c>
      <c r="V16" s="33" t="str">
        <f>IF($U16=0,"",VLOOKUP($D16,TaskTimings[[Task]:[PRJLST]],10,0))</f>
        <v/>
      </c>
      <c r="W16" s="14" t="str">
        <f>IF($V16="","",COUNTIF($V$7:$V16,$V16))</f>
        <v/>
      </c>
      <c r="X16" s="14" t="str">
        <f>IF($W16=1,SUM($X$6:$X15)+1,"")</f>
        <v/>
      </c>
      <c r="Y16" s="37" t="str">
        <f t="shared" si="1"/>
        <v/>
      </c>
      <c r="Z16" s="33" t="str">
        <f>IF($Y16="","",$Y16&amp;"/"&amp;COUNTIF($Y$7:$Y16,$Y16))</f>
        <v/>
      </c>
      <c r="AA16" s="33" t="str">
        <f>IF($Z16="","",VLOOKUP($D16,TaskTimings[[Task]:[TSKLST]],11,0))</f>
        <v/>
      </c>
      <c r="AB16" s="33">
        <f t="shared" si="2"/>
        <v>0</v>
      </c>
    </row>
    <row r="17" spans="1:28">
      <c r="A17" s="14">
        <v>4</v>
      </c>
      <c r="B17" s="57"/>
      <c r="C17" s="60"/>
      <c r="D17" s="89" t="str">
        <f>IFERROR(VLOOKUP($A$1&amp;"/"&amp;$B$15&amp;"/"&amp;$A16,TaskTimings[[EmployeeDateSeqCode]:[Task]],2,0),"")</f>
        <v/>
      </c>
      <c r="E17" s="89"/>
      <c r="F17" s="89"/>
      <c r="G17" s="89"/>
      <c r="H17" s="22">
        <f>IFERROR(VLOOKUP($A$1&amp;"/"&amp;$B$15&amp;"/"&amp;$A16,TaskTimings[[EmployeeDateSeqCode]:[Total Minutes]],7,0),0)</f>
        <v>0</v>
      </c>
      <c r="I17" s="78"/>
      <c r="J17" s="28">
        <v>2</v>
      </c>
      <c r="K17" s="81"/>
      <c r="L17" s="61"/>
      <c r="M17" s="80" t="str">
        <f>IF($K$16="","",IFERROR(VLOOKUP($K$16&amp;"/"&amp;$J17,$Z$7:$AA$30,2,0),""))</f>
        <v/>
      </c>
      <c r="N17" s="80"/>
      <c r="O17" s="80"/>
      <c r="P17" s="80"/>
      <c r="Q17" s="22" t="str">
        <f>IF($M17="","",SUMIFS($H$7:$H$30,$D$7:$D$30,$K$16&amp;"/"&amp;$M17))</f>
        <v/>
      </c>
      <c r="R17" s="78"/>
      <c r="S17" s="35"/>
      <c r="T17" s="36"/>
      <c r="U17" s="14">
        <f>IF(COUNTIFS($D$6:$D17,D17)=1,1,0)</f>
        <v>0</v>
      </c>
      <c r="V17" s="33" t="str">
        <f>IF($U17=0,"",VLOOKUP($D17,TaskTimings[[Task]:[PRJLST]],10,0))</f>
        <v/>
      </c>
      <c r="W17" s="14" t="str">
        <f>IF($V17="","",COUNTIF($V$7:$V17,$V17))</f>
        <v/>
      </c>
      <c r="X17" s="14" t="str">
        <f>IF($W17=1,SUM($X$6:$X16)+1,"")</f>
        <v/>
      </c>
      <c r="Y17" s="37" t="str">
        <f t="shared" si="1"/>
        <v/>
      </c>
      <c r="Z17" s="33" t="str">
        <f>IF($Y17="","",$Y17&amp;"/"&amp;COUNTIF($Y$7:$Y17,$Y17))</f>
        <v/>
      </c>
      <c r="AA17" s="33" t="str">
        <f>IF($Z17="","",VLOOKUP($D17,TaskTimings[[Task]:[TSKLST]],11,0))</f>
        <v/>
      </c>
      <c r="AB17" s="33">
        <f t="shared" si="2"/>
        <v>0</v>
      </c>
    </row>
    <row r="18" spans="1:28">
      <c r="A18" s="14">
        <v>1</v>
      </c>
      <c r="B18" s="57"/>
      <c r="C18" s="60"/>
      <c r="D18" s="89" t="str">
        <f>IFERROR(VLOOKUP($A$1&amp;"/"&amp;$B$15&amp;"/"&amp;$A17,TaskTimings[[EmployeeDateSeqCode]:[Task]],2,0),"")</f>
        <v/>
      </c>
      <c r="E18" s="89"/>
      <c r="F18" s="89"/>
      <c r="G18" s="89"/>
      <c r="H18" s="22">
        <f>IFERROR(VLOOKUP($A$1&amp;"/"&amp;$B$15&amp;"/"&amp;$A17,TaskTimings[[EmployeeDateSeqCode]:[Total Minutes]],7,0),0)</f>
        <v>0</v>
      </c>
      <c r="I18" s="78"/>
      <c r="J18" s="28">
        <v>3</v>
      </c>
      <c r="K18" s="81"/>
      <c r="L18" s="61"/>
      <c r="M18" s="80" t="str">
        <f>IF($K$16="","",IFERROR(VLOOKUP($K$16&amp;"/"&amp;$J18,$Z$7:$AA$30,2,0),""))</f>
        <v/>
      </c>
      <c r="N18" s="80"/>
      <c r="O18" s="80"/>
      <c r="P18" s="80"/>
      <c r="Q18" s="22" t="str">
        <f>IF($M18="","",SUMIFS($H$7:$H$30,$D$7:$D$30,$K$16&amp;"/"&amp;$M18))</f>
        <v/>
      </c>
      <c r="R18" s="78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>
      <c r="A19" s="14">
        <v>2</v>
      </c>
      <c r="B19" s="90">
        <f>B15+1</f>
        <v>43433</v>
      </c>
      <c r="C19" s="60"/>
      <c r="D19" s="89" t="str">
        <f>IFERROR(VLOOKUP($A$1&amp;"/"&amp;$B$19&amp;"/"&amp;$A18,TaskTimings[[EmployeeDateSeqCode]:[Task]],2,0),"")</f>
        <v/>
      </c>
      <c r="E19" s="89"/>
      <c r="F19" s="89"/>
      <c r="G19" s="89"/>
      <c r="H19" s="22">
        <f>IFERROR(VLOOKUP($A$1&amp;"/"&amp;$B$19&amp;"/"&amp;$A18,TaskTimings[[EmployeeDateSeqCode]:[Total Minutes]],7,0),0)</f>
        <v>0</v>
      </c>
      <c r="I19" s="78">
        <f t="shared" ref="I19" si="5">SUM(H19:H22)</f>
        <v>0</v>
      </c>
      <c r="J19" s="28">
        <v>4</v>
      </c>
      <c r="K19" s="81"/>
      <c r="L19" s="61"/>
      <c r="M19" s="80" t="str">
        <f>IF($K$16="","",IFERROR(VLOOKUP($K$16&amp;"/"&amp;$J19,$Z$7:$AA$30,2,0),""))</f>
        <v/>
      </c>
      <c r="N19" s="80"/>
      <c r="O19" s="80"/>
      <c r="P19" s="80"/>
      <c r="Q19" s="22" t="str">
        <f>IF($M19="","",SUMIFS($H$7:$H$30,$D$7:$D$30,$K$16&amp;"/"&amp;$M19))</f>
        <v/>
      </c>
      <c r="R19" s="78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>
      <c r="A20" s="14">
        <v>3</v>
      </c>
      <c r="B20" s="57"/>
      <c r="C20" s="60"/>
      <c r="D20" s="89" t="str">
        <f>IFERROR(VLOOKUP($A$1&amp;"/"&amp;$B$19&amp;"/"&amp;$A19,TaskTimings[[EmployeeDateSeqCode]:[Task]],2,0),"")</f>
        <v/>
      </c>
      <c r="E20" s="89"/>
      <c r="F20" s="89"/>
      <c r="G20" s="89"/>
      <c r="H20" s="22">
        <f>IFERROR(VLOOKUP($A$1&amp;"/"&amp;$B$19&amp;"/"&amp;$A19,TaskTimings[[EmployeeDateSeqCode]:[Total Minutes]],7,0),0)</f>
        <v>0</v>
      </c>
      <c r="I20" s="78"/>
      <c r="J20" s="28">
        <v>1</v>
      </c>
      <c r="K20" s="81" t="str">
        <f>VLOOKUP(2,$K$7:$M$11,2,0)</f>
        <v>SDS</v>
      </c>
      <c r="L20" s="61"/>
      <c r="M20" s="80" t="str">
        <f>IF($K$20="","",IFERROR(VLOOKUP($K$20&amp;"/"&amp;$J20,$Z$7:$AA$30,2,0),""))</f>
        <v>Decryption</v>
      </c>
      <c r="N20" s="80"/>
      <c r="O20" s="80"/>
      <c r="P20" s="80"/>
      <c r="Q20" s="22">
        <f>IF($M20="","",SUMIFS($H$7:$H$30,$D$7:$D$30,$K$20&amp;"/"&amp;$M20))</f>
        <v>30.000000000000053</v>
      </c>
      <c r="R20" s="78">
        <f t="shared" ref="R20" si="6">SUM(Q20:Q23)</f>
        <v>240.00000000000003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>
      <c r="A21" s="14">
        <v>4</v>
      </c>
      <c r="B21" s="57"/>
      <c r="C21" s="60"/>
      <c r="D21" s="89" t="str">
        <f>IFERROR(VLOOKUP($A$1&amp;"/"&amp;$B$19&amp;"/"&amp;$A20,TaskTimings[[EmployeeDateSeqCode]:[Task]],2,0),"")</f>
        <v/>
      </c>
      <c r="E21" s="89"/>
      <c r="F21" s="89"/>
      <c r="G21" s="89"/>
      <c r="H21" s="22">
        <f>IFERROR(VLOOKUP($A$1&amp;"/"&amp;$B$19&amp;"/"&amp;$A20,TaskTimings[[EmployeeDateSeqCode]:[Total Minutes]],7,0),0)</f>
        <v>0</v>
      </c>
      <c r="I21" s="78"/>
      <c r="J21" s="28">
        <v>2</v>
      </c>
      <c r="K21" s="81"/>
      <c r="L21" s="61"/>
      <c r="M21" s="80" t="str">
        <f>IF($K$20="","",IFERROR(VLOOKUP($K$20&amp;"/"&amp;$J21,$Z$7:$AA$30,2,0),""))</f>
        <v>Solving the issue of repeating icon in tray</v>
      </c>
      <c r="N21" s="80"/>
      <c r="O21" s="80"/>
      <c r="P21" s="80"/>
      <c r="Q21" s="22">
        <f>IF($M21="","",SUMIFS($H$7:$H$30,$D$7:$D$30,$K$20&amp;"/"&amp;$M21))</f>
        <v>209.99999999999997</v>
      </c>
      <c r="R21" s="78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>
      <c r="A22" s="14">
        <v>1</v>
      </c>
      <c r="B22" s="57"/>
      <c r="C22" s="60"/>
      <c r="D22" s="89" t="str">
        <f>IFERROR(VLOOKUP($A$1&amp;"/"&amp;$B$19&amp;"/"&amp;$A21,TaskTimings[[EmployeeDateSeqCode]:[Task]],2,0),"")</f>
        <v/>
      </c>
      <c r="E22" s="89"/>
      <c r="F22" s="89"/>
      <c r="G22" s="89"/>
      <c r="H22" s="22">
        <f>IFERROR(VLOOKUP($A$1&amp;"/"&amp;$B$19&amp;"/"&amp;$A21,TaskTimings[[EmployeeDateSeqCode]:[Total Minutes]],7,0),0)</f>
        <v>0</v>
      </c>
      <c r="I22" s="78"/>
      <c r="J22" s="28">
        <v>3</v>
      </c>
      <c r="K22" s="81"/>
      <c r="L22" s="61"/>
      <c r="M22" s="80" t="str">
        <f>IF($K$20="","",IFERROR(VLOOKUP($K$20&amp;"/"&amp;$J22,$Z$7:$AA$30,2,0),""))</f>
        <v/>
      </c>
      <c r="N22" s="80"/>
      <c r="O22" s="80"/>
      <c r="P22" s="80"/>
      <c r="Q22" s="22" t="str">
        <f>IF($M22="","",SUMIFS($H$7:$H$30,$D$7:$D$30,$K$20&amp;"/"&amp;$M22))</f>
        <v/>
      </c>
      <c r="R22" s="78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>
      <c r="A23" s="14">
        <v>2</v>
      </c>
      <c r="B23" s="90">
        <f>B19+1</f>
        <v>43434</v>
      </c>
      <c r="C23" s="60"/>
      <c r="D23" s="89" t="str">
        <f>IFERROR(VLOOKUP($A$1&amp;"/"&amp;$B$23&amp;"/"&amp;$A22,TaskTimings[[EmployeeDateSeqCode]:[Task]],2,0),"")</f>
        <v/>
      </c>
      <c r="E23" s="89"/>
      <c r="F23" s="89"/>
      <c r="G23" s="89"/>
      <c r="H23" s="22">
        <f>IFERROR(VLOOKUP($A$1&amp;"/"&amp;$B$23&amp;"/"&amp;$A22,TaskTimings[[EmployeeDateSeqCode]:[Total Minutes]],7,0),0)</f>
        <v>0</v>
      </c>
      <c r="I23" s="78">
        <f t="shared" ref="I23" si="7">SUM(H23:H26)</f>
        <v>0</v>
      </c>
      <c r="J23" s="28">
        <v>4</v>
      </c>
      <c r="K23" s="81"/>
      <c r="L23" s="61"/>
      <c r="M23" s="80" t="str">
        <f>IF($K$20="","",IFERROR(VLOOKUP($K$20&amp;"/"&amp;$J23,$Z$7:$AA$30,2,0),""))</f>
        <v/>
      </c>
      <c r="N23" s="80"/>
      <c r="O23" s="80"/>
      <c r="P23" s="80"/>
      <c r="Q23" s="22" t="str">
        <f>IF($M23="","",SUMIFS($H$7:$H$30,$D$7:$D$30,$K$20&amp;"/"&amp;$M23))</f>
        <v/>
      </c>
      <c r="R23" s="78"/>
      <c r="S23" s="25"/>
      <c r="T23" s="25"/>
      <c r="U23" s="14">
        <f>IF(COUNTIFS($D$6:$D23,D23)=1,1,0)</f>
        <v>0</v>
      </c>
      <c r="V23" s="33" t="str">
        <f>IF($U23=0,"",VLOOKUP($D23,TaskTimings[[Task]:[PRJLST]],10,0))</f>
        <v/>
      </c>
      <c r="W23" s="14" t="str">
        <f>IF($V23="","",COUNTIF($V$7:$V23,$V23))</f>
        <v/>
      </c>
      <c r="X23" s="14" t="str">
        <f>IF($W23=1,SUM($X$6:$X22)+1,"")</f>
        <v/>
      </c>
      <c r="Y23" s="37" t="str">
        <f t="shared" si="1"/>
        <v/>
      </c>
      <c r="Z23" s="33" t="str">
        <f>IF($Y23="","",$Y23&amp;"/"&amp;COUNTIF($Y$7:$Y23,$Y23))</f>
        <v/>
      </c>
      <c r="AA23" s="33" t="str">
        <f>IF($Z23="","",VLOOKUP($D23,TaskTimings[[Task]:[TSKLST]],11,0))</f>
        <v/>
      </c>
      <c r="AB23" s="33">
        <f t="shared" si="2"/>
        <v>0</v>
      </c>
    </row>
    <row r="24" spans="1:28">
      <c r="A24" s="14">
        <v>3</v>
      </c>
      <c r="B24" s="57"/>
      <c r="C24" s="60"/>
      <c r="D24" s="89" t="str">
        <f>IFERROR(VLOOKUP($A$1&amp;"/"&amp;$B$23&amp;"/"&amp;$A23,TaskTimings[[EmployeeDateSeqCode]:[Task]],2,0),"")</f>
        <v/>
      </c>
      <c r="E24" s="89"/>
      <c r="F24" s="89"/>
      <c r="G24" s="89"/>
      <c r="H24" s="22">
        <f>IFERROR(VLOOKUP($A$1&amp;"/"&amp;$B$23&amp;"/"&amp;$A23,TaskTimings[[EmployeeDateSeqCode]:[Total Minutes]],7,0),0)</f>
        <v>0</v>
      </c>
      <c r="I24" s="78"/>
      <c r="J24" s="28">
        <v>1</v>
      </c>
      <c r="K24" s="81" t="str">
        <f>VLOOKUP(3,$K$7:$M$11,2,0)</f>
        <v/>
      </c>
      <c r="L24" s="61"/>
      <c r="M24" s="80" t="str">
        <f>IF($K$24="","",IFERROR(VLOOKUP($K$24&amp;"/"&amp;$J24,$Z$7:$AA$30,2,0),""))</f>
        <v/>
      </c>
      <c r="N24" s="80"/>
      <c r="O24" s="80"/>
      <c r="P24" s="80"/>
      <c r="Q24" s="22" t="str">
        <f>IF($M24="","",SUMIFS($H$7:$H$30,$D$7:$D$30,$K$24&amp;"/"&amp;$M24))</f>
        <v/>
      </c>
      <c r="R24" s="78">
        <f t="shared" ref="R24" si="8">SUM(Q24:Q27)</f>
        <v>0</v>
      </c>
      <c r="S24" s="25"/>
      <c r="T24" s="25"/>
      <c r="U24" s="14">
        <f>IF(COUNTIFS($D$6:$D24,D24)=1,1,0)</f>
        <v>0</v>
      </c>
      <c r="V24" s="33" t="str">
        <f>IF($U24=0,"",VLOOKUP($D24,TaskTimings[[Task]:[PRJLST]],10,0))</f>
        <v/>
      </c>
      <c r="W24" s="14" t="str">
        <f>IF($V24="","",COUNTIF($V$7:$V24,$V24))</f>
        <v/>
      </c>
      <c r="X24" s="14" t="str">
        <f>IF($W24=1,SUM($X$6:$X23)+1,"")</f>
        <v/>
      </c>
      <c r="Y24" s="37" t="str">
        <f t="shared" si="1"/>
        <v/>
      </c>
      <c r="Z24" s="33" t="str">
        <f>IF($Y24="","",$Y24&amp;"/"&amp;COUNTIF($Y$7:$Y24,$Y24))</f>
        <v/>
      </c>
      <c r="AA24" s="33" t="str">
        <f>IF($Z24="","",VLOOKUP($D24,TaskTimings[[Task]:[TSKLST]],11,0))</f>
        <v/>
      </c>
      <c r="AB24" s="33">
        <f t="shared" si="2"/>
        <v>0</v>
      </c>
    </row>
    <row r="25" spans="1:28">
      <c r="A25" s="14">
        <v>4</v>
      </c>
      <c r="B25" s="57"/>
      <c r="C25" s="60"/>
      <c r="D25" s="89" t="str">
        <f>IFERROR(VLOOKUP($A$1&amp;"/"&amp;$B$23&amp;"/"&amp;$A24,TaskTimings[[EmployeeDateSeqCode]:[Task]],2,0),"")</f>
        <v/>
      </c>
      <c r="E25" s="89"/>
      <c r="F25" s="89"/>
      <c r="G25" s="89"/>
      <c r="H25" s="22">
        <f>IFERROR(VLOOKUP($A$1&amp;"/"&amp;$B$23&amp;"/"&amp;$A24,TaskTimings[[EmployeeDateSeqCode]:[Total Minutes]],7,0),0)</f>
        <v>0</v>
      </c>
      <c r="I25" s="78"/>
      <c r="J25" s="28">
        <v>2</v>
      </c>
      <c r="K25" s="81"/>
      <c r="L25" s="61"/>
      <c r="M25" s="80" t="str">
        <f>IF($K$24="","",IFERROR(VLOOKUP($K$24&amp;"/"&amp;$J25,$Z$7:$AA$30,2,0),""))</f>
        <v/>
      </c>
      <c r="N25" s="80"/>
      <c r="O25" s="80"/>
      <c r="P25" s="80"/>
      <c r="Q25" s="22" t="str">
        <f>IF($M25="","",SUMIFS($H$7:$H$30,$D$7:$D$30,$K$24&amp;"/"&amp;$M25))</f>
        <v/>
      </c>
      <c r="R25" s="78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>
      <c r="A26" s="14">
        <v>1</v>
      </c>
      <c r="B26" s="57"/>
      <c r="C26" s="60"/>
      <c r="D26" s="89" t="str">
        <f>IFERROR(VLOOKUP($A$1&amp;"/"&amp;$B$23&amp;"/"&amp;$A25,TaskTimings[[EmployeeDateSeqCode]:[Task]],2,0),"")</f>
        <v/>
      </c>
      <c r="E26" s="89"/>
      <c r="F26" s="89"/>
      <c r="G26" s="89"/>
      <c r="H26" s="22">
        <f>IFERROR(VLOOKUP($A$1&amp;"/"&amp;$B$23&amp;"/"&amp;$A25,TaskTimings[[EmployeeDateSeqCode]:[Total Minutes]],7,0),0)</f>
        <v>0</v>
      </c>
      <c r="I26" s="78"/>
      <c r="J26" s="28">
        <v>3</v>
      </c>
      <c r="K26" s="81"/>
      <c r="L26" s="61"/>
      <c r="M26" s="80" t="str">
        <f>IF($K$24="","",IFERROR(VLOOKUP($K$24&amp;"/"&amp;$J26,$Z$7:$AA$30,2,0),""))</f>
        <v/>
      </c>
      <c r="N26" s="80"/>
      <c r="O26" s="80"/>
      <c r="P26" s="80"/>
      <c r="Q26" s="22" t="str">
        <f>IF($M26="","",SUMIFS($H$7:$H$30,$D$7:$D$30,$K$24&amp;"/"&amp;$M26))</f>
        <v/>
      </c>
      <c r="R26" s="78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>
      <c r="A27" s="14">
        <v>2</v>
      </c>
      <c r="B27" s="90">
        <f>B23+1</f>
        <v>43435</v>
      </c>
      <c r="C27" s="60"/>
      <c r="D27" s="89" t="str">
        <f>IFERROR(VLOOKUP($A$1&amp;"/"&amp;$B$27&amp;"/"&amp;$A26,TaskTimings[[EmployeeDateSeqCode]:[Task]],2,0),"")</f>
        <v/>
      </c>
      <c r="E27" s="89"/>
      <c r="F27" s="89"/>
      <c r="G27" s="89"/>
      <c r="H27" s="22">
        <f>IFERROR(VLOOKUP($A$1&amp;"/"&amp;$B$27&amp;"/"&amp;$A26,TaskTimings[[EmployeeDateSeqCode]:[Total Minutes]],7,0),0)</f>
        <v>0</v>
      </c>
      <c r="I27" s="78">
        <f t="shared" ref="I27" si="9">SUM(H27:H30)</f>
        <v>0</v>
      </c>
      <c r="J27" s="28">
        <v>4</v>
      </c>
      <c r="K27" s="81"/>
      <c r="L27" s="61"/>
      <c r="M27" s="80" t="str">
        <f>IF($K$24="","",IFERROR(VLOOKUP($K$24&amp;"/"&amp;$J27,$Z$7:$AA$30,2,0),""))</f>
        <v/>
      </c>
      <c r="N27" s="80"/>
      <c r="O27" s="80"/>
      <c r="P27" s="80"/>
      <c r="Q27" s="22" t="str">
        <f>IF($M27="","",SUMIFS($H$7:$H$30,$D$7:$D$30,$K$24&amp;"/"&amp;$M27))</f>
        <v/>
      </c>
      <c r="R27" s="78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>
      <c r="A28" s="14">
        <v>3</v>
      </c>
      <c r="B28" s="57"/>
      <c r="C28" s="60"/>
      <c r="D28" s="89" t="str">
        <f>IFERROR(VLOOKUP($A$1&amp;"/"&amp;$B$27&amp;"/"&amp;$A27,TaskTimings[[EmployeeDateSeqCode]:[Task]],2,0),"")</f>
        <v/>
      </c>
      <c r="E28" s="89"/>
      <c r="F28" s="89"/>
      <c r="G28" s="89"/>
      <c r="H28" s="22">
        <f>IFERROR(VLOOKUP($A$1&amp;"/"&amp;$B$27&amp;"/"&amp;$A27,TaskTimings[[EmployeeDateSeqCode]:[Total Minutes]],7,0),0)</f>
        <v>0</v>
      </c>
      <c r="I28" s="78"/>
      <c r="J28" s="28">
        <v>1</v>
      </c>
      <c r="K28" s="81" t="str">
        <f>VLOOKUP(4,$K$7:$M$11,2,0)</f>
        <v/>
      </c>
      <c r="L28" s="61"/>
      <c r="M28" s="80" t="str">
        <f>IF($K$28="","",IFERROR(VLOOKUP($K$28&amp;"/"&amp;$J28,$Z$7:$AA$30,2,0),""))</f>
        <v/>
      </c>
      <c r="N28" s="80"/>
      <c r="O28" s="80"/>
      <c r="P28" s="80"/>
      <c r="Q28" s="22" t="str">
        <f>IF($M28="","",SUMIFS($H$7:$H$30,$D$7:$D$30,$K$28&amp;"/"&amp;$M28))</f>
        <v/>
      </c>
      <c r="R28" s="78">
        <f t="shared" ref="R28" si="10">SUM(Q28:Q31)</f>
        <v>0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>
      <c r="A29" s="14">
        <v>4</v>
      </c>
      <c r="B29" s="57"/>
      <c r="C29" s="60"/>
      <c r="D29" s="89" t="str">
        <f>IFERROR(VLOOKUP($A$1&amp;"/"&amp;$B$27&amp;"/"&amp;$A28,TaskTimings[[EmployeeDateSeqCode]:[Task]],2,0),"")</f>
        <v/>
      </c>
      <c r="E29" s="89"/>
      <c r="F29" s="89"/>
      <c r="G29" s="89"/>
      <c r="H29" s="22">
        <f>IFERROR(VLOOKUP($A$1&amp;"/"&amp;$B$27&amp;"/"&amp;$A28,TaskTimings[[EmployeeDateSeqCode]:[Total Minutes]],7,0),0)</f>
        <v>0</v>
      </c>
      <c r="I29" s="78"/>
      <c r="J29" s="28">
        <v>2</v>
      </c>
      <c r="K29" s="81"/>
      <c r="L29" s="61"/>
      <c r="M29" s="80" t="str">
        <f>IF($K$28="","",IFERROR(VLOOKUP($K$28&amp;"/"&amp;$J29,$Z$7:$AA$30,2,0),""))</f>
        <v/>
      </c>
      <c r="N29" s="80"/>
      <c r="O29" s="80"/>
      <c r="P29" s="80"/>
      <c r="Q29" s="22" t="str">
        <f>IF($M29="","",SUMIFS($H$7:$H$30,$D$7:$D$30,$K$28&amp;"/"&amp;$M29))</f>
        <v/>
      </c>
      <c r="R29" s="78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>
      <c r="B30" s="91"/>
      <c r="C30" s="92"/>
      <c r="D30" s="87" t="str">
        <f>IFERROR(VLOOKUP($A$1&amp;"/"&amp;$B$27&amp;"/"&amp;$A29,TaskTimings[[EmployeeDateSeqCode]:[Task]],2,0),"")</f>
        <v/>
      </c>
      <c r="E30" s="87"/>
      <c r="F30" s="87"/>
      <c r="G30" s="87"/>
      <c r="H30" s="24">
        <f>IFERROR(VLOOKUP($A$1&amp;"/"&amp;$B$27&amp;"/"&amp;$A29,TaskTimings[[EmployeeDateSeqCode]:[Total Minutes]],7,0),0)</f>
        <v>0</v>
      </c>
      <c r="I30" s="79"/>
      <c r="J30" s="28">
        <v>3</v>
      </c>
      <c r="K30" s="81"/>
      <c r="L30" s="61"/>
      <c r="M30" s="80" t="str">
        <f>IF($K$28="","",IFERROR(VLOOKUP($K$28&amp;"/"&amp;$J30,$Z$7:$AA$30,2,0),""))</f>
        <v/>
      </c>
      <c r="N30" s="80"/>
      <c r="O30" s="80"/>
      <c r="P30" s="80"/>
      <c r="Q30" s="22" t="str">
        <f>IF($M30="","",SUMIFS($H$7:$H$30,$D$7:$D$30,$K$28&amp;"/"&amp;$M30))</f>
        <v/>
      </c>
      <c r="R30" s="78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>
      <c r="J31" s="28">
        <v>4</v>
      </c>
      <c r="K31" s="81"/>
      <c r="L31" s="61"/>
      <c r="M31" s="80" t="str">
        <f>IF($K$28="","",IFERROR(VLOOKUP($K$28&amp;"/"&amp;$J31,$Z$7:$AA$30,2,0),""))</f>
        <v/>
      </c>
      <c r="N31" s="80"/>
      <c r="O31" s="80"/>
      <c r="P31" s="80"/>
      <c r="Q31" s="22" t="str">
        <f>IF($M31="","",SUMIFS($H$7:$H$30,$D$7:$D$30,$K$28&amp;"/"&amp;$M31))</f>
        <v/>
      </c>
      <c r="R31" s="78"/>
    </row>
    <row r="32" spans="1:28">
      <c r="J32" s="28">
        <v>1</v>
      </c>
      <c r="K32" s="81" t="str">
        <f>VLOOKUP(5,$K$7:$M$11,2,0)</f>
        <v/>
      </c>
      <c r="L32" s="61"/>
      <c r="M32" s="80" t="str">
        <f>IF($K$32="","",IFERROR(VLOOKUP($K$32&amp;"/"&amp;$J32,$Z$7:$AA$30,2,0),""))</f>
        <v/>
      </c>
      <c r="N32" s="80"/>
      <c r="O32" s="80"/>
      <c r="P32" s="80"/>
      <c r="Q32" s="22" t="str">
        <f>IF($M32="","",SUMIFS($H$7:$H$30,$D$7:$D$30,$K$32&amp;"/"&amp;$M32))</f>
        <v/>
      </c>
      <c r="R32" s="78">
        <f t="shared" ref="R32" si="11">SUM(Q32:Q35)</f>
        <v>0</v>
      </c>
    </row>
    <row r="33" spans="10:18">
      <c r="J33" s="28">
        <v>2</v>
      </c>
      <c r="K33" s="81"/>
      <c r="L33" s="61"/>
      <c r="M33" s="80" t="str">
        <f>IF($K$32="","",IFERROR(VLOOKUP($K$32&amp;"/"&amp;$J33,$Z$7:$AA$30,2,0),""))</f>
        <v/>
      </c>
      <c r="N33" s="80"/>
      <c r="O33" s="80"/>
      <c r="P33" s="80"/>
      <c r="Q33" s="22" t="str">
        <f>IF($M33="","",SUMIFS($H$7:$H$30,$D$7:$D$30,$K$32&amp;"/"&amp;$M33))</f>
        <v/>
      </c>
      <c r="R33" s="78"/>
    </row>
    <row r="34" spans="10:18">
      <c r="J34" s="28">
        <v>3</v>
      </c>
      <c r="K34" s="81"/>
      <c r="L34" s="61"/>
      <c r="M34" s="80" t="str">
        <f>IF($K$32="","",IFERROR(VLOOKUP($K$32&amp;"/"&amp;$J34,$Z$7:$AA$30,2,0),""))</f>
        <v/>
      </c>
      <c r="N34" s="80"/>
      <c r="O34" s="80"/>
      <c r="P34" s="80"/>
      <c r="Q34" s="22" t="str">
        <f>IF($M34="","",SUMIFS($H$7:$H$30,$D$7:$D$30,$K$32&amp;"/"&amp;$M34))</f>
        <v/>
      </c>
      <c r="R34" s="78"/>
    </row>
    <row r="35" spans="10:18" ht="15.75" thickBot="1">
      <c r="J35" s="28">
        <v>4</v>
      </c>
      <c r="K35" s="82"/>
      <c r="L35" s="67"/>
      <c r="M35" s="83" t="str">
        <f>IF($K$32="","",IFERROR(VLOOKUP($K$32&amp;"/"&amp;$J35,$Z$7:$AA$30,2,0),""))</f>
        <v/>
      </c>
      <c r="N35" s="83"/>
      <c r="O35" s="83"/>
      <c r="P35" s="83"/>
      <c r="Q35" s="24" t="str">
        <f>IF($M35="","",SUMIFS($H$7:$H$30,$D$7:$D$30,$K$32&amp;"/"&amp;$M35))</f>
        <v/>
      </c>
      <c r="R35" s="79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cp:lastPrinted>2018-11-23T17:04:38Z</cp:lastPrinted>
  <dcterms:created xsi:type="dcterms:W3CDTF">2018-11-23T13:42:04Z</dcterms:created>
  <dcterms:modified xsi:type="dcterms:W3CDTF">2018-11-28T07:31:17Z</dcterms:modified>
</cp:coreProperties>
</file>