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4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71" i="24"/>
  <c r="C71"/>
  <c r="A70"/>
  <c r="C70"/>
  <c r="A67"/>
  <c r="A68"/>
  <c r="A69"/>
  <c r="C67"/>
  <c r="C68"/>
  <c r="C69"/>
  <c r="A66"/>
  <c r="C66"/>
  <c r="A65"/>
  <c r="C65"/>
  <c r="A64"/>
  <c r="C64"/>
  <c r="A63"/>
  <c r="C63"/>
  <c r="A62"/>
  <c r="C62"/>
  <c r="A61"/>
  <c r="C61"/>
  <c r="A60"/>
  <c r="C60"/>
  <c r="A59"/>
  <c r="C59"/>
  <c r="A58"/>
  <c r="C58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C38" i="21"/>
  <c r="D38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K31" s="1"/>
  <c r="D32"/>
  <c r="D33"/>
  <c r="D34"/>
  <c r="D35"/>
  <c r="D36"/>
  <c r="D37"/>
  <c r="D38"/>
  <c r="D39"/>
  <c r="K39" s="1"/>
  <c r="D40"/>
  <c r="D41"/>
  <c r="D42"/>
  <c r="D43"/>
  <c r="D44"/>
  <c r="D45"/>
  <c r="D46"/>
  <c r="D47"/>
  <c r="K47" s="1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K27" s="1"/>
  <c r="H28"/>
  <c r="H29"/>
  <c r="H30"/>
  <c r="H31"/>
  <c r="H32"/>
  <c r="H33"/>
  <c r="H34"/>
  <c r="H35"/>
  <c r="K35" s="1"/>
  <c r="H36"/>
  <c r="H37"/>
  <c r="H38"/>
  <c r="H39"/>
  <c r="H40"/>
  <c r="H41"/>
  <c r="H42"/>
  <c r="H43"/>
  <c r="K43" s="1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4" l="1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F2" i="1"/>
  <c r="D46"/>
  <c r="C39" i="21" s="1"/>
  <c r="D47" i="1"/>
  <c r="D48"/>
  <c r="D49"/>
  <c r="C42" i="21" s="1"/>
  <c r="D50" i="1"/>
  <c r="C43" i="21" s="1"/>
  <c r="D51" i="1"/>
  <c r="D52"/>
  <c r="D53"/>
  <c r="D54"/>
  <c r="C47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5" i="21"/>
  <c r="C46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0" i="21"/>
  <c r="C41"/>
  <c r="C44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3" i="21" s="1"/>
  <c r="C49" i="1"/>
  <c r="E49" s="1"/>
  <c r="C48"/>
  <c r="E48" s="1"/>
  <c r="D41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H6" l="1"/>
  <c r="I54"/>
  <c r="D47" i="21"/>
  <c r="J54" i="1"/>
  <c r="I52"/>
  <c r="D45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2" i="21"/>
  <c r="I53" i="1"/>
  <c r="D46" i="21"/>
  <c r="H31" i="1"/>
  <c r="F31"/>
  <c r="H40"/>
  <c r="F40"/>
  <c r="H32"/>
  <c r="F32"/>
  <c r="I47"/>
  <c r="D40" i="21"/>
  <c r="H17" i="1"/>
  <c r="F17"/>
  <c r="H7"/>
  <c r="F7"/>
  <c r="H26"/>
  <c r="F26"/>
  <c r="H18"/>
  <c r="F18"/>
  <c r="I46"/>
  <c r="D39" i="21"/>
  <c r="I51" i="1"/>
  <c r="D44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28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J9"/>
  <c r="I9"/>
  <c r="D9"/>
  <c r="F9"/>
  <c r="E9"/>
  <c r="G9"/>
  <c r="C9"/>
  <c r="H9"/>
  <c r="B10"/>
  <c r="Q10" l="1"/>
  <c r="O10"/>
  <c r="M10"/>
  <c r="P10"/>
  <c r="L10"/>
  <c r="R10"/>
  <c r="N10"/>
  <c r="K10"/>
  <c r="J10"/>
  <c r="I10"/>
  <c r="C10"/>
  <c r="D10"/>
  <c r="G10"/>
  <c r="B11"/>
  <c r="F10"/>
  <c r="E10"/>
  <c r="H10"/>
  <c r="O11" l="1"/>
  <c r="N11"/>
  <c r="P11"/>
  <c r="Q11"/>
  <c r="L11"/>
  <c r="R11"/>
  <c r="M11"/>
  <c r="K11"/>
  <c r="J11"/>
  <c r="I11"/>
  <c r="H11"/>
  <c r="C11"/>
  <c r="G11"/>
  <c r="B12"/>
  <c r="D11"/>
  <c r="F11"/>
  <c r="E11"/>
  <c r="L12" l="1"/>
  <c r="O12"/>
  <c r="P12"/>
  <c r="M12"/>
  <c r="N12"/>
  <c r="Q12"/>
  <c r="R12"/>
  <c r="K12"/>
  <c r="J12"/>
  <c r="I12"/>
  <c r="F12"/>
  <c r="G12"/>
  <c r="B13"/>
  <c r="H12"/>
  <c r="E12"/>
  <c r="C12"/>
  <c r="D12"/>
  <c r="P13" l="1"/>
  <c r="Q13"/>
  <c r="N13"/>
  <c r="R13"/>
  <c r="O13"/>
  <c r="M13"/>
  <c r="L13"/>
  <c r="K13"/>
  <c r="J13"/>
  <c r="I13"/>
  <c r="E13"/>
  <c r="C13"/>
  <c r="G13"/>
  <c r="B14"/>
  <c r="H13"/>
  <c r="D13"/>
  <c r="F13"/>
  <c r="R14" l="1"/>
  <c r="L14"/>
  <c r="O14"/>
  <c r="P14"/>
  <c r="Q14"/>
  <c r="M14"/>
  <c r="N14"/>
  <c r="K14"/>
  <c r="J14"/>
  <c r="I14"/>
  <c r="B15"/>
  <c r="G14"/>
  <c r="H14"/>
  <c r="E14"/>
  <c r="D14"/>
  <c r="F14"/>
  <c r="C14"/>
  <c r="N15" l="1"/>
  <c r="P15"/>
  <c r="Q15"/>
  <c r="M15"/>
  <c r="R15"/>
  <c r="L15"/>
  <c r="O15"/>
  <c r="K15"/>
  <c r="J15"/>
  <c r="I15"/>
  <c r="G15"/>
  <c r="C15"/>
  <c r="B16"/>
  <c r="E15"/>
  <c r="H15"/>
  <c r="D15"/>
  <c r="F15"/>
  <c r="O16" l="1"/>
  <c r="M16"/>
  <c r="L16"/>
  <c r="P16"/>
  <c r="Q16"/>
  <c r="R16"/>
  <c r="N16"/>
  <c r="K16"/>
  <c r="J16"/>
  <c r="I16"/>
  <c r="E16"/>
  <c r="H16"/>
  <c r="G16"/>
  <c r="B17"/>
  <c r="D16"/>
  <c r="F16"/>
  <c r="C16"/>
  <c r="Q17" l="1"/>
  <c r="M17"/>
  <c r="R17"/>
  <c r="O17"/>
  <c r="N17"/>
  <c r="P17"/>
  <c r="L17"/>
  <c r="K17"/>
  <c r="J17"/>
  <c r="I17"/>
  <c r="H17"/>
  <c r="D17"/>
  <c r="G17"/>
  <c r="C17"/>
  <c r="B18"/>
  <c r="F17"/>
  <c r="E17"/>
  <c r="R18" l="1"/>
  <c r="M18"/>
  <c r="L18"/>
  <c r="O18"/>
  <c r="P18"/>
  <c r="Q18"/>
  <c r="N18"/>
  <c r="K18"/>
  <c r="J18"/>
  <c r="I18"/>
  <c r="F18"/>
  <c r="E18"/>
  <c r="B19"/>
  <c r="G18"/>
  <c r="D18"/>
  <c r="H18"/>
  <c r="C18"/>
  <c r="R19" l="1"/>
  <c r="K19"/>
  <c r="Q19"/>
  <c r="L19"/>
  <c r="N19"/>
  <c r="P19"/>
  <c r="M19"/>
  <c r="O19"/>
  <c r="J19"/>
  <c r="I19"/>
  <c r="F19"/>
  <c r="B20"/>
  <c r="G19"/>
  <c r="H19"/>
  <c r="D19"/>
  <c r="E19"/>
  <c r="C19"/>
  <c r="L20" l="1"/>
  <c r="O20"/>
  <c r="M20"/>
  <c r="K20"/>
  <c r="N20"/>
  <c r="P20"/>
  <c r="Q20"/>
  <c r="R20"/>
  <c r="J20"/>
  <c r="I20"/>
  <c r="H20"/>
  <c r="F20"/>
  <c r="B21"/>
  <c r="E20"/>
  <c r="C20"/>
  <c r="G20"/>
  <c r="D20"/>
  <c r="O21" l="1"/>
  <c r="M21"/>
  <c r="P21"/>
  <c r="K21"/>
  <c r="N21"/>
  <c r="R21"/>
  <c r="L21"/>
  <c r="Q21"/>
  <c r="J21"/>
  <c r="I21"/>
  <c r="E21"/>
  <c r="B22"/>
  <c r="C21"/>
  <c r="H21"/>
  <c r="D21"/>
  <c r="F21"/>
  <c r="G21"/>
  <c r="P22" l="1"/>
  <c r="O22"/>
  <c r="K22"/>
  <c r="N22"/>
  <c r="M22"/>
  <c r="R22"/>
  <c r="L22"/>
  <c r="Q22"/>
  <c r="J22"/>
  <c r="I22"/>
  <c r="G22"/>
  <c r="B23"/>
  <c r="H22"/>
  <c r="D22"/>
  <c r="F22"/>
  <c r="E22"/>
  <c r="C22"/>
  <c r="L23" l="1"/>
  <c r="P23"/>
  <c r="K23"/>
  <c r="N23"/>
  <c r="Q23"/>
  <c r="M23"/>
  <c r="R23"/>
  <c r="O23"/>
  <c r="J23"/>
  <c r="I23"/>
  <c r="H23"/>
  <c r="C23"/>
  <c r="G23"/>
  <c r="E23"/>
  <c r="D23"/>
  <c r="B24"/>
  <c r="F23"/>
  <c r="R24" l="1"/>
  <c r="L24"/>
  <c r="M24"/>
  <c r="K24"/>
  <c r="N24"/>
  <c r="Q24"/>
  <c r="O24"/>
  <c r="P24"/>
  <c r="J24"/>
  <c r="I24"/>
  <c r="E24"/>
  <c r="B25"/>
  <c r="G24"/>
  <c r="F24"/>
  <c r="D24"/>
  <c r="H24"/>
  <c r="C24"/>
  <c r="R25" l="1"/>
  <c r="P25"/>
  <c r="O25"/>
  <c r="L25"/>
  <c r="M25"/>
  <c r="Q25"/>
  <c r="K25"/>
  <c r="N25"/>
  <c r="J25"/>
  <c r="I25"/>
  <c r="E25"/>
  <c r="F25"/>
  <c r="D25"/>
  <c r="G25"/>
  <c r="C25"/>
  <c r="B26"/>
  <c r="H25"/>
  <c r="Q26" l="1"/>
  <c r="P26"/>
  <c r="M26"/>
  <c r="N26"/>
  <c r="L26"/>
  <c r="O26"/>
  <c r="R26"/>
  <c r="K26"/>
  <c r="J26"/>
  <c r="I26"/>
  <c r="F26"/>
  <c r="C26"/>
  <c r="H26"/>
  <c r="G26"/>
  <c r="E26"/>
  <c r="B27"/>
  <c r="D26"/>
  <c r="R27" l="1"/>
  <c r="M27"/>
  <c r="Q27"/>
  <c r="O27"/>
  <c r="P27"/>
  <c r="N27"/>
  <c r="K27"/>
  <c r="L27"/>
  <c r="J27"/>
  <c r="I27"/>
  <c r="B28"/>
  <c r="F27"/>
  <c r="D27"/>
  <c r="C27"/>
  <c r="E27"/>
  <c r="H27"/>
  <c r="G27"/>
  <c r="O28" l="1"/>
  <c r="P28"/>
  <c r="R28"/>
  <c r="M28"/>
  <c r="L28"/>
  <c r="N28"/>
  <c r="Q28"/>
  <c r="K28"/>
  <c r="J28"/>
  <c r="I28"/>
  <c r="G28"/>
  <c r="F28"/>
  <c r="H28"/>
  <c r="D28"/>
  <c r="C28"/>
  <c r="B29"/>
  <c r="E28"/>
  <c r="R29" l="1"/>
  <c r="N29"/>
  <c r="K29"/>
  <c r="Q29"/>
  <c r="L29"/>
  <c r="M29"/>
  <c r="O29"/>
  <c r="P29"/>
  <c r="J29"/>
  <c r="I29"/>
  <c r="F29"/>
  <c r="B30"/>
  <c r="H29"/>
  <c r="D29"/>
  <c r="E29"/>
  <c r="C29"/>
  <c r="G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<sst xmlns="http://schemas.openxmlformats.org/spreadsheetml/2006/main" count="1305" uniqueCount="393">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</sst>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6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0">
  <autoFilter ref="A1:J54">
    <filterColumn colId="3"/>
  </autoFilter>
  <tableColumns count="10">
    <tableColumn id="2" name="Name" dataDxfId="59"/>
    <tableColumn id="10" name="Table" dataDxfId="58">
      <calculatedColumnFormula>"__"&amp;[Name]</calculatedColumnFormula>
    </tableColumn>
    <tableColumn id="5" name="Singular Name" dataDxfId="57">
      <calculatedColumnFormula>IF(RIGHT([Name],3)="ies",MID([Name],1,LEN([Name])-3)&amp;"y",IF(RIGHT([Name],1)="s",MID([Name],1,LEN([Name])-1),[Name]))</calculatedColumnFormula>
    </tableColumn>
    <tableColumn id="8" name="Model NS" dataDxfId="56">
      <calculatedColumnFormula>"Milestone\Appframe\Model"</calculatedColumnFormula>
    </tableColumn>
    <tableColumn id="4" name="Class Name" dataDxfId="55">
      <calculatedColumnFormula>SUBSTITUTE(PROPER([Singular Name]),"_","")</calculatedColumnFormula>
    </tableColumn>
    <tableColumn id="1" name="Migration Artisan" dataDxfId="54">
      <calculatedColumnFormula>"php artisan make:migration create_"&amp;[Table]&amp;"_table --create=__"&amp;[Name]</calculatedColumnFormula>
    </tableColumn>
    <tableColumn id="6" name="Model Artisan" dataDxfId="53">
      <calculatedColumnFormula>"php artisan make:model "&amp;[Class Name]</calculatedColumnFormula>
    </tableColumn>
    <tableColumn id="3" name="Model Statement" dataDxfId="52">
      <calculatedColumnFormula>"protected $table = '"&amp;[Table]&amp;"';"</calculatedColumnFormula>
    </tableColumn>
    <tableColumn id="7" name="Seeder Artisan" dataDxfId="51">
      <calculatedColumnFormula>"php artisan make:seed "&amp;[Class Name]&amp;"TableSeeder"</calculatedColumnFormula>
    </tableColumn>
    <tableColumn id="9" name="Seeder Class" dataDxfId="5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48">
  <autoFilter ref="A1:I81"/>
  <tableColumns count="9">
    <tableColumn id="1" name="Column" dataDxfId="47"/>
    <tableColumn id="2" name="Type" dataDxfId="46"/>
    <tableColumn id="3" name="Name" dataDxfId="45"/>
    <tableColumn id="4" name="Length/Enum" dataDxfId="44"/>
    <tableColumn id="5" name="Method1" dataDxfId="43"/>
    <tableColumn id="6" name="Method2" dataDxfId="42"/>
    <tableColumn id="7" name="Method3" dataDxfId="41"/>
    <tableColumn id="8" name="Method4" dataDxfId="40"/>
    <tableColumn id="9" name="Method5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38">
  <autoFilter ref="A1:K113">
    <filterColumn colId="0"/>
  </autoFilter>
  <tableColumns count="11">
    <tableColumn id="2" name="Table" dataDxfId="37"/>
    <tableColumn id="3" name="Field" dataDxfId="36"/>
    <tableColumn id="5" name="Type" dataDxfId="35">
      <calculatedColumnFormula>VLOOKUP([Field],Columns[],2,0)&amp;"("</calculatedColumnFormula>
    </tableColumn>
    <tableColumn id="4" name="Name" dataDxfId="34">
      <calculatedColumnFormula>IF(VLOOKUP([Field],Columns[],3,0)&lt;&gt;"","'"&amp;VLOOKUP([Field],Columns[],3,0)&amp;"'","")</calculatedColumnFormula>
    </tableColumn>
    <tableColumn id="6" name="Arg2" dataDxfId="33">
      <calculatedColumnFormula>IF(VLOOKUP([Field],Columns[],4,0)&lt;&gt;0,", "&amp;VLOOKUP([Field],Columns[],4,0)&amp;")",")")</calculatedColumnFormula>
    </tableColumn>
    <tableColumn id="7" name="Method1" dataDxfId="32">
      <calculatedColumnFormula>IF(VLOOKUP([Field],Columns[],5,0)=0,"","-&gt;"&amp;VLOOKUP([Field],Columns[],5,0))</calculatedColumnFormula>
    </tableColumn>
    <tableColumn id="8" name="Method2" dataDxfId="31">
      <calculatedColumnFormula>IF(VLOOKUP([Field],Columns[],6,0)=0,"","-&gt;"&amp;VLOOKUP([Field],Columns[],6,0))</calculatedColumnFormula>
    </tableColumn>
    <tableColumn id="9" name="Method3" dataDxfId="30">
      <calculatedColumnFormula>IF(VLOOKUP([Field],Columns[],7,0)=0,"","-&gt;"&amp;VLOOKUP([Field],Columns[],7,0))</calculatedColumnFormula>
    </tableColumn>
    <tableColumn id="10" name="Method4" dataDxfId="29">
      <calculatedColumnFormula>IF(VLOOKUP([Field],Columns[],8,0)=0,"","-&gt;"&amp;VLOOKUP([Field],Columns[],8,0))</calculatedColumnFormula>
    </tableColumn>
    <tableColumn id="11" name="Method5" dataDxfId="28">
      <calculatedColumnFormula>IF(VLOOKUP([Field],Columns[],9,0)=0,"","-&gt;"&amp;VLOOKUP([Field],Columns[],9,0))</calculatedColumnFormula>
    </tableColumn>
    <tableColumn id="12" name="Statement" dataDxfId="2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1" totalsRowShown="0" headerRowDxfId="26" dataDxfId="25">
  <autoFilter ref="A1:R71">
    <filterColumn colId="1">
      <filters>
        <filter val="Resource Relations"/>
        <filter val="Resources"/>
      </filters>
    </filterColumn>
  </autoFilter>
  <tableColumns count="18">
    <tableColumn id="19" name="TRCode" dataDxfId="0">
      <calculatedColumnFormula>[Table Name]&amp;"-"&amp;(COUNTIF($B$1:TableData[[#This Row],[Table Name]],TableData[[#This Row],[Table Name]])-1)</calculatedColumnFormula>
    </tableColumn>
    <tableColumn id="1" name="Table Name" dataDxfId="24"/>
    <tableColumn id="2" name="Record No" dataDxfId="23">
      <calculatedColumnFormula>IF(COUNTIF($B$1:$B1,[Table Name])=0,0,IF(ISNUMBER(VLOOKUP([Table Name],SeedMap[],6,0)),COUNTIF($B$1:$B1,[Table Name])+VLOOKUP([Table Name],SeedMap[],6,0),COUNTIF($B$1:$B1,[Table Name])))</calculatedColumnFormula>
    </tableColumn>
    <tableColumn id="3" name="1" dataDxfId="22"/>
    <tableColumn id="4" name="2" dataDxfId="21"/>
    <tableColumn id="5" name="3" dataDxfId="20"/>
    <tableColumn id="6" name="4" dataDxfId="19"/>
    <tableColumn id="7" name="5" dataDxfId="18"/>
    <tableColumn id="8" name="6" dataDxfId="17"/>
    <tableColumn id="9" name="7" dataDxfId="16"/>
    <tableColumn id="10" name="8" dataDxfId="15"/>
    <tableColumn id="11" name="9" dataDxfId="14"/>
    <tableColumn id="12" name="10" dataDxfId="13"/>
    <tableColumn id="13" name="11" dataDxfId="12"/>
    <tableColumn id="14" name="12" dataDxfId="11"/>
    <tableColumn id="15" name="13" dataDxfId="10"/>
    <tableColumn id="16" name="14" dataDxfId="9"/>
    <tableColumn id="17" name="15" dataDxfId="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F47" totalsRowShown="0" dataDxfId="7">
  <autoFilter ref="A1:F47">
    <filterColumn colId="5"/>
  </autoFilter>
  <tableColumns count="6">
    <tableColumn id="1" name="Name" dataDxfId="6"/>
    <tableColumn id="3" name="FW Table Name" dataDxfId="5"/>
    <tableColumn id="20" name="NS" dataDxfId="4">
      <calculatedColumnFormula>VLOOKUP([FW Table Name],Tables[],4,0)</calculatedColumnFormula>
    </tableColumn>
    <tableColumn id="21" name="Model" dataDxfId="3">
      <calculatedColumnFormula>VLOOKUP([FW Table Name],Tables[],5,0)</calculatedColumnFormula>
    </tableColumn>
    <tableColumn id="4" name="Query Method" dataDxfId="2"/>
    <tableColumn id="2" name="Last ID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4" workbookViewId="0">
      <selection activeCell="A55" sqref="A5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352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50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210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211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213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214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215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216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217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218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325</v>
      </c>
      <c r="B5" s="3" t="s">
        <v>219</v>
      </c>
      <c r="C5" s="3" t="s">
        <v>95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221</v>
      </c>
      <c r="B6" s="3" t="s">
        <v>219</v>
      </c>
      <c r="C6" s="3" t="s">
        <v>221</v>
      </c>
      <c r="D6" s="3">
        <v>64</v>
      </c>
      <c r="E6" s="3" t="s">
        <v>222</v>
      </c>
      <c r="F6" s="3"/>
      <c r="G6" s="3"/>
      <c r="H6" s="3"/>
      <c r="I6" s="3"/>
    </row>
    <row r="7" spans="1:9">
      <c r="A7" s="3" t="s">
        <v>168</v>
      </c>
      <c r="B7" s="3" t="s">
        <v>219</v>
      </c>
      <c r="C7" s="3" t="s">
        <v>168</v>
      </c>
      <c r="D7" s="3">
        <v>256</v>
      </c>
      <c r="E7" s="3" t="s">
        <v>222</v>
      </c>
      <c r="F7" s="3"/>
      <c r="G7" s="3"/>
      <c r="H7" s="3"/>
      <c r="I7" s="3"/>
    </row>
    <row r="8" spans="1:9">
      <c r="A8" s="3" t="s">
        <v>96</v>
      </c>
      <c r="B8" s="3" t="s">
        <v>219</v>
      </c>
      <c r="C8" s="3" t="s">
        <v>96</v>
      </c>
      <c r="D8" s="3">
        <v>1024</v>
      </c>
      <c r="E8" s="3" t="s">
        <v>222</v>
      </c>
      <c r="F8" s="3"/>
      <c r="G8" s="3"/>
      <c r="H8" s="3"/>
      <c r="I8" s="3"/>
    </row>
    <row r="9" spans="1:9">
      <c r="A9" s="3" t="s">
        <v>223</v>
      </c>
      <c r="B9" s="3" t="s">
        <v>224</v>
      </c>
      <c r="C9" s="3" t="s">
        <v>225</v>
      </c>
      <c r="D9" s="3"/>
      <c r="E9" s="3" t="s">
        <v>222</v>
      </c>
      <c r="F9" s="3" t="s">
        <v>220</v>
      </c>
      <c r="G9" s="3"/>
      <c r="H9" s="3"/>
      <c r="I9" s="3"/>
    </row>
    <row r="10" spans="1:9">
      <c r="A10" s="3" t="s">
        <v>226</v>
      </c>
      <c r="B10" s="3" t="s">
        <v>227</v>
      </c>
      <c r="C10" s="3" t="s">
        <v>226</v>
      </c>
      <c r="D10" s="3" t="s">
        <v>228</v>
      </c>
      <c r="E10" s="3" t="s">
        <v>229</v>
      </c>
      <c r="F10" s="3" t="s">
        <v>220</v>
      </c>
      <c r="G10" s="3"/>
      <c r="H10" s="3"/>
      <c r="I10" s="3"/>
    </row>
    <row r="11" spans="1:9">
      <c r="A11" s="3" t="s">
        <v>230</v>
      </c>
      <c r="B11" s="3" t="s">
        <v>224</v>
      </c>
      <c r="C11" s="3" t="s">
        <v>230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208</v>
      </c>
      <c r="B12" s="3" t="s">
        <v>224</v>
      </c>
      <c r="C12" s="3" t="s">
        <v>208</v>
      </c>
      <c r="D12" s="3"/>
      <c r="E12" s="3" t="s">
        <v>222</v>
      </c>
      <c r="F12" s="3" t="s">
        <v>220</v>
      </c>
      <c r="G12" s="3"/>
      <c r="H12" s="3"/>
      <c r="I12" s="3"/>
    </row>
    <row r="13" spans="1:9">
      <c r="A13" s="3" t="s">
        <v>191</v>
      </c>
      <c r="B13" s="3" t="s">
        <v>219</v>
      </c>
      <c r="C13" s="3" t="s">
        <v>191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231</v>
      </c>
      <c r="B14" s="3" t="s">
        <v>219</v>
      </c>
      <c r="C14" s="3" t="s">
        <v>231</v>
      </c>
      <c r="D14" s="3">
        <v>32</v>
      </c>
      <c r="E14" s="3" t="s">
        <v>222</v>
      </c>
      <c r="F14" s="3"/>
      <c r="G14" s="3"/>
      <c r="H14" s="3"/>
      <c r="I14" s="3"/>
    </row>
    <row r="15" spans="1:9">
      <c r="A15" s="3" t="s">
        <v>232</v>
      </c>
      <c r="B15" s="3" t="s">
        <v>219</v>
      </c>
      <c r="C15" s="3" t="s">
        <v>232</v>
      </c>
      <c r="D15" s="3">
        <v>64</v>
      </c>
      <c r="E15" s="3" t="s">
        <v>222</v>
      </c>
      <c r="F15" s="3"/>
      <c r="G15" s="3"/>
      <c r="H15" s="3"/>
      <c r="I15" s="3"/>
    </row>
    <row r="16" spans="1:9">
      <c r="A16" s="3" t="s">
        <v>233</v>
      </c>
      <c r="B16" s="3" t="s">
        <v>219</v>
      </c>
      <c r="C16" s="3" t="s">
        <v>233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234</v>
      </c>
      <c r="B17" s="3" t="s">
        <v>219</v>
      </c>
      <c r="C17" s="3" t="s">
        <v>234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235</v>
      </c>
      <c r="B18" s="3" t="s">
        <v>219</v>
      </c>
      <c r="C18" s="3" t="s">
        <v>235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236</v>
      </c>
      <c r="B19" s="3" t="s">
        <v>219</v>
      </c>
      <c r="C19" s="3" t="s">
        <v>236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237</v>
      </c>
      <c r="B20" s="3" t="s">
        <v>219</v>
      </c>
      <c r="C20" s="3" t="s">
        <v>237</v>
      </c>
      <c r="D20" s="3">
        <v>256</v>
      </c>
      <c r="E20" s="3" t="s">
        <v>222</v>
      </c>
      <c r="F20" s="3"/>
      <c r="G20" s="3"/>
      <c r="H20" s="3"/>
      <c r="I20" s="3"/>
    </row>
    <row r="21" spans="1:9">
      <c r="A21" s="3" t="s">
        <v>238</v>
      </c>
      <c r="B21" s="3" t="s">
        <v>227</v>
      </c>
      <c r="C21" s="3" t="s">
        <v>114</v>
      </c>
      <c r="D21" s="3" t="s">
        <v>239</v>
      </c>
      <c r="E21" s="3" t="s">
        <v>240</v>
      </c>
      <c r="F21" s="3" t="s">
        <v>220</v>
      </c>
      <c r="G21" s="3"/>
      <c r="H21" s="3"/>
      <c r="I21" s="3"/>
    </row>
    <row r="22" spans="1:9">
      <c r="A22" s="3" t="s">
        <v>241</v>
      </c>
      <c r="B22" s="3" t="s">
        <v>219</v>
      </c>
      <c r="C22" s="3" t="s">
        <v>241</v>
      </c>
      <c r="D22" s="3">
        <v>32</v>
      </c>
      <c r="E22" s="3" t="s">
        <v>222</v>
      </c>
      <c r="F22" s="3"/>
      <c r="G22" s="3"/>
      <c r="H22" s="3"/>
      <c r="I22" s="3"/>
    </row>
    <row r="23" spans="1:9">
      <c r="A23" s="3" t="s">
        <v>242</v>
      </c>
      <c r="B23" s="3" t="s">
        <v>224</v>
      </c>
      <c r="C23" s="3" t="s">
        <v>242</v>
      </c>
      <c r="D23" s="3"/>
      <c r="E23" s="3" t="s">
        <v>222</v>
      </c>
      <c r="F23" s="3" t="s">
        <v>220</v>
      </c>
      <c r="G23" s="3"/>
      <c r="H23" s="3"/>
      <c r="I23" s="3"/>
    </row>
    <row r="24" spans="1:9">
      <c r="A24" s="3" t="s">
        <v>243</v>
      </c>
      <c r="B24" s="3" t="s">
        <v>219</v>
      </c>
      <c r="C24" s="3" t="s">
        <v>243</v>
      </c>
      <c r="D24" s="3">
        <v>128</v>
      </c>
      <c r="E24" s="3" t="s">
        <v>222</v>
      </c>
      <c r="F24" s="3"/>
      <c r="G24" s="3"/>
      <c r="H24" s="3"/>
      <c r="I24" s="3"/>
    </row>
    <row r="25" spans="1:9">
      <c r="A25" s="3" t="s">
        <v>244</v>
      </c>
      <c r="B25" s="3" t="s">
        <v>227</v>
      </c>
      <c r="C25" s="3" t="s">
        <v>245</v>
      </c>
      <c r="D25" s="3" t="s">
        <v>246</v>
      </c>
      <c r="E25" s="3" t="s">
        <v>247</v>
      </c>
      <c r="F25" s="3" t="s">
        <v>220</v>
      </c>
      <c r="G25" s="3"/>
      <c r="H25" s="3"/>
      <c r="I25" s="3"/>
    </row>
    <row r="26" spans="1:9">
      <c r="A26" s="3" t="s">
        <v>212</v>
      </c>
      <c r="B26" s="3" t="s">
        <v>224</v>
      </c>
      <c r="C26" s="3" t="s">
        <v>212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248</v>
      </c>
      <c r="B27" s="3" t="s">
        <v>224</v>
      </c>
      <c r="C27" s="3" t="s">
        <v>248</v>
      </c>
      <c r="D27" s="3"/>
      <c r="E27" s="3" t="s">
        <v>222</v>
      </c>
      <c r="F27" s="3" t="s">
        <v>220</v>
      </c>
      <c r="G27" s="3"/>
      <c r="H27" s="3"/>
      <c r="I27" s="3"/>
    </row>
    <row r="28" spans="1:9">
      <c r="A28" s="3" t="s">
        <v>249</v>
      </c>
      <c r="B28" s="3" t="s">
        <v>280</v>
      </c>
      <c r="C28" s="3" t="s">
        <v>249</v>
      </c>
      <c r="D28" s="3"/>
      <c r="E28" s="3" t="s">
        <v>281</v>
      </c>
      <c r="F28" s="3"/>
      <c r="G28" s="3"/>
      <c r="H28" s="3"/>
      <c r="I28" s="3"/>
    </row>
    <row r="29" spans="1:9">
      <c r="A29" s="3" t="s">
        <v>250</v>
      </c>
      <c r="B29" s="3" t="s">
        <v>224</v>
      </c>
      <c r="C29" s="3" t="s">
        <v>250</v>
      </c>
      <c r="D29" s="3"/>
      <c r="E29" s="3" t="s">
        <v>222</v>
      </c>
      <c r="F29" s="3" t="s">
        <v>220</v>
      </c>
      <c r="G29" s="3"/>
      <c r="H29" s="3"/>
      <c r="I29" s="3"/>
    </row>
    <row r="30" spans="1:9">
      <c r="A30" s="3" t="s">
        <v>251</v>
      </c>
      <c r="B30" s="3" t="s">
        <v>280</v>
      </c>
      <c r="C30" s="3" t="s">
        <v>251</v>
      </c>
      <c r="D30" s="3"/>
      <c r="E30" s="3" t="s">
        <v>282</v>
      </c>
      <c r="F30" s="3"/>
      <c r="G30" s="3"/>
      <c r="H30" s="3"/>
      <c r="I30" s="3"/>
    </row>
    <row r="31" spans="1:9">
      <c r="A31" s="3" t="s">
        <v>252</v>
      </c>
      <c r="B31" s="3" t="s">
        <v>227</v>
      </c>
      <c r="C31" s="3" t="s">
        <v>252</v>
      </c>
      <c r="D31" s="3" t="s">
        <v>228</v>
      </c>
      <c r="E31" s="3" t="s">
        <v>229</v>
      </c>
      <c r="F31" s="3" t="s">
        <v>220</v>
      </c>
      <c r="G31" s="3"/>
      <c r="H31" s="3"/>
      <c r="I31" s="3"/>
    </row>
    <row r="32" spans="1:9">
      <c r="A32" s="3" t="s">
        <v>253</v>
      </c>
      <c r="B32" s="3" t="s">
        <v>224</v>
      </c>
      <c r="C32" s="3" t="s">
        <v>253</v>
      </c>
      <c r="D32" s="3"/>
      <c r="E32" s="3" t="s">
        <v>222</v>
      </c>
      <c r="F32" s="3" t="s">
        <v>220</v>
      </c>
      <c r="G32" s="3"/>
      <c r="H32" s="3"/>
      <c r="I32" s="3"/>
    </row>
    <row r="33" spans="1:9">
      <c r="A33" s="3" t="s">
        <v>254</v>
      </c>
      <c r="B33" s="3" t="s">
        <v>227</v>
      </c>
      <c r="C33" s="3" t="s">
        <v>254</v>
      </c>
      <c r="D33" s="3" t="s">
        <v>246</v>
      </c>
      <c r="E33" s="3" t="s">
        <v>255</v>
      </c>
      <c r="F33" s="3" t="s">
        <v>220</v>
      </c>
      <c r="G33" s="3"/>
      <c r="H33" s="3"/>
      <c r="I33" s="3"/>
    </row>
    <row r="34" spans="1:9">
      <c r="A34" s="3" t="s">
        <v>256</v>
      </c>
      <c r="B34" s="3" t="s">
        <v>219</v>
      </c>
      <c r="C34" s="3" t="s">
        <v>256</v>
      </c>
      <c r="D34" s="3">
        <v>512</v>
      </c>
      <c r="E34" s="3" t="s">
        <v>222</v>
      </c>
      <c r="F34" s="3"/>
      <c r="G34" s="3"/>
      <c r="H34" s="3"/>
      <c r="I34" s="3"/>
    </row>
    <row r="35" spans="1:9">
      <c r="A35" s="3" t="s">
        <v>276</v>
      </c>
      <c r="B35" s="3" t="s">
        <v>224</v>
      </c>
      <c r="C35" s="3" t="s">
        <v>225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257</v>
      </c>
      <c r="B36" s="3" t="s">
        <v>224</v>
      </c>
      <c r="C36" s="3" t="s">
        <v>257</v>
      </c>
      <c r="D36" s="3"/>
      <c r="E36" s="3" t="s">
        <v>222</v>
      </c>
      <c r="F36" s="3" t="s">
        <v>220</v>
      </c>
      <c r="G36" s="3"/>
      <c r="H36" s="3"/>
      <c r="I36" s="3"/>
    </row>
    <row r="37" spans="1:9">
      <c r="A37" s="3" t="s">
        <v>258</v>
      </c>
      <c r="B37" s="3" t="s">
        <v>259</v>
      </c>
      <c r="C37" s="3" t="s">
        <v>230</v>
      </c>
      <c r="D37" s="3"/>
      <c r="E37" s="3" t="s">
        <v>260</v>
      </c>
      <c r="F37" s="3" t="s">
        <v>261</v>
      </c>
      <c r="G37" s="3" t="s">
        <v>262</v>
      </c>
      <c r="H37" s="3" t="s">
        <v>264</v>
      </c>
      <c r="I37" s="3"/>
    </row>
    <row r="38" spans="1:9">
      <c r="A38" s="3" t="s">
        <v>265</v>
      </c>
      <c r="B38" s="3" t="s">
        <v>259</v>
      </c>
      <c r="C38" s="3" t="s">
        <v>208</v>
      </c>
      <c r="D38" s="3"/>
      <c r="E38" s="3" t="s">
        <v>260</v>
      </c>
      <c r="F38" s="3" t="s">
        <v>266</v>
      </c>
      <c r="G38" s="3" t="s">
        <v>262</v>
      </c>
      <c r="H38" s="3" t="s">
        <v>264</v>
      </c>
      <c r="I38" s="3"/>
    </row>
    <row r="39" spans="1:9">
      <c r="A39" s="3" t="s">
        <v>267</v>
      </c>
      <c r="B39" s="3" t="s">
        <v>259</v>
      </c>
      <c r="C39" s="3" t="s">
        <v>242</v>
      </c>
      <c r="D39" s="3"/>
      <c r="E39" s="3" t="s">
        <v>260</v>
      </c>
      <c r="F39" s="3" t="s">
        <v>268</v>
      </c>
      <c r="G39" s="3" t="s">
        <v>262</v>
      </c>
      <c r="H39" s="3" t="s">
        <v>263</v>
      </c>
      <c r="I39" s="3"/>
    </row>
    <row r="40" spans="1:9">
      <c r="A40" s="3" t="s">
        <v>269</v>
      </c>
      <c r="B40" s="3" t="s">
        <v>259</v>
      </c>
      <c r="C40" s="3" t="s">
        <v>253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271</v>
      </c>
      <c r="B41" s="3" t="s">
        <v>259</v>
      </c>
      <c r="C41" s="3" t="s">
        <v>225</v>
      </c>
      <c r="D41" s="3"/>
      <c r="E41" s="3" t="s">
        <v>260</v>
      </c>
      <c r="F41" s="3" t="s">
        <v>270</v>
      </c>
      <c r="G41" s="3" t="s">
        <v>262</v>
      </c>
      <c r="H41" s="3" t="s">
        <v>264</v>
      </c>
      <c r="I41" s="3"/>
    </row>
    <row r="42" spans="1:9">
      <c r="A42" s="3" t="s">
        <v>272</v>
      </c>
      <c r="B42" s="3" t="s">
        <v>259</v>
      </c>
      <c r="C42" s="3" t="s">
        <v>212</v>
      </c>
      <c r="D42" s="3"/>
      <c r="E42" s="3" t="s">
        <v>260</v>
      </c>
      <c r="F42" s="3" t="s">
        <v>273</v>
      </c>
      <c r="G42" s="3" t="s">
        <v>262</v>
      </c>
      <c r="H42" s="3" t="s">
        <v>263</v>
      </c>
      <c r="I42" s="3"/>
    </row>
    <row r="43" spans="1:9">
      <c r="A43" s="3" t="s">
        <v>274</v>
      </c>
      <c r="B43" s="3" t="s">
        <v>259</v>
      </c>
      <c r="C43" s="3" t="s">
        <v>257</v>
      </c>
      <c r="D43" s="3"/>
      <c r="E43" s="3" t="s">
        <v>260</v>
      </c>
      <c r="F43" s="3" t="s">
        <v>275</v>
      </c>
      <c r="G43" s="3" t="s">
        <v>262</v>
      </c>
      <c r="H43" s="3" t="s">
        <v>263</v>
      </c>
      <c r="I43" s="3"/>
    </row>
    <row r="44" spans="1:9">
      <c r="A44" s="3" t="s">
        <v>277</v>
      </c>
      <c r="B44" s="3" t="s">
        <v>259</v>
      </c>
      <c r="C44" s="3" t="s">
        <v>248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  <row r="45" spans="1:9">
      <c r="A45" s="3" t="s">
        <v>278</v>
      </c>
      <c r="B45" s="3" t="s">
        <v>259</v>
      </c>
      <c r="C45" s="3" t="s">
        <v>250</v>
      </c>
      <c r="D45" s="3"/>
      <c r="E45" s="3" t="s">
        <v>260</v>
      </c>
      <c r="F45" s="3" t="s">
        <v>270</v>
      </c>
      <c r="G45" s="3" t="s">
        <v>262</v>
      </c>
      <c r="H45" s="3" t="s">
        <v>264</v>
      </c>
      <c r="I45" s="3"/>
    </row>
    <row r="46" spans="1:9">
      <c r="A46" s="3" t="s">
        <v>326</v>
      </c>
      <c r="B46" s="3" t="s">
        <v>219</v>
      </c>
      <c r="C46" s="3" t="s">
        <v>326</v>
      </c>
      <c r="D46" s="3">
        <v>800</v>
      </c>
      <c r="E46" s="3" t="s">
        <v>222</v>
      </c>
      <c r="F46" s="3"/>
      <c r="G46" s="3"/>
      <c r="H46" s="3"/>
      <c r="I46" s="3"/>
    </row>
    <row r="47" spans="1:9">
      <c r="A47" s="3" t="s">
        <v>327</v>
      </c>
      <c r="B47" s="3" t="s">
        <v>219</v>
      </c>
      <c r="C47" s="2" t="s">
        <v>327</v>
      </c>
      <c r="D47" s="3">
        <v>800</v>
      </c>
      <c r="E47" s="3" t="s">
        <v>222</v>
      </c>
      <c r="F47" s="3"/>
      <c r="G47" s="3"/>
      <c r="H47" s="3"/>
      <c r="I47" s="3"/>
    </row>
    <row r="48" spans="1:9">
      <c r="A48" s="3" t="s">
        <v>328</v>
      </c>
      <c r="B48" s="3" t="s">
        <v>219</v>
      </c>
      <c r="C48" s="2" t="s">
        <v>328</v>
      </c>
      <c r="D48" s="3">
        <v>800</v>
      </c>
      <c r="E48" s="3" t="s">
        <v>222</v>
      </c>
      <c r="F48" s="3"/>
      <c r="G48" s="3"/>
      <c r="H48" s="3"/>
      <c r="I48" s="3"/>
    </row>
    <row r="49" spans="1:9">
      <c r="A49" s="3" t="s">
        <v>329</v>
      </c>
      <c r="B49" s="3" t="s">
        <v>219</v>
      </c>
      <c r="C49" s="2" t="s">
        <v>329</v>
      </c>
      <c r="D49" s="3">
        <v>800</v>
      </c>
      <c r="E49" s="3" t="s">
        <v>222</v>
      </c>
      <c r="F49" s="3"/>
      <c r="G49" s="3"/>
      <c r="H49" s="3"/>
      <c r="I49" s="3"/>
    </row>
    <row r="50" spans="1:9">
      <c r="A50" s="3" t="s">
        <v>330</v>
      </c>
      <c r="B50" s="3" t="s">
        <v>219</v>
      </c>
      <c r="C50" s="2" t="s">
        <v>330</v>
      </c>
      <c r="D50" s="3">
        <v>800</v>
      </c>
      <c r="E50" s="3" t="s">
        <v>222</v>
      </c>
      <c r="F50" s="3"/>
      <c r="G50" s="3"/>
      <c r="H50" s="3"/>
      <c r="I50" s="3"/>
    </row>
    <row r="51" spans="1:9">
      <c r="A51" s="3" t="s">
        <v>331</v>
      </c>
      <c r="B51" s="3" t="s">
        <v>219</v>
      </c>
      <c r="C51" s="2" t="s">
        <v>331</v>
      </c>
      <c r="D51" s="3">
        <v>800</v>
      </c>
      <c r="E51" s="3" t="s">
        <v>222</v>
      </c>
      <c r="F51" s="3"/>
      <c r="G51" s="3"/>
      <c r="H51" s="3"/>
      <c r="I51" s="3"/>
    </row>
    <row r="52" spans="1:9">
      <c r="A52" s="3" t="s">
        <v>332</v>
      </c>
      <c r="B52" s="3" t="s">
        <v>219</v>
      </c>
      <c r="C52" s="2" t="s">
        <v>332</v>
      </c>
      <c r="D52" s="3">
        <v>800</v>
      </c>
      <c r="E52" s="3" t="s">
        <v>222</v>
      </c>
      <c r="F52" s="3"/>
      <c r="G52" s="3"/>
      <c r="H52" s="3"/>
      <c r="I52" s="3"/>
    </row>
    <row r="53" spans="1:9">
      <c r="A53" s="3" t="s">
        <v>333</v>
      </c>
      <c r="B53" s="3" t="s">
        <v>219</v>
      </c>
      <c r="C53" s="2" t="s">
        <v>333</v>
      </c>
      <c r="D53" s="3">
        <v>800</v>
      </c>
      <c r="E53" s="3" t="s">
        <v>222</v>
      </c>
      <c r="F53" s="3"/>
      <c r="G53" s="3"/>
      <c r="H53" s="3"/>
      <c r="I53" s="3"/>
    </row>
    <row r="54" spans="1:9">
      <c r="A54" s="3" t="s">
        <v>334</v>
      </c>
      <c r="B54" s="3" t="s">
        <v>219</v>
      </c>
      <c r="C54" s="2" t="s">
        <v>334</v>
      </c>
      <c r="D54" s="3">
        <v>800</v>
      </c>
      <c r="E54" s="3" t="s">
        <v>222</v>
      </c>
      <c r="F54" s="3"/>
      <c r="G54" s="3"/>
      <c r="H54" s="3"/>
      <c r="I54" s="3"/>
    </row>
    <row r="55" spans="1:9">
      <c r="A55" s="3" t="s">
        <v>335</v>
      </c>
      <c r="B55" s="3" t="s">
        <v>219</v>
      </c>
      <c r="C55" s="2" t="s">
        <v>335</v>
      </c>
      <c r="D55" s="3">
        <v>800</v>
      </c>
      <c r="E55" s="3" t="s">
        <v>222</v>
      </c>
      <c r="F55" s="3"/>
      <c r="G55" s="3"/>
      <c r="H55" s="3"/>
      <c r="I55" s="3"/>
    </row>
    <row r="56" spans="1:9">
      <c r="A56" s="3" t="s">
        <v>336</v>
      </c>
      <c r="B56" s="3" t="s">
        <v>219</v>
      </c>
      <c r="C56" s="3" t="s">
        <v>336</v>
      </c>
      <c r="D56" s="3">
        <v>60</v>
      </c>
      <c r="E56" s="3" t="s">
        <v>222</v>
      </c>
      <c r="F56" s="3"/>
      <c r="G56" s="3"/>
      <c r="H56" s="3"/>
      <c r="I56" s="3"/>
    </row>
    <row r="57" spans="1:9">
      <c r="A57" s="3" t="s">
        <v>337</v>
      </c>
      <c r="B57" s="3" t="s">
        <v>219</v>
      </c>
      <c r="C57" s="3" t="s">
        <v>337</v>
      </c>
      <c r="D57" s="3">
        <v>60</v>
      </c>
      <c r="E57" s="3" t="s">
        <v>222</v>
      </c>
      <c r="F57" s="3"/>
      <c r="G57" s="3"/>
      <c r="H57" s="3"/>
      <c r="I57" s="3"/>
    </row>
    <row r="58" spans="1:9">
      <c r="A58" s="3" t="s">
        <v>338</v>
      </c>
      <c r="B58" s="3" t="s">
        <v>227</v>
      </c>
      <c r="C58" s="3" t="s">
        <v>338</v>
      </c>
      <c r="D58" s="3" t="s">
        <v>246</v>
      </c>
      <c r="E58" s="3" t="s">
        <v>255</v>
      </c>
      <c r="F58" s="3"/>
      <c r="G58" s="3"/>
      <c r="H58" s="3"/>
      <c r="I58" s="3"/>
    </row>
    <row r="59" spans="1:9">
      <c r="A59" s="3" t="s">
        <v>341</v>
      </c>
      <c r="B59" s="3" t="s">
        <v>227</v>
      </c>
      <c r="C59" s="3" t="s">
        <v>114</v>
      </c>
      <c r="D59" s="3" t="s">
        <v>340</v>
      </c>
      <c r="E59" s="3" t="s">
        <v>240</v>
      </c>
      <c r="F59" s="3"/>
      <c r="G59" s="3"/>
      <c r="H59" s="3"/>
      <c r="I59" s="3"/>
    </row>
    <row r="60" spans="1:9">
      <c r="A60" s="4" t="s">
        <v>342</v>
      </c>
      <c r="B60" s="4" t="s">
        <v>224</v>
      </c>
      <c r="C60" s="4" t="s">
        <v>342</v>
      </c>
      <c r="D60" s="4"/>
      <c r="E60" s="4" t="s">
        <v>222</v>
      </c>
      <c r="F60" s="4" t="s">
        <v>220</v>
      </c>
      <c r="G60" s="4"/>
      <c r="H60" s="4"/>
      <c r="I60" s="4"/>
    </row>
    <row r="61" spans="1:9">
      <c r="A61" s="4" t="s">
        <v>343</v>
      </c>
      <c r="B61" s="4" t="s">
        <v>224</v>
      </c>
      <c r="C61" s="4" t="s">
        <v>343</v>
      </c>
      <c r="D61" s="4"/>
      <c r="E61" s="4" t="s">
        <v>222</v>
      </c>
      <c r="F61" s="4" t="s">
        <v>220</v>
      </c>
      <c r="G61" s="4"/>
      <c r="H61" s="4"/>
      <c r="I61" s="4"/>
    </row>
    <row r="62" spans="1:9">
      <c r="A62" s="4" t="s">
        <v>344</v>
      </c>
      <c r="B62" s="4" t="s">
        <v>224</v>
      </c>
      <c r="C62" s="4" t="s">
        <v>344</v>
      </c>
      <c r="D62" s="4"/>
      <c r="E62" s="4" t="s">
        <v>222</v>
      </c>
      <c r="F62" s="4" t="s">
        <v>220</v>
      </c>
      <c r="G62" s="4"/>
      <c r="H62" s="4"/>
      <c r="I62" s="4"/>
    </row>
    <row r="63" spans="1:9">
      <c r="A63" s="4" t="s">
        <v>345</v>
      </c>
      <c r="B63" s="4" t="s">
        <v>224</v>
      </c>
      <c r="C63" s="4" t="s">
        <v>345</v>
      </c>
      <c r="D63" s="4"/>
      <c r="E63" s="4" t="s">
        <v>222</v>
      </c>
      <c r="F63" s="4" t="s">
        <v>220</v>
      </c>
      <c r="G63" s="4"/>
      <c r="H63" s="4"/>
      <c r="I63" s="4"/>
    </row>
    <row r="64" spans="1:9">
      <c r="A64" s="4" t="s">
        <v>346</v>
      </c>
      <c r="B64" s="4" t="s">
        <v>224</v>
      </c>
      <c r="C64" s="4" t="s">
        <v>346</v>
      </c>
      <c r="D64" s="4"/>
      <c r="E64" s="4" t="s">
        <v>222</v>
      </c>
      <c r="F64" s="4" t="s">
        <v>220</v>
      </c>
      <c r="G64" s="4"/>
      <c r="H64" s="4"/>
      <c r="I64" s="4"/>
    </row>
    <row r="65" spans="1:9">
      <c r="A65" s="4" t="s">
        <v>347</v>
      </c>
      <c r="B65" s="4" t="s">
        <v>224</v>
      </c>
      <c r="C65" s="4" t="s">
        <v>347</v>
      </c>
      <c r="D65" s="4"/>
      <c r="E65" s="4" t="s">
        <v>222</v>
      </c>
      <c r="F65" s="4" t="s">
        <v>220</v>
      </c>
      <c r="G65" s="4"/>
      <c r="H65" s="4"/>
      <c r="I65" s="4"/>
    </row>
    <row r="66" spans="1:9">
      <c r="A66" s="4" t="s">
        <v>348</v>
      </c>
      <c r="B66" s="4" t="s">
        <v>224</v>
      </c>
      <c r="C66" s="4" t="s">
        <v>348</v>
      </c>
      <c r="D66" s="4"/>
      <c r="E66" s="4" t="s">
        <v>222</v>
      </c>
      <c r="F66" s="4" t="s">
        <v>220</v>
      </c>
      <c r="G66" s="4"/>
      <c r="H66" s="4"/>
      <c r="I66" s="4"/>
    </row>
    <row r="67" spans="1:9">
      <c r="A67" s="4" t="s">
        <v>349</v>
      </c>
      <c r="B67" s="4" t="s">
        <v>224</v>
      </c>
      <c r="C67" s="4" t="s">
        <v>349</v>
      </c>
      <c r="D67" s="4"/>
      <c r="E67" s="4" t="s">
        <v>222</v>
      </c>
      <c r="F67" s="4" t="s">
        <v>220</v>
      </c>
      <c r="G67" s="4"/>
      <c r="H67" s="4"/>
      <c r="I67" s="4"/>
    </row>
    <row r="68" spans="1:9">
      <c r="A68" s="4" t="s">
        <v>350</v>
      </c>
      <c r="B68" s="4" t="s">
        <v>224</v>
      </c>
      <c r="C68" s="4" t="s">
        <v>350</v>
      </c>
      <c r="D68" s="4"/>
      <c r="E68" s="4" t="s">
        <v>222</v>
      </c>
      <c r="F68" s="4" t="s">
        <v>220</v>
      </c>
      <c r="G68" s="4"/>
      <c r="H68" s="4"/>
      <c r="I68" s="4"/>
    </row>
    <row r="69" spans="1:9">
      <c r="A69" s="3" t="s">
        <v>351</v>
      </c>
      <c r="B69" s="4" t="s">
        <v>224</v>
      </c>
      <c r="C69" s="3" t="s">
        <v>351</v>
      </c>
      <c r="D69" s="3"/>
      <c r="E69" s="4" t="s">
        <v>222</v>
      </c>
      <c r="F69" s="4" t="s">
        <v>220</v>
      </c>
      <c r="G69" s="3"/>
      <c r="H69" s="3"/>
      <c r="I69" s="3"/>
    </row>
    <row r="70" spans="1:9">
      <c r="A70" s="2" t="s">
        <v>353</v>
      </c>
      <c r="B70" s="2" t="s">
        <v>259</v>
      </c>
      <c r="C70" s="2" t="s">
        <v>342</v>
      </c>
      <c r="D70" s="2"/>
      <c r="E70" s="2" t="s">
        <v>260</v>
      </c>
      <c r="F70" s="2" t="s">
        <v>354</v>
      </c>
      <c r="G70" s="2" t="s">
        <v>262</v>
      </c>
      <c r="H70" s="2" t="s">
        <v>264</v>
      </c>
      <c r="I70" s="2"/>
    </row>
    <row r="71" spans="1:9">
      <c r="A71" s="2" t="s">
        <v>355</v>
      </c>
      <c r="B71" s="2" t="s">
        <v>259</v>
      </c>
      <c r="C71" s="2" t="s">
        <v>343</v>
      </c>
      <c r="D71" s="2"/>
      <c r="E71" s="2" t="s">
        <v>260</v>
      </c>
      <c r="F71" s="2" t="s">
        <v>354</v>
      </c>
      <c r="G71" s="2" t="s">
        <v>262</v>
      </c>
      <c r="H71" s="2" t="s">
        <v>264</v>
      </c>
      <c r="I71" s="2"/>
    </row>
    <row r="72" spans="1:9">
      <c r="A72" s="2" t="s">
        <v>356</v>
      </c>
      <c r="B72" s="2" t="s">
        <v>259</v>
      </c>
      <c r="C72" s="2" t="s">
        <v>344</v>
      </c>
      <c r="D72" s="2"/>
      <c r="E72" s="2" t="s">
        <v>260</v>
      </c>
      <c r="F72" s="2" t="s">
        <v>354</v>
      </c>
      <c r="G72" s="2" t="s">
        <v>262</v>
      </c>
      <c r="H72" s="2" t="s">
        <v>264</v>
      </c>
      <c r="I72" s="2"/>
    </row>
    <row r="73" spans="1:9">
      <c r="A73" s="2" t="s">
        <v>357</v>
      </c>
      <c r="B73" s="2" t="s">
        <v>259</v>
      </c>
      <c r="C73" s="2" t="s">
        <v>345</v>
      </c>
      <c r="D73" s="2"/>
      <c r="E73" s="2" t="s">
        <v>260</v>
      </c>
      <c r="F73" s="2" t="s">
        <v>354</v>
      </c>
      <c r="G73" s="2" t="s">
        <v>262</v>
      </c>
      <c r="H73" s="2" t="s">
        <v>264</v>
      </c>
      <c r="I73" s="2"/>
    </row>
    <row r="74" spans="1:9">
      <c r="A74" s="2" t="s">
        <v>358</v>
      </c>
      <c r="B74" s="2" t="s">
        <v>259</v>
      </c>
      <c r="C74" s="2" t="s">
        <v>346</v>
      </c>
      <c r="D74" s="2"/>
      <c r="E74" s="2" t="s">
        <v>260</v>
      </c>
      <c r="F74" s="2" t="s">
        <v>354</v>
      </c>
      <c r="G74" s="2" t="s">
        <v>262</v>
      </c>
      <c r="H74" s="2" t="s">
        <v>264</v>
      </c>
      <c r="I74" s="2"/>
    </row>
    <row r="75" spans="1:9">
      <c r="A75" s="2" t="s">
        <v>359</v>
      </c>
      <c r="B75" s="2" t="s">
        <v>259</v>
      </c>
      <c r="C75" s="2" t="s">
        <v>347</v>
      </c>
      <c r="D75" s="2"/>
      <c r="E75" s="2" t="s">
        <v>260</v>
      </c>
      <c r="F75" s="2" t="s">
        <v>354</v>
      </c>
      <c r="G75" s="2" t="s">
        <v>262</v>
      </c>
      <c r="H75" s="2" t="s">
        <v>264</v>
      </c>
      <c r="I75" s="2"/>
    </row>
    <row r="76" spans="1:9">
      <c r="A76" s="2" t="s">
        <v>360</v>
      </c>
      <c r="B76" s="2" t="s">
        <v>259</v>
      </c>
      <c r="C76" s="2" t="s">
        <v>348</v>
      </c>
      <c r="D76" s="2"/>
      <c r="E76" s="2" t="s">
        <v>260</v>
      </c>
      <c r="F76" s="2" t="s">
        <v>354</v>
      </c>
      <c r="G76" s="2" t="s">
        <v>262</v>
      </c>
      <c r="H76" s="2" t="s">
        <v>264</v>
      </c>
      <c r="I76" s="2"/>
    </row>
    <row r="77" spans="1:9">
      <c r="A77" s="2" t="s">
        <v>361</v>
      </c>
      <c r="B77" s="2" t="s">
        <v>259</v>
      </c>
      <c r="C77" s="2" t="s">
        <v>349</v>
      </c>
      <c r="D77" s="2"/>
      <c r="E77" s="2" t="s">
        <v>260</v>
      </c>
      <c r="F77" s="2" t="s">
        <v>354</v>
      </c>
      <c r="G77" s="2" t="s">
        <v>262</v>
      </c>
      <c r="H77" s="2" t="s">
        <v>264</v>
      </c>
      <c r="I77" s="2"/>
    </row>
    <row r="78" spans="1:9">
      <c r="A78" s="2" t="s">
        <v>362</v>
      </c>
      <c r="B78" s="2" t="s">
        <v>259</v>
      </c>
      <c r="C78" s="2" t="s">
        <v>350</v>
      </c>
      <c r="D78" s="2"/>
      <c r="E78" s="2" t="s">
        <v>260</v>
      </c>
      <c r="F78" s="2" t="s">
        <v>354</v>
      </c>
      <c r="G78" s="2" t="s">
        <v>262</v>
      </c>
      <c r="H78" s="2" t="s">
        <v>264</v>
      </c>
      <c r="I78" s="2"/>
    </row>
    <row r="79" spans="1:9">
      <c r="A79" s="2" t="s">
        <v>363</v>
      </c>
      <c r="B79" s="2" t="s">
        <v>259</v>
      </c>
      <c r="C79" s="2" t="s">
        <v>351</v>
      </c>
      <c r="D79" s="2"/>
      <c r="E79" s="2" t="s">
        <v>260</v>
      </c>
      <c r="F79" s="2" t="s">
        <v>354</v>
      </c>
      <c r="G79" s="2" t="s">
        <v>262</v>
      </c>
      <c r="H79" s="2" t="s">
        <v>264</v>
      </c>
      <c r="I79" s="2"/>
    </row>
    <row r="80" spans="1:9">
      <c r="A80" s="2" t="s">
        <v>364</v>
      </c>
      <c r="B80" s="2" t="s">
        <v>219</v>
      </c>
      <c r="C80" s="2" t="s">
        <v>364</v>
      </c>
      <c r="D80" s="2">
        <v>16</v>
      </c>
      <c r="E80" s="2" t="s">
        <v>222</v>
      </c>
      <c r="F80" s="2"/>
      <c r="G80" s="2"/>
      <c r="H80" s="2"/>
      <c r="I80" s="2"/>
    </row>
    <row r="81" spans="1:9">
      <c r="A81" s="33" t="s">
        <v>365</v>
      </c>
      <c r="B81" s="2" t="s">
        <v>219</v>
      </c>
      <c r="C81" s="2" t="s">
        <v>365</v>
      </c>
      <c r="D81" s="2">
        <v>16</v>
      </c>
      <c r="E81" s="2" t="s">
        <v>222</v>
      </c>
      <c r="F81" s="33"/>
      <c r="G81" s="33"/>
      <c r="H81" s="33"/>
      <c r="I81" s="33"/>
    </row>
  </sheetData>
  <conditionalFormatting sqref="A2:A81">
    <cfRule type="duplicateValues" dxfId="49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topLeftCell="A100" workbookViewId="0">
      <selection activeCell="A113" sqref="A11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41" t="s">
        <v>352</v>
      </c>
      <c r="B2" s="41" t="s">
        <v>10</v>
      </c>
      <c r="C2" s="41" t="str">
        <f>VLOOKUP([Field],Columns[],2,0)&amp;"("</f>
        <v>increments(</v>
      </c>
      <c r="D2" s="41" t="str">
        <f>IF(VLOOKUP([Field],Columns[],3,0)&lt;&gt;"","'"&amp;VLOOKUP([Field],Columns[],3,0)&amp;"'","")</f>
        <v>'id'</v>
      </c>
      <c r="E2" s="42" t="str">
        <f>IF(VLOOKUP([Field],Columns[],4,0)&lt;&gt;0,", "&amp;VLOOKUP([Field],Columns[],4,0)&amp;")",")")</f>
        <v>)</v>
      </c>
      <c r="F2" s="41" t="str">
        <f>IF(VLOOKUP([Field],Columns[],5,0)=0,"","-&gt;"&amp;VLOOKUP([Field],Columns[],5,0))</f>
        <v/>
      </c>
      <c r="G2" s="41" t="str">
        <f>IF(VLOOKUP([Field],Columns[],6,0)=0,"","-&gt;"&amp;VLOOKUP([Field],Columns[],6,0))</f>
        <v/>
      </c>
      <c r="H2" s="41" t="str">
        <f>IF(VLOOKUP([Field],Columns[],7,0)=0,"","-&gt;"&amp;VLOOKUP([Field],Columns[],7,0))</f>
        <v/>
      </c>
      <c r="I2" s="41" t="str">
        <f>IF(VLOOKUP([Field],Columns[],8,0)=0,"","-&gt;"&amp;VLOOKUP([Field],Columns[],8,0))</f>
        <v/>
      </c>
      <c r="J2" s="41" t="str">
        <f>IF(VLOOKUP([Field],Columns[],9,0)=0,"","-&gt;"&amp;VLOOKUP([Field],Columns[],9,0))</f>
        <v/>
      </c>
      <c r="K2" s="41" t="str">
        <f>"$table-&gt;"&amp;[Type]&amp;[Name]&amp;[Arg2]&amp;[Method1]&amp;[Method2]&amp;[Method3]&amp;[Method4]&amp;[Method5]&amp;";"</f>
        <v>$table-&gt;increments('id');</v>
      </c>
    </row>
    <row r="3" spans="1:11">
      <c r="A3" s="41" t="s">
        <v>352</v>
      </c>
      <c r="B3" s="41" t="s">
        <v>336</v>
      </c>
      <c r="C3" s="41" t="str">
        <f>VLOOKUP([Field],Columns[],2,0)&amp;"("</f>
        <v>string(</v>
      </c>
      <c r="D3" s="41" t="str">
        <f>IF(VLOOKUP([Field],Columns[],3,0)&lt;&gt;"","'"&amp;VLOOKUP([Field],Columns[],3,0)&amp;"'","")</f>
        <v>'refno'</v>
      </c>
      <c r="E3" s="42" t="str">
        <f>IF(VLOOKUP([Field],Columns[],4,0)&lt;&gt;0,", "&amp;VLOOKUP([Field],Columns[],4,0)&amp;")",")")</f>
        <v>, 60)</v>
      </c>
      <c r="F3" s="41" t="str">
        <f>IF(VLOOKUP([Field],Columns[],5,0)=0,"","-&gt;"&amp;VLOOKUP([Field],Columns[],5,0))</f>
        <v>-&gt;nullable()</v>
      </c>
      <c r="G3" s="41" t="str">
        <f>IF(VLOOKUP([Field],Columns[],6,0)=0,"","-&gt;"&amp;VLOOKUP([Field],Columns[],6,0))</f>
        <v/>
      </c>
      <c r="H3" s="41" t="str">
        <f>IF(VLOOKUP([Field],Columns[],7,0)=0,"","-&gt;"&amp;VLOOKUP([Field],Columns[],7,0))</f>
        <v/>
      </c>
      <c r="I3" s="41" t="str">
        <f>IF(VLOOKUP([Field],Columns[],8,0)=0,"","-&gt;"&amp;VLOOKUP([Field],Columns[],8,0))</f>
        <v/>
      </c>
      <c r="J3" s="41" t="str">
        <f>IF(VLOOKUP([Field],Columns[],9,0)=0,"","-&gt;"&amp;VLOOKUP([Field],Columns[],9,0))</f>
        <v/>
      </c>
      <c r="K3" s="41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41" t="s">
        <v>352</v>
      </c>
      <c r="B4" s="41" t="s">
        <v>364</v>
      </c>
      <c r="C4" s="41" t="str">
        <f>VLOOKUP([Field],Columns[],2,0)&amp;"("</f>
        <v>string(</v>
      </c>
      <c r="D4" s="41" t="str">
        <f>IF(VLOOKUP([Field],Columns[],3,0)&lt;&gt;"","'"&amp;VLOOKUP([Field],Columns[],3,0)&amp;"'","")</f>
        <v>'catecode'</v>
      </c>
      <c r="E4" s="42" t="str">
        <f>IF(VLOOKUP([Field],Columns[],4,0)&lt;&gt;0,", "&amp;VLOOKUP([Field],Columns[],4,0)&amp;")",")")</f>
        <v>, 16)</v>
      </c>
      <c r="F4" s="41" t="str">
        <f>IF(VLOOKUP([Field],Columns[],5,0)=0,"","-&gt;"&amp;VLOOKUP([Field],Columns[],5,0))</f>
        <v>-&gt;nullable()</v>
      </c>
      <c r="G4" s="41" t="str">
        <f>IF(VLOOKUP([Field],Columns[],6,0)=0,"","-&gt;"&amp;VLOOKUP([Field],Columns[],6,0))</f>
        <v/>
      </c>
      <c r="H4" s="41" t="str">
        <f>IF(VLOOKUP([Field],Columns[],7,0)=0,"","-&gt;"&amp;VLOOKUP([Field],Columns[],7,0))</f>
        <v/>
      </c>
      <c r="I4" s="41" t="str">
        <f>IF(VLOOKUP([Field],Columns[],8,0)=0,"","-&gt;"&amp;VLOOKUP([Field],Columns[],8,0))</f>
        <v/>
      </c>
      <c r="J4" s="41" t="str">
        <f>IF(VLOOKUP([Field],Columns[],9,0)=0,"","-&gt;"&amp;VLOOKUP([Field],Columns[],9,0))</f>
        <v/>
      </c>
      <c r="K4" s="41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41" t="s">
        <v>352</v>
      </c>
      <c r="B5" s="41" t="s">
        <v>365</v>
      </c>
      <c r="C5" s="41" t="str">
        <f>VLOOKUP([Field],Columns[],2,0)&amp;"("</f>
        <v>string(</v>
      </c>
      <c r="D5" s="41" t="str">
        <f>IF(VLOOKUP([Field],Columns[],3,0)&lt;&gt;"","'"&amp;VLOOKUP([Field],Columns[],3,0)&amp;"'","")</f>
        <v>'gcode'</v>
      </c>
      <c r="E5" s="42" t="str">
        <f>IF(VLOOKUP([Field],Columns[],4,0)&lt;&gt;0,", "&amp;VLOOKUP([Field],Columns[],4,0)&amp;")",")")</f>
        <v>, 16)</v>
      </c>
      <c r="F5" s="41" t="str">
        <f>IF(VLOOKUP([Field],Columns[],5,0)=0,"","-&gt;"&amp;VLOOKUP([Field],Columns[],5,0))</f>
        <v>-&gt;nullable()</v>
      </c>
      <c r="G5" s="41" t="str">
        <f>IF(VLOOKUP([Field],Columns[],6,0)=0,"","-&gt;"&amp;VLOOKUP([Field],Columns[],6,0))</f>
        <v/>
      </c>
      <c r="H5" s="41" t="str">
        <f>IF(VLOOKUP([Field],Columns[],7,0)=0,"","-&gt;"&amp;VLOOKUP([Field],Columns[],7,0))</f>
        <v/>
      </c>
      <c r="I5" s="41" t="str">
        <f>IF(VLOOKUP([Field],Columns[],8,0)=0,"","-&gt;"&amp;VLOOKUP([Field],Columns[],8,0))</f>
        <v/>
      </c>
      <c r="J5" s="41" t="str">
        <f>IF(VLOOKUP([Field],Columns[],9,0)=0,"","-&gt;"&amp;VLOOKUP([Field],Columns[],9,0))</f>
        <v/>
      </c>
      <c r="K5" s="41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41" t="s">
        <v>352</v>
      </c>
      <c r="B6" s="41" t="s">
        <v>95</v>
      </c>
      <c r="C6" s="41" t="str">
        <f>VLOOKUP([Field],Columns[],2,0)&amp;"("</f>
        <v>string(</v>
      </c>
      <c r="D6" s="41" t="str">
        <f>IF(VLOOKUP([Field],Columns[],3,0)&lt;&gt;"","'"&amp;VLOOKUP([Field],Columns[],3,0)&amp;"'","")</f>
        <v>'name'</v>
      </c>
      <c r="E6" s="42" t="str">
        <f>IF(VLOOKUP([Field],Columns[],4,0)&lt;&gt;0,", "&amp;VLOOKUP([Field],Columns[],4,0)&amp;")",")")</f>
        <v>, 64)</v>
      </c>
      <c r="F6" s="41" t="str">
        <f>IF(VLOOKUP([Field],Columns[],5,0)=0,"","-&gt;"&amp;VLOOKUP([Field],Columns[],5,0))</f>
        <v>-&gt;index()</v>
      </c>
      <c r="G6" s="41" t="str">
        <f>IF(VLOOKUP([Field],Columns[],6,0)=0,"","-&gt;"&amp;VLOOKUP([Field],Columns[],6,0))</f>
        <v/>
      </c>
      <c r="H6" s="41" t="str">
        <f>IF(VLOOKUP([Field],Columns[],7,0)=0,"","-&gt;"&amp;VLOOKUP([Field],Columns[],7,0))</f>
        <v/>
      </c>
      <c r="I6" s="41" t="str">
        <f>IF(VLOOKUP([Field],Columns[],8,0)=0,"","-&gt;"&amp;VLOOKUP([Field],Columns[],8,0))</f>
        <v/>
      </c>
      <c r="J6" s="41" t="str">
        <f>IF(VLOOKUP([Field],Columns[],9,0)=0,"","-&gt;"&amp;VLOOKUP([Field],Columns[],9,0))</f>
        <v/>
      </c>
      <c r="K6" s="41" t="str">
        <f>"$table-&gt;"&amp;[Type]&amp;[Name]&amp;[Arg2]&amp;[Method1]&amp;[Method2]&amp;[Method3]&amp;[Method4]&amp;[Method5]&amp;";"</f>
        <v>$table-&gt;string('name', 64)-&gt;index();</v>
      </c>
    </row>
    <row r="7" spans="1:11">
      <c r="A7" s="41" t="s">
        <v>352</v>
      </c>
      <c r="B7" s="41" t="s">
        <v>238</v>
      </c>
      <c r="C7" s="41" t="str">
        <f>VLOOKUP([Field],Columns[],2,0)&amp;"("</f>
        <v>enum(</v>
      </c>
      <c r="D7" s="41" t="str">
        <f>IF(VLOOKUP([Field],Columns[],3,0)&lt;&gt;"","'"&amp;VLOOKUP([Field],Columns[],3,0)&amp;"'","")</f>
        <v>'type'</v>
      </c>
      <c r="E7" s="42" t="str">
        <f>IF(VLOOKUP([Field],Columns[],4,0)&lt;&gt;0,", "&amp;VLOOKUP([Field],Columns[],4,0)&amp;")",")")</f>
        <v>, ['Public','Private'])</v>
      </c>
      <c r="F7" s="41" t="str">
        <f>IF(VLOOKUP([Field],Columns[],5,0)=0,"","-&gt;"&amp;VLOOKUP([Field],Columns[],5,0))</f>
        <v>-&gt;default('Public')</v>
      </c>
      <c r="G7" s="41" t="str">
        <f>IF(VLOOKUP([Field],Columns[],6,0)=0,"","-&gt;"&amp;VLOOKUP([Field],Columns[],6,0))</f>
        <v>-&gt;index()</v>
      </c>
      <c r="H7" s="41" t="str">
        <f>IF(VLOOKUP([Field],Columns[],7,0)=0,"","-&gt;"&amp;VLOOKUP([Field],Columns[],7,0))</f>
        <v/>
      </c>
      <c r="I7" s="41" t="str">
        <f>IF(VLOOKUP([Field],Columns[],8,0)=0,"","-&gt;"&amp;VLOOKUP([Field],Columns[],8,0))</f>
        <v/>
      </c>
      <c r="J7" s="41" t="str">
        <f>IF(VLOOKUP([Field],Columns[],9,0)=0,"","-&gt;"&amp;VLOOKUP([Field],Columns[],9,0))</f>
        <v/>
      </c>
      <c r="K7" s="41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41" t="s">
        <v>352</v>
      </c>
      <c r="B8" s="41" t="s">
        <v>226</v>
      </c>
      <c r="C8" s="41" t="str">
        <f>VLOOKUP([Field],Columns[],2,0)&amp;"("</f>
        <v>enum(</v>
      </c>
      <c r="D8" s="41" t="str">
        <f>IF(VLOOKUP([Field],Columns[],3,0)&lt;&gt;"","'"&amp;VLOOKUP([Field],Columns[],3,0)&amp;"'","")</f>
        <v>'status'</v>
      </c>
      <c r="E8" s="42" t="str">
        <f>IF(VLOOKUP([Field],Columns[],4,0)&lt;&gt;0,", "&amp;VLOOKUP([Field],Columns[],4,0)&amp;")",")")</f>
        <v>, ['Active','Inactive'])</v>
      </c>
      <c r="F8" s="41" t="str">
        <f>IF(VLOOKUP([Field],Columns[],5,0)=0,"","-&gt;"&amp;VLOOKUP([Field],Columns[],5,0))</f>
        <v>-&gt;default('Active')</v>
      </c>
      <c r="G8" s="41" t="str">
        <f>IF(VLOOKUP([Field],Columns[],6,0)=0,"","-&gt;"&amp;VLOOKUP([Field],Columns[],6,0))</f>
        <v>-&gt;index()</v>
      </c>
      <c r="H8" s="41" t="str">
        <f>IF(VLOOKUP([Field],Columns[],7,0)=0,"","-&gt;"&amp;VLOOKUP([Field],Columns[],7,0))</f>
        <v/>
      </c>
      <c r="I8" s="41" t="str">
        <f>IF(VLOOKUP([Field],Columns[],8,0)=0,"","-&gt;"&amp;VLOOKUP([Field],Columns[],8,0))</f>
        <v/>
      </c>
      <c r="J8" s="41" t="str">
        <f>IF(VLOOKUP([Field],Columns[],9,0)=0,"","-&gt;"&amp;VLOOKUP([Field],Columns[],9,0))</f>
        <v/>
      </c>
      <c r="K8" s="41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41" t="s">
        <v>352</v>
      </c>
      <c r="B9" s="41" t="s">
        <v>12</v>
      </c>
      <c r="C9" s="41" t="str">
        <f>VLOOKUP([Field],Columns[],2,0)&amp;"("</f>
        <v>timestamps(</v>
      </c>
      <c r="D9" s="41" t="str">
        <f>IF(VLOOKUP([Field],Columns[],3,0)&lt;&gt;"","'"&amp;VLOOKUP([Field],Columns[],3,0)&amp;"'","")</f>
        <v/>
      </c>
      <c r="E9" s="42" t="str">
        <f>IF(VLOOKUP([Field],Columns[],4,0)&lt;&gt;0,", "&amp;VLOOKUP([Field],Columns[],4,0)&amp;")",")")</f>
        <v>)</v>
      </c>
      <c r="F9" s="41" t="str">
        <f>IF(VLOOKUP([Field],Columns[],5,0)=0,"","-&gt;"&amp;VLOOKUP([Field],Columns[],5,0))</f>
        <v/>
      </c>
      <c r="G9" s="41" t="str">
        <f>IF(VLOOKUP([Field],Columns[],6,0)=0,"","-&gt;"&amp;VLOOKUP([Field],Columns[],6,0))</f>
        <v/>
      </c>
      <c r="H9" s="41" t="str">
        <f>IF(VLOOKUP([Field],Columns[],7,0)=0,"","-&gt;"&amp;VLOOKUP([Field],Columns[],7,0))</f>
        <v/>
      </c>
      <c r="I9" s="41" t="str">
        <f>IF(VLOOKUP([Field],Columns[],8,0)=0,"","-&gt;"&amp;VLOOKUP([Field],Columns[],8,0))</f>
        <v/>
      </c>
      <c r="J9" s="41" t="str">
        <f>IF(VLOOKUP([Field],Columns[],9,0)=0,"","-&gt;"&amp;VLOOKUP([Field],Columns[],9,0))</f>
        <v/>
      </c>
      <c r="K9" s="41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50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50</v>
      </c>
      <c r="B11" s="3" t="s">
        <v>325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50</v>
      </c>
      <c r="B12" s="3" t="s">
        <v>232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50</v>
      </c>
      <c r="B13" s="2" t="s">
        <v>96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50</v>
      </c>
      <c r="B14" s="3" t="s">
        <v>326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50</v>
      </c>
      <c r="B15" s="3" t="s">
        <v>327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50</v>
      </c>
      <c r="B16" s="3" t="s">
        <v>328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50</v>
      </c>
      <c r="B17" s="3" t="s">
        <v>329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50</v>
      </c>
      <c r="B18" s="3" t="s">
        <v>330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50</v>
      </c>
      <c r="B19" s="3" t="s">
        <v>331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50</v>
      </c>
      <c r="B20" s="3" t="s">
        <v>332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50</v>
      </c>
      <c r="B21" s="3" t="s">
        <v>333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50</v>
      </c>
      <c r="B22" s="3" t="s">
        <v>334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50</v>
      </c>
      <c r="B23" s="3" t="s">
        <v>335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50</v>
      </c>
      <c r="B24" s="3" t="s">
        <v>336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50</v>
      </c>
      <c r="B25" s="3" t="s">
        <v>337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50</v>
      </c>
      <c r="B26" s="3" t="s">
        <v>338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50</v>
      </c>
      <c r="B27" s="4" t="s">
        <v>341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50</v>
      </c>
      <c r="B28" s="3" t="s">
        <v>342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50</v>
      </c>
      <c r="B29" s="4" t="s">
        <v>343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50</v>
      </c>
      <c r="B30" s="4" t="s">
        <v>344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50</v>
      </c>
      <c r="B31" s="4" t="s">
        <v>345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50</v>
      </c>
      <c r="B32" s="4" t="s">
        <v>346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50</v>
      </c>
      <c r="B33" s="4" t="s">
        <v>347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50</v>
      </c>
      <c r="B34" s="4" t="s">
        <v>348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50</v>
      </c>
      <c r="B35" s="4" t="s">
        <v>349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50</v>
      </c>
      <c r="B36" s="4" t="s">
        <v>350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50</v>
      </c>
      <c r="B37" s="4" t="s">
        <v>351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50</v>
      </c>
      <c r="B38" s="2" t="s">
        <v>226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50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50</v>
      </c>
      <c r="B40" s="1" t="s">
        <v>353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50</v>
      </c>
      <c r="B41" s="1" t="s">
        <v>355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50</v>
      </c>
      <c r="B42" s="1" t="s">
        <v>356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50</v>
      </c>
      <c r="B43" s="1" t="s">
        <v>357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50</v>
      </c>
      <c r="B44" s="1" t="s">
        <v>358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50</v>
      </c>
      <c r="B45" s="1" t="s">
        <v>359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50</v>
      </c>
      <c r="B46" s="1" t="s">
        <v>360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50</v>
      </c>
      <c r="B47" s="1" t="s">
        <v>361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50</v>
      </c>
      <c r="B48" s="1" t="s">
        <v>362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50</v>
      </c>
      <c r="B49" s="2" t="s">
        <v>363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210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210</v>
      </c>
      <c r="B51" s="3" t="s">
        <v>325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210</v>
      </c>
      <c r="B52" s="3" t="s">
        <v>242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210</v>
      </c>
      <c r="B53" s="3" t="s">
        <v>243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210</v>
      </c>
      <c r="B54" s="3" t="s">
        <v>244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210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210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210</v>
      </c>
      <c r="B57" s="3" t="s">
        <v>267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211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211</v>
      </c>
      <c r="B59" s="3" t="s">
        <v>95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211</v>
      </c>
      <c r="B60" s="3" t="s">
        <v>168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211</v>
      </c>
      <c r="B61" s="3" t="s">
        <v>221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211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213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213</v>
      </c>
      <c r="B64" s="3" t="s">
        <v>95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213</v>
      </c>
      <c r="B65" s="3" t="s">
        <v>96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213</v>
      </c>
      <c r="B66" s="3" t="s">
        <v>223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213</v>
      </c>
      <c r="B67" s="3" t="s">
        <v>226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213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213</v>
      </c>
      <c r="B69" s="3" t="s">
        <v>271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215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215</v>
      </c>
      <c r="B71" s="3" t="s">
        <v>253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215</v>
      </c>
      <c r="B72" s="3" t="s">
        <v>212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215</v>
      </c>
      <c r="B73" s="3" t="s">
        <v>254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215</v>
      </c>
      <c r="B74" s="3" t="s">
        <v>226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215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215</v>
      </c>
      <c r="B76" s="3" t="s">
        <v>269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215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217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217</v>
      </c>
      <c r="B79" s="3" t="s">
        <v>212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217</v>
      </c>
      <c r="B80" s="3" t="s">
        <v>256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217</v>
      </c>
      <c r="B81" s="3" t="s">
        <v>276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217</v>
      </c>
      <c r="B82" s="3" t="s">
        <v>226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217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217</v>
      </c>
      <c r="B84" s="3" t="s">
        <v>272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217</v>
      </c>
      <c r="B85" s="3" t="s">
        <v>271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214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214</v>
      </c>
      <c r="B87" s="3" t="s">
        <v>212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214</v>
      </c>
      <c r="B88" s="3" t="s">
        <v>242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214</v>
      </c>
      <c r="B89" s="3" t="s">
        <v>248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214</v>
      </c>
      <c r="B90" s="3" t="s">
        <v>249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214</v>
      </c>
      <c r="B91" s="3" t="s">
        <v>250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214</v>
      </c>
      <c r="B92" s="3" t="s">
        <v>251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214</v>
      </c>
      <c r="B93" s="3" t="s">
        <v>252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214</v>
      </c>
      <c r="B94" s="3" t="s">
        <v>226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214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214</v>
      </c>
      <c r="B96" s="3" t="s">
        <v>272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214</v>
      </c>
      <c r="B97" s="3" t="s">
        <v>267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214</v>
      </c>
      <c r="B98" s="3" t="s">
        <v>277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214</v>
      </c>
      <c r="B99" s="3" t="s">
        <v>278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218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218</v>
      </c>
      <c r="B101" s="3" t="s">
        <v>257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218</v>
      </c>
      <c r="B102" s="3" t="s">
        <v>256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218</v>
      </c>
      <c r="B103" s="3" t="s">
        <v>276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218</v>
      </c>
      <c r="B104" s="3" t="s">
        <v>226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218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218</v>
      </c>
      <c r="B106" s="3" t="s">
        <v>274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218</v>
      </c>
      <c r="B107" s="3" t="s">
        <v>271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216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216</v>
      </c>
      <c r="B109" s="3" t="s">
        <v>212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216</v>
      </c>
      <c r="B110" s="3" t="s">
        <v>226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216</v>
      </c>
      <c r="B111" s="3" t="s">
        <v>254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216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216</v>
      </c>
      <c r="B113" s="3" t="s">
        <v>272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1"/>
  <sheetViews>
    <sheetView topLeftCell="B1" workbookViewId="0">
      <selection activeCell="C67" sqref="C6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94</v>
      </c>
      <c r="C2" s="12">
        <f>IF(COUNTIF($B$1:$B1,[Table Name])=0,0,IF(ISNUMBER(VLOOKUP([Table Name],SeedMap[],6,0)),COUNTIF($B$1:$B1,[Table Name])+VLOOKUP([Table Name],SeedMap[],6,0),COUNTIF($B$1:$B1,[Table Name])))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98</v>
      </c>
      <c r="C3" s="31">
        <f>IF(COUNTIF($B$1:$B2,[Table Name])=0,0,IF(ISNUMBER(VLOOKUP([Table Name],SeedMap[],6,0)),COUNTIF($B$1:$B2,[Table Name])+VLOOKUP([Table Name],SeedMap[],6,0),COUNTIF($B$1:$B2,[Table Name])))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99</v>
      </c>
      <c r="C4" s="31">
        <f>IF(COUNTIF($B$1:$B3,[Table Name])=0,0,IF(ISNUMBER(VLOOKUP([Table Name],SeedMap[],6,0)),COUNTIF($B$1:$B3,[Table Name])+VLOOKUP([Table Name],SeedMap[],6,0),COUNTIF($B$1:$B3,[Table Name])))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Resources-0</v>
      </c>
      <c r="B5" s="32" t="s">
        <v>102</v>
      </c>
      <c r="C5" s="31">
        <f>IF(COUNTIF($B$1:$B4,[Table Name])=0,0,IF(ISNUMBER(VLOOKUP([Table Name],SeedMap[],6,0)),COUNTIF($B$1:$B4,[Table Name])+VLOOKUP([Table Name],SeedMap[],6,0),COUNTIF($B$1:$B4,[Table Name])))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108</v>
      </c>
      <c r="C6" s="31">
        <f>IF(COUNTIF($B$1:$B5,[Table Name])=0,0,IF(ISNUMBER(VLOOKUP([Table Name],SeedMap[],6,0)),COUNTIF($B$1:$B5,[Table Name])+VLOOKUP([Table Name],SeedMap[],6,0),COUNTIF($B$1:$B5,[Table Name])))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Name]&amp;"-"&amp;(COUNTIF($B$1:TableData[[#This Row],[Table Name]],TableData[[#This Row],[Table Name]])-1)</f>
        <v>Resource Relations-0</v>
      </c>
      <c r="B7" s="32" t="s">
        <v>112</v>
      </c>
      <c r="C7" s="31">
        <f>IF(COUNTIF($B$1:$B6,[Table Name])=0,0,IF(ISNUMBER(VLOOKUP([Table Name],SeedMap[],6,0)),COUNTIF($B$1:$B6,[Table Name])+VLOOKUP([Table Name],SeedMap[],6,0),COUNTIF($B$1:$B6,[Table Name])))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116</v>
      </c>
      <c r="C8" s="31">
        <f>IF(COUNTIF($B$1:$B7,[Table Name])=0,0,IF(ISNUMBER(VLOOKUP([Table Name],SeedMap[],6,0)),COUNTIF($B$1:$B7,[Table Name])+VLOOKUP([Table Name],SeedMap[],6,0),COUNTIF($B$1:$B7,[Table Name])))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2" t="s">
        <v>117</v>
      </c>
      <c r="C9" s="31">
        <f>IF(COUNTIF($B$1:$B8,[Table Name])=0,0,IF(ISNUMBER(VLOOKUP([Table Name],SeedMap[],6,0)),COUNTIF($B$1:$B8,[Table Name])+VLOOKUP([Table Name],SeedMap[],6,0),COUNTIF($B$1:$B8,[Table Name])))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2" t="s">
        <v>118</v>
      </c>
      <c r="C10" s="31">
        <f>IF(COUNTIF($B$1:$B9,[Table Name])=0,0,IF(ISNUMBER(VLOOKUP([Table Name],SeedMap[],6,0)),COUNTIF($B$1:$B9,[Table Name])+VLOOKUP([Table Name],SeedMap[],6,0),COUNTIF($B$1:$B9,[Table Name])))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121</v>
      </c>
      <c r="C11" s="31">
        <f>IF(COUNTIF($B$1:$B10,[Table Name])=0,0,IF(ISNUMBER(VLOOKUP([Table Name],SeedMap[],6,0)),COUNTIF($B$1:$B10,[Table Name])+VLOOKUP([Table Name],SeedMap[],6,0),COUNTIF($B$1:$B10,[Table Name])))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123</v>
      </c>
      <c r="C12" s="31">
        <f>IF(COUNTIF($B$1:$B11,[Table Name])=0,0,IF(ISNUMBER(VLOOKUP([Table Name],SeedMap[],6,0)),COUNTIF($B$1:$B11,[Table Name])+VLOOKUP([Table Name],SeedMap[],6,0),COUNTIF($B$1:$B11,[Table Name])))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127</v>
      </c>
      <c r="C13" s="31">
        <f>IF(COUNTIF($B$1:$B12,[Table Name])=0,0,IF(ISNUMBER(VLOOKUP([Table Name],SeedMap[],6,0)),COUNTIF($B$1:$B12,[Table Name])+VLOOKUP([Table Name],SeedMap[],6,0),COUNTIF($B$1:$B12,[Table Name])))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134</v>
      </c>
      <c r="C14" s="31">
        <f>IF(COUNTIF($B$1:$B13,[Table Name])=0,0,IF(ISNUMBER(VLOOKUP([Table Name],SeedMap[],6,0)),COUNTIF($B$1:$B13,[Table Name])+VLOOKUP([Table Name],SeedMap[],6,0),COUNTIF($B$1:$B13,[Table Name])))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138</v>
      </c>
      <c r="C15" s="31">
        <f>IF(COUNTIF($B$1:$B14,[Table Name])=0,0,IF(ISNUMBER(VLOOKUP([Table Name],SeedMap[],6,0)),COUNTIF($B$1:$B14,[Table Name])+VLOOKUP([Table Name],SeedMap[],6,0),COUNTIF($B$1:$B14,[Table Name])))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145</v>
      </c>
      <c r="C16" s="31">
        <f>IF(COUNTIF($B$1:$B15,[Table Name])=0,0,IF(ISNUMBER(VLOOKUP([Table Name],SeedMap[],6,0)),COUNTIF($B$1:$B15,[Table Name])+VLOOKUP([Table Name],SeedMap[],6,0),COUNTIF($B$1:$B15,[Table Name])))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147</v>
      </c>
      <c r="C17" s="31">
        <f>IF(COUNTIF($B$1:$B16,[Table Name])=0,0,IF(ISNUMBER(VLOOKUP([Table Name],SeedMap[],6,0)),COUNTIF($B$1:$B16,[Table Name])+VLOOKUP([Table Name],SeedMap[],6,0),COUNTIF($B$1:$B16,[Table Name])))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155</v>
      </c>
      <c r="C18" s="31">
        <f>IF(COUNTIF($B$1:$B17,[Table Name])=0,0,IF(ISNUMBER(VLOOKUP([Table Name],SeedMap[],6,0)),COUNTIF($B$1:$B17,[Table Name])+VLOOKUP([Table Name],SeedMap[],6,0),COUNTIF($B$1:$B17,[Table Name])))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156</v>
      </c>
      <c r="C19" s="31">
        <f>IF(COUNTIF($B$1:$B18,[Table Name])=0,0,IF(ISNUMBER(VLOOKUP([Table Name],SeedMap[],6,0)),COUNTIF($B$1:$B18,[Table Name])+VLOOKUP([Table Name],SeedMap[],6,0),COUNTIF($B$1:$B18,[Table Name])))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157</v>
      </c>
      <c r="C20" s="31">
        <f>IF(COUNTIF($B$1:$B19,[Table Name])=0,0,IF(ISNUMBER(VLOOKUP([Table Name],SeedMap[],6,0)),COUNTIF($B$1:$B19,[Table Name])+VLOOKUP([Table Name],SeedMap[],6,0),COUNTIF($B$1:$B19,[Table Name])))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Name]&amp;"-"&amp;(COUNTIF($B$1:TableData[[#This Row],[Table Name]],TableData[[#This Row],[Table Name]])-1)</f>
        <v>Resource List Layout-0</v>
      </c>
      <c r="B21" s="32" t="s">
        <v>159</v>
      </c>
      <c r="C21" s="31">
        <f>IF(COUNTIF($B$1:$B20,[Table Name])=0,0,IF(ISNUMBER(VLOOKUP([Table Name],SeedMap[],6,0)),COUNTIF($B$1:$B20,[Table Name])+VLOOKUP([Table Name],SeedMap[],6,0),COUNTIF($B$1:$B20,[Table Name])))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Form Layout-0</v>
      </c>
      <c r="B22" s="32" t="s">
        <v>161</v>
      </c>
      <c r="C22" s="31">
        <f>IF(COUNTIF($B$1:$B21,[Table Name])=0,0,IF(ISNUMBER(VLOOKUP([Table Name],SeedMap[],6,0)),COUNTIF($B$1:$B21,[Table Name])+VLOOKUP([Table Name],SeedMap[],6,0),COUNTIF($B$1:$B21,[Table Name])))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Name]&amp;"-"&amp;(COUNTIF($B$1:TableData[[#This Row],[Table Name]],TableData[[#This Row],[Table Name]])-1)</f>
        <v>Data View Section-0</v>
      </c>
      <c r="B23" s="32" t="s">
        <v>163</v>
      </c>
      <c r="C23" s="31">
        <f>IF(COUNTIF($B$1:$B22,[Table Name])=0,0,IF(ISNUMBER(VLOOKUP([Table Name],SeedMap[],6,0)),COUNTIF($B$1:$B22,[Table Name])+VLOOKUP([Table Name],SeedMap[],6,0),COUNTIF($B$1:$B22,[Table Name])))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Name]&amp;"-"&amp;(COUNTIF($B$1:TableData[[#This Row],[Table Name]],TableData[[#This Row],[Table Name]])-1)</f>
        <v>Data View Section Items-0</v>
      </c>
      <c r="B24" s="32" t="s">
        <v>164</v>
      </c>
      <c r="C24" s="31">
        <f>IF(COUNTIF($B$1:$B23,[Table Name])=0,0,IF(ISNUMBER(VLOOKUP([Table Name],SeedMap[],6,0)),COUNTIF($B$1:$B23,[Table Name])+VLOOKUP([Table Name],SeedMap[],6,0),COUNTIF($B$1:$B23,[Table Name])))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Resource Action Data-0</v>
      </c>
      <c r="B25" s="32" t="s">
        <v>166</v>
      </c>
      <c r="C25" s="31">
        <f>IF(COUNTIF($B$1:$B24,[Table Name])=0,0,IF(ISNUMBER(VLOOKUP([Table Name],SeedMap[],6,0)),COUNTIF($B$1:$B24,[Table Name])+VLOOKUP([Table Name],SeedMap[],6,0),COUNTIF($B$1:$B24,[Table Name])))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Name]&amp;"-"&amp;(COUNTIF($B$1:TableData[[#This Row],[Table Name]],TableData[[#This Row],[Table Name]])-1)</f>
        <v>Users-0</v>
      </c>
      <c r="B26" s="30" t="s">
        <v>167</v>
      </c>
      <c r="C26" s="29">
        <f>IF(COUNTIF($B$1:$B25,[Table Name])=0,0,IF(ISNUMBER(VLOOKUP([Table Name],SeedMap[],6,0)),COUNTIF($B$1:$B25,[Table Name])+VLOOKUP([Table Name],SeedMap[],6,0),COUNTIF($B$1:$B25,[Table Name])))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Name]&amp;"-"&amp;(COUNTIF($B$1:TableData[[#This Row],[Table Name]],TableData[[#This Row],[Table Name]])-1)</f>
        <v>Field Options-0</v>
      </c>
      <c r="B27" s="30" t="s">
        <v>170</v>
      </c>
      <c r="C27" s="29">
        <f>IF(COUNTIF($B$1:$B26,[Table Name])=0,0,IF(ISNUMBER(VLOOKUP([Table Name],SeedMap[],6,0)),COUNTIF($B$1:$B26,[Table Name])+VLOOKUP([Table Name],SeedMap[],6,0),COUNTIF($B$1:$B26,[Table Name])))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Name]&amp;"-"&amp;(COUNTIF($B$1:TableData[[#This Row],[Table Name]],TableData[[#This Row],[Table Name]])-1)</f>
        <v>Form Collection-0</v>
      </c>
      <c r="B28" s="30" t="s">
        <v>175</v>
      </c>
      <c r="C28" s="29">
        <f>IF(COUNTIF($B$1:$B27,[Table Name])=0,0,IF(ISNUMBER(VLOOKUP([Table Name],SeedMap[],6,0)),COUNTIF($B$1:$B27,[Table Name])+VLOOKUP([Table Name],SeedMap[],6,0),COUNTIF($B$1:$B27,[Table Name])))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Name]&amp;"-"&amp;(COUNTIF($B$1:TableData[[#This Row],[Table Name]],TableData[[#This Row],[Table Name]])-1)</f>
        <v>Data Scopes-0</v>
      </c>
      <c r="B29" s="32" t="s">
        <v>178</v>
      </c>
      <c r="C29" s="31">
        <f>IF(COUNTIF($B$1:$B28,[Table Name])=0,0,IF(ISNUMBER(VLOOKUP([Table Name],SeedMap[],6,0)),COUNTIF($B$1:$B28,[Table Name])+VLOOKUP([Table Name],SeedMap[],6,0),COUNTIF($B$1:$B28,[Table Name])))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Name]&amp;"-"&amp;(COUNTIF($B$1:TableData[[#This Row],[Table Name]],TableData[[#This Row],[Table Name]])-1)</f>
        <v>Resource List Search-0</v>
      </c>
      <c r="B30" s="32" t="s">
        <v>179</v>
      </c>
      <c r="C30" s="31">
        <f>IF(COUNTIF($B$1:$B29,[Table Name])=0,0,IF(ISNUMBER(VLOOKUP([Table Name],SeedMap[],6,0)),COUNTIF($B$1:$B29,[Table Name])+VLOOKUP([Table Name],SeedMap[],6,0),COUNTIF($B$1:$B29,[Table Name])))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Name]&amp;"-"&amp;(COUNTIF($B$1:TableData[[#This Row],[Table Name]],TableData[[#This Row],[Table Name]])-1)</f>
        <v>Field Depends-0</v>
      </c>
      <c r="B31" s="32" t="s">
        <v>180</v>
      </c>
      <c r="C31" s="31">
        <f>IF(COUNTIF($B$1:$B30,[Table Name])=0,0,IF(ISNUMBER(VLOOKUP([Table Name],SeedMap[],6,0)),COUNTIF($B$1:$B30,[Table Name])+VLOOKUP([Table Name],SeedMap[],6,0),COUNTIF($B$1:$B30,[Table Name])))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Name]&amp;"-"&amp;(COUNTIF($B$1:TableData[[#This Row],[Table Name]],TableData[[#This Row],[Table Name]])-1)</f>
        <v>Dashboard-0</v>
      </c>
      <c r="B32" s="30" t="s">
        <v>187</v>
      </c>
      <c r="C32" s="29">
        <f>IF(COUNTIF($B$1:$B31,[Table Name])=0,0,IF(ISNUMBER(VLOOKUP([Table Name],SeedMap[],6,0)),COUNTIF($B$1:$B31,[Table Name])+VLOOKUP([Table Name],SeedMap[],6,0),COUNTIF($B$1:$B31,[Table Name])))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Name]&amp;"-"&amp;(COUNTIF($B$1:TableData[[#This Row],[Table Name]],TableData[[#This Row],[Table Name]])-1)</f>
        <v>Dashboard Sections-0</v>
      </c>
      <c r="B33" s="30" t="s">
        <v>188</v>
      </c>
      <c r="C33" s="29">
        <f>IF(COUNTIF($B$1:$B32,[Table Name])=0,0,IF(ISNUMBER(VLOOKUP([Table Name],SeedMap[],6,0)),COUNTIF($B$1:$B32,[Table Name])+VLOOKUP([Table Name],SeedMap[],6,0),COUNTIF($B$1:$B32,[Table Name])))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Name]&amp;"-"&amp;(COUNTIF($B$1:TableData[[#This Row],[Table Name]],TableData[[#This Row],[Table Name]])-1)</f>
        <v>Dashboard Section Items-0</v>
      </c>
      <c r="B34" s="30" t="s">
        <v>190</v>
      </c>
      <c r="C34" s="29">
        <f>IF(COUNTIF($B$1:$B33,[Table Name])=0,0,IF(ISNUMBER(VLOOKUP([Table Name],SeedMap[],6,0)),COUNTIF($B$1:$B33,[Table Name])+VLOOKUP([Table Name],SeedMap[],6,0),COUNTIF($B$1:$B33,[Table Name])))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Name]&amp;"-"&amp;(COUNTIF($B$1:TableData[[#This Row],[Table Name]],TableData[[#This Row],[Table Name]])-1)</f>
        <v>Resource Metrics-0</v>
      </c>
      <c r="B35" s="32" t="s">
        <v>195</v>
      </c>
      <c r="C35" s="31">
        <f>IF(COUNTIF($B$1:$B34,[Table Name])=0,0,IF(ISNUMBER(VLOOKUP([Table Name],SeedMap[],6,0)),COUNTIF($B$1:$B34,[Table Name])+VLOOKUP([Table Name],SeedMap[],6,0),COUNTIF($B$1:$B34,[Table Name])))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Name]&amp;"-"&amp;(COUNTIF($B$1:TableData[[#This Row],[Table Name]],TableData[[#This Row],[Table Name]])-1)</f>
        <v>Field Dynamic-0</v>
      </c>
      <c r="B36" s="32" t="s">
        <v>201</v>
      </c>
      <c r="C36" s="31">
        <f>IF(COUNTIF($B$1:$B35,[Table Name])=0,0,IF(ISNUMBER(VLOOKUP([Table Name],SeedMap[],6,0)),COUNTIF($B$1:$B35,[Table Name])+VLOOKUP([Table Name],SeedMap[],6,0),COUNTIF($B$1:$B35,[Table Name])))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Name]&amp;"-"&amp;(COUNTIF($B$1:TableData[[#This Row],[Table Name]],TableData[[#This Row],[Table Name]])-1)</f>
        <v>brands-0</v>
      </c>
      <c r="B37" s="30" t="s">
        <v>207</v>
      </c>
      <c r="C37" s="29">
        <f>IF(COUNTIF($B$1:$B36,[Table Name])=0,0,IF(ISNUMBER(VLOOKUP([Table Name],SeedMap[],6,0)),COUNTIF($B$1:$B36,[Table Name])+VLOOKUP([Table Name],SeedMap[],6,0),COUNTIF($B$1:$B36,[Table Name])))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Name]&amp;"-"&amp;(COUNTIF($B$1:TableData[[#This Row],[Table Name]],TableData[[#This Row],[Table Name]])-1)</f>
        <v>categories-0</v>
      </c>
      <c r="B38" s="30" t="s">
        <v>209</v>
      </c>
      <c r="C38" s="29">
        <f>IF(COUNTIF($B$1:$B37,[Table Name])=0,0,IF(ISNUMBER(VLOOKUP([Table Name],SeedMap[],6,0)),COUNTIF($B$1:$B37,[Table Name])+VLOOKUP([Table Name],SeedMap[],6,0),COUNTIF($B$1:$B37,[Table Name])))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Name]&amp;"-"&amp;(COUNTIF($B$1:TableData[[#This Row],[Table Name]],TableData[[#This Row],[Table Name]])-1)</f>
        <v>products-0</v>
      </c>
      <c r="B39" s="30" t="s">
        <v>50</v>
      </c>
      <c r="C39" s="29">
        <f>IF(COUNTIF($B$1:$B38,[Table Name])=0,0,IF(ISNUMBER(VLOOKUP([Table Name],SeedMap[],6,0)),COUNTIF($B$1:$B38,[Table Name])+VLOOKUP([Table Name],SeedMap[],6,0),COUNTIF($B$1:$B38,[Table Name])))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Name]&amp;"-"&amp;(COUNTIF($B$1:TableData[[#This Row],[Table Name]],TableData[[#This Row],[Table Name]])-1)</f>
        <v>product_images-0</v>
      </c>
      <c r="B40" s="30" t="s">
        <v>210</v>
      </c>
      <c r="C40" s="29">
        <f>IF(COUNTIF($B$1:$B39,[Table Name])=0,0,IF(ISNUMBER(VLOOKUP([Table Name],SeedMap[],6,0)),COUNTIF($B$1:$B39,[Table Name])+VLOOKUP([Table Name],SeedMap[],6,0),COUNTIF($B$1:$B39,[Table Name])))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visitors-0</v>
      </c>
      <c r="B41" s="30" t="s">
        <v>211</v>
      </c>
      <c r="C41" s="29">
        <f>IF(COUNTIF($B$1:$B40,[Table Name])=0,0,IF(ISNUMBER(VLOOKUP([Table Name],SeedMap[],6,0)),COUNTIF($B$1:$B40,[Table Name])+VLOOKUP([Table Name],SeedMap[],6,0),COUNTIF($B$1:$B40,[Table Name])))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Name]&amp;"-"&amp;(COUNTIF($B$1:TableData[[#This Row],[Table Name]],TableData[[#This Row],[Table Name]])-1)</f>
        <v>wishlists-0</v>
      </c>
      <c r="B42" s="30" t="s">
        <v>213</v>
      </c>
      <c r="C42" s="29">
        <f>IF(COUNTIF($B$1:$B41,[Table Name])=0,0,IF(ISNUMBER(VLOOKUP([Table Name],SeedMap[],6,0)),COUNTIF($B$1:$B41,[Table Name])+VLOOKUP([Table Name],SeedMap[],6,0),COUNTIF($B$1:$B41,[Table Name])))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wishlist_products-0</v>
      </c>
      <c r="B43" s="30" t="s">
        <v>214</v>
      </c>
      <c r="C43" s="29">
        <f>IF(COUNTIF($B$1:$B42,[Table Name])=0,0,IF(ISNUMBER(VLOOKUP([Table Name],SeedMap[],6,0)),COUNTIF($B$1:$B42,[Table Name])+VLOOKUP([Table Name],SeedMap[],6,0),COUNTIF($B$1:$B42,[Table Name])))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visitor_wishlists-0</v>
      </c>
      <c r="B44" s="30" t="s">
        <v>215</v>
      </c>
      <c r="C44" s="29">
        <f>IF(COUNTIF($B$1:$B43,[Table Name])=0,0,IF(ISNUMBER(VLOOKUP([Table Name],SeedMap[],6,0)),COUNTIF($B$1:$B43,[Table Name])+VLOOKUP([Table Name],SeedMap[],6,0),COUNTIF($B$1:$B43,[Table Name])))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vendor_wishlists-0</v>
      </c>
      <c r="B45" s="30" t="s">
        <v>216</v>
      </c>
      <c r="C45" s="29">
        <f>IF(COUNTIF($B$1:$B44,[Table Name])=0,0,IF(ISNUMBER(VLOOKUP([Table Name],SeedMap[],6,0)),COUNTIF($B$1:$B44,[Table Name])+VLOOKUP([Table Name],SeedMap[],6,0),COUNTIF($B$1:$B44,[Table Name])))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wishlist_notes-0</v>
      </c>
      <c r="B46" s="30" t="s">
        <v>217</v>
      </c>
      <c r="C46" s="29">
        <f>IF(COUNTIF($B$1:$B45,[Table Name])=0,0,IF(ISNUMBER(VLOOKUP([Table Name],SeedMap[],6,0)),COUNTIF($B$1:$B45,[Table Name])+VLOOKUP([Table Name],SeedMap[],6,0),COUNTIF($B$1:$B45,[Table Name])))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Name]&amp;"-"&amp;(COUNTIF($B$1:TableData[[#This Row],[Table Name]],TableData[[#This Row],[Table Name]])-1)</f>
        <v>wishlist_product_notes-0</v>
      </c>
      <c r="B47" s="32" t="s">
        <v>218</v>
      </c>
      <c r="C47" s="31">
        <f>IF(COUNTIF($B$1:$B46,[Table Name])=0,0,IF(ISNUMBER(VLOOKUP([Table Name],SeedMap[],6,0)),COUNTIF($B$1:$B46,[Table Name])+VLOOKUP([Table Name],SeedMap[],6,0),COUNTIF($B$1:$B46,[Table Name])))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>
      <c r="A48" s="31" t="str">
        <f>[Table Name]&amp;"-"&amp;(COUNTIF($B$1:TableData[[#This Row],[Table Name]],TableData[[#This Row],[Table Name]])-1)</f>
        <v>Resources-1</v>
      </c>
      <c r="B48" s="32" t="s">
        <v>102</v>
      </c>
      <c r="C48" s="31">
        <f>IF(COUNTIF($B$1:$B47,[Table Name])=0,0,IF(ISNUMBER(VLOOKUP([Table Name],SeedMap[],6,0)),COUNTIF($B$1:$B47,[Table Name])+VLOOKUP([Table Name],SeedMap[],6,0),COUNTIF($B$1:$B47,[Table Name])))</f>
        <v>38</v>
      </c>
      <c r="D48" s="43" t="s">
        <v>366</v>
      </c>
      <c r="E48" s="43" t="s">
        <v>367</v>
      </c>
      <c r="F48" s="43" t="s">
        <v>368</v>
      </c>
      <c r="G48" s="32" t="s">
        <v>284</v>
      </c>
      <c r="H48" s="43" t="s">
        <v>352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>
      <c r="A49" s="31" t="str">
        <f>[Table Name]&amp;"-"&amp;(COUNTIF($B$1:TableData[[#This Row],[Table Name]],TableData[[#This Row],[Table Name]])-1)</f>
        <v>Resources-2</v>
      </c>
      <c r="B49" s="32" t="s">
        <v>102</v>
      </c>
      <c r="C49" s="31">
        <f>IF(COUNTIF($B$1:$B48,[Table Name])=0,0,IF(ISNUMBER(VLOOKUP([Table Name],SeedMap[],6,0)),COUNTIF($B$1:$B48,[Table Name])+VLOOKUP([Table Name],SeedMap[],6,0),COUNTIF($B$1:$B48,[Table Name])))</f>
        <v>39</v>
      </c>
      <c r="D49" s="32" t="s">
        <v>286</v>
      </c>
      <c r="E49" s="32" t="s">
        <v>287</v>
      </c>
      <c r="F49" s="32" t="s">
        <v>291</v>
      </c>
      <c r="G49" s="32" t="s">
        <v>284</v>
      </c>
      <c r="H49" s="32" t="s">
        <v>50</v>
      </c>
      <c r="I49" s="32" t="s">
        <v>10</v>
      </c>
      <c r="J49" s="32" t="s">
        <v>309</v>
      </c>
      <c r="K49" s="32" t="s">
        <v>310</v>
      </c>
      <c r="L49" s="32"/>
      <c r="M49" s="32"/>
      <c r="N49" s="32"/>
      <c r="O49" s="32"/>
      <c r="P49" s="32"/>
      <c r="Q49" s="32"/>
      <c r="R49" s="32"/>
    </row>
    <row r="50" spans="1:18">
      <c r="A50" s="31" t="str">
        <f>[Table Name]&amp;"-"&amp;(COUNTIF($B$1:TableData[[#This Row],[Table Name]],TableData[[#This Row],[Table Name]])-1)</f>
        <v>Resources-3</v>
      </c>
      <c r="B50" s="32" t="s">
        <v>102</v>
      </c>
      <c r="C50" s="31">
        <f>IF(COUNTIF($B$1:$B49,[Table Name])=0,0,IF(ISNUMBER(VLOOKUP([Table Name],SeedMap[],6,0)),COUNTIF($B$1:$B49,[Table Name])+VLOOKUP([Table Name],SeedMap[],6,0),COUNTIF($B$1:$B49,[Table Name])))</f>
        <v>40</v>
      </c>
      <c r="D50" s="32" t="s">
        <v>288</v>
      </c>
      <c r="E50" s="32" t="s">
        <v>289</v>
      </c>
      <c r="F50" s="32" t="s">
        <v>290</v>
      </c>
      <c r="G50" s="32" t="s">
        <v>284</v>
      </c>
      <c r="H50" s="32" t="s">
        <v>210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>
      <c r="A51" s="31" t="str">
        <f>[Table Name]&amp;"-"&amp;(COUNTIF($B$1:TableData[[#This Row],[Table Name]],TableData[[#This Row],[Table Name]])-1)</f>
        <v>Resources-4</v>
      </c>
      <c r="B51" s="32" t="s">
        <v>102</v>
      </c>
      <c r="C51" s="31">
        <f>IF(COUNTIF($B$1:$B50,[Table Name])=0,0,IF(ISNUMBER(VLOOKUP([Table Name],SeedMap[],6,0)),COUNTIF($B$1:$B50,[Table Name])+VLOOKUP([Table Name],SeedMap[],6,0),COUNTIF($B$1:$B50,[Table Name])))</f>
        <v>41</v>
      </c>
      <c r="D51" s="32" t="s">
        <v>292</v>
      </c>
      <c r="E51" s="32" t="s">
        <v>293</v>
      </c>
      <c r="F51" s="32" t="s">
        <v>294</v>
      </c>
      <c r="G51" s="32" t="s">
        <v>284</v>
      </c>
      <c r="H51" s="32" t="s">
        <v>211</v>
      </c>
      <c r="I51" s="32" t="s">
        <v>10</v>
      </c>
      <c r="J51" s="32" t="s">
        <v>311</v>
      </c>
      <c r="K51" s="32" t="s">
        <v>310</v>
      </c>
      <c r="L51" s="32"/>
      <c r="M51" s="32"/>
      <c r="N51" s="32"/>
      <c r="O51" s="32"/>
      <c r="P51" s="32"/>
      <c r="Q51" s="32"/>
      <c r="R51" s="32"/>
    </row>
    <row r="52" spans="1:18">
      <c r="A52" s="31" t="str">
        <f>[Table Name]&amp;"-"&amp;(COUNTIF($B$1:TableData[[#This Row],[Table Name]],TableData[[#This Row],[Table Name]])-1)</f>
        <v>Resources-5</v>
      </c>
      <c r="B52" s="32" t="s">
        <v>102</v>
      </c>
      <c r="C52" s="31">
        <f>IF(COUNTIF($B$1:$B51,[Table Name])=0,0,IF(ISNUMBER(VLOOKUP([Table Name],SeedMap[],6,0)),COUNTIF($B$1:$B51,[Table Name])+VLOOKUP([Table Name],SeedMap[],6,0),COUNTIF($B$1:$B51,[Table Name])))</f>
        <v>42</v>
      </c>
      <c r="D52" s="32" t="s">
        <v>295</v>
      </c>
      <c r="E52" s="32" t="s">
        <v>296</v>
      </c>
      <c r="F52" s="32" t="s">
        <v>297</v>
      </c>
      <c r="G52" s="32" t="s">
        <v>284</v>
      </c>
      <c r="H52" s="32" t="s">
        <v>213</v>
      </c>
      <c r="I52" s="32" t="s">
        <v>10</v>
      </c>
      <c r="J52" s="32" t="s">
        <v>312</v>
      </c>
      <c r="K52" s="32" t="s">
        <v>310</v>
      </c>
      <c r="L52" s="32"/>
      <c r="M52" s="32"/>
      <c r="N52" s="32"/>
      <c r="O52" s="32"/>
      <c r="P52" s="32"/>
      <c r="Q52" s="32"/>
      <c r="R52" s="32"/>
    </row>
    <row r="53" spans="1:18">
      <c r="A53" s="31" t="str">
        <f>[Table Name]&amp;"-"&amp;(COUNTIF($B$1:TableData[[#This Row],[Table Name]],TableData[[#This Row],[Table Name]])-1)</f>
        <v>Resources-6</v>
      </c>
      <c r="B53" s="32" t="s">
        <v>102</v>
      </c>
      <c r="C53" s="31">
        <f>IF(COUNTIF($B$1:$B52,[Table Name])=0,0,IF(ISNUMBER(VLOOKUP([Table Name],SeedMap[],6,0)),COUNTIF($B$1:$B52,[Table Name])+VLOOKUP([Table Name],SeedMap[],6,0),COUNTIF($B$1:$B52,[Table Name])))</f>
        <v>43</v>
      </c>
      <c r="D53" s="32" t="s">
        <v>298</v>
      </c>
      <c r="E53" s="32" t="s">
        <v>299</v>
      </c>
      <c r="F53" s="32" t="s">
        <v>297</v>
      </c>
      <c r="G53" s="32" t="s">
        <v>284</v>
      </c>
      <c r="H53" s="32" t="s">
        <v>216</v>
      </c>
      <c r="I53" s="32" t="s">
        <v>10</v>
      </c>
      <c r="J53" s="32"/>
      <c r="K53" s="32"/>
      <c r="L53" s="32"/>
      <c r="M53" s="32"/>
      <c r="N53" s="32"/>
      <c r="O53" s="32"/>
      <c r="P53" s="32"/>
      <c r="Q53" s="32"/>
      <c r="R53" s="32"/>
    </row>
    <row r="54" spans="1:18">
      <c r="A54" s="31" t="str">
        <f>[Table Name]&amp;"-"&amp;(COUNTIF($B$1:TableData[[#This Row],[Table Name]],TableData[[#This Row],[Table Name]])-1)</f>
        <v>Resources-7</v>
      </c>
      <c r="B54" s="32" t="s">
        <v>102</v>
      </c>
      <c r="C54" s="31">
        <f>IF(COUNTIF($B$1:$B53,[Table Name])=0,0,IF(ISNUMBER(VLOOKUP([Table Name],SeedMap[],6,0)),COUNTIF($B$1:$B53,[Table Name])+VLOOKUP([Table Name],SeedMap[],6,0),COUNTIF($B$1:$B53,[Table Name])))</f>
        <v>44</v>
      </c>
      <c r="D54" s="32" t="s">
        <v>301</v>
      </c>
      <c r="E54" s="32" t="s">
        <v>300</v>
      </c>
      <c r="F54" s="32" t="s">
        <v>297</v>
      </c>
      <c r="G54" s="32" t="s">
        <v>284</v>
      </c>
      <c r="H54" s="32" t="s">
        <v>215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>
      <c r="A55" s="31" t="str">
        <f>[Table Name]&amp;"-"&amp;(COUNTIF($B$1:TableData[[#This Row],[Table Name]],TableData[[#This Row],[Table Name]])-1)</f>
        <v>Resources-8</v>
      </c>
      <c r="B55" s="32" t="s">
        <v>102</v>
      </c>
      <c r="C55" s="31">
        <f>IF(COUNTIF($B$1:$B54,[Table Name])=0,0,IF(ISNUMBER(VLOOKUP([Table Name],SeedMap[],6,0)),COUNTIF($B$1:$B54,[Table Name])+VLOOKUP([Table Name],SeedMap[],6,0),COUNTIF($B$1:$B54,[Table Name])))</f>
        <v>45</v>
      </c>
      <c r="D55" s="32" t="s">
        <v>302</v>
      </c>
      <c r="E55" s="32" t="s">
        <v>303</v>
      </c>
      <c r="F55" s="32" t="s">
        <v>304</v>
      </c>
      <c r="G55" s="32" t="s">
        <v>284</v>
      </c>
      <c r="H55" s="32" t="s">
        <v>217</v>
      </c>
      <c r="I55" s="32" t="s">
        <v>10</v>
      </c>
      <c r="J55" s="32" t="s">
        <v>313</v>
      </c>
      <c r="K55" s="32" t="s">
        <v>310</v>
      </c>
      <c r="L55" s="32"/>
      <c r="M55" s="32"/>
      <c r="N55" s="32"/>
      <c r="O55" s="32"/>
      <c r="P55" s="32"/>
      <c r="Q55" s="32"/>
      <c r="R55" s="32"/>
    </row>
    <row r="56" spans="1:18">
      <c r="A56" s="31" t="str">
        <f>[Table Name]&amp;"-"&amp;(COUNTIF($B$1:TableData[[#This Row],[Table Name]],TableData[[#This Row],[Table Name]])-1)</f>
        <v>Resources-9</v>
      </c>
      <c r="B56" s="32" t="s">
        <v>102</v>
      </c>
      <c r="C56" s="31">
        <f>IF(COUNTIF($B$1:$B55,[Table Name])=0,0,IF(ISNUMBER(VLOOKUP([Table Name],SeedMap[],6,0)),COUNTIF($B$1:$B55,[Table Name])+VLOOKUP([Table Name],SeedMap[],6,0),COUNTIF($B$1:$B55,[Table Name])))</f>
        <v>46</v>
      </c>
      <c r="D56" s="32" t="s">
        <v>305</v>
      </c>
      <c r="E56" s="32" t="s">
        <v>306</v>
      </c>
      <c r="F56" s="32" t="s">
        <v>291</v>
      </c>
      <c r="G56" s="32" t="s">
        <v>284</v>
      </c>
      <c r="H56" s="32" t="s">
        <v>214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>
      <c r="A57" s="31" t="str">
        <f>[Table Name]&amp;"-"&amp;(COUNTIF($B$1:TableData[[#This Row],[Table Name]],TableData[[#This Row],[Table Name]])-1)</f>
        <v>Resources-10</v>
      </c>
      <c r="B57" s="32" t="s">
        <v>102</v>
      </c>
      <c r="C57" s="31">
        <f>IF(COUNTIF($B$1:$B56,[Table Name])=0,0,IF(ISNUMBER(VLOOKUP([Table Name],SeedMap[],6,0)),COUNTIF($B$1:$B56,[Table Name])+VLOOKUP([Table Name],SeedMap[],6,0),COUNTIF($B$1:$B56,[Table Name])))</f>
        <v>47</v>
      </c>
      <c r="D57" s="32" t="s">
        <v>307</v>
      </c>
      <c r="E57" s="32" t="s">
        <v>308</v>
      </c>
      <c r="F57" s="32" t="s">
        <v>304</v>
      </c>
      <c r="G57" s="32" t="s">
        <v>284</v>
      </c>
      <c r="H57" s="32" t="s">
        <v>218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44" t="str">
        <f>[Table Name]&amp;"-"&amp;(COUNTIF($B$1:TableData[[#This Row],[Table Name]],TableData[[#This Row],[Table Name]])-1)</f>
        <v>Resource Scopes-1</v>
      </c>
      <c r="B58" s="43" t="s">
        <v>116</v>
      </c>
      <c r="C58" s="44">
        <f>IF(COUNTIF($B$1:$B57,[Table Name])=0,0,IF(ISNUMBER(VLOOKUP([Table Name],SeedMap[],6,0)),COUNTIF($B$1:$B57,[Table Name])+VLOOKUP([Table Name],SeedMap[],6,0),COUNTIF($B$1:$B57,[Table Name])))</f>
        <v>3</v>
      </c>
      <c r="D58" s="43">
        <v>38</v>
      </c>
      <c r="E58" s="43" t="s">
        <v>369</v>
      </c>
      <c r="F58" s="43" t="s">
        <v>370</v>
      </c>
      <c r="G58" s="43" t="s">
        <v>208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 hidden="1">
      <c r="A59" s="44" t="str">
        <f>[Table Name]&amp;"-"&amp;(COUNTIF($B$1:TableData[[#This Row],[Table Name]],TableData[[#This Row],[Table Name]])-1)</f>
        <v>Resource Scopes-2</v>
      </c>
      <c r="B59" s="43" t="s">
        <v>116</v>
      </c>
      <c r="C59" s="44">
        <f>IF(COUNTIF($B$1:$B58,[Table Name])=0,0,IF(ISNUMBER(VLOOKUP([Table Name],SeedMap[],6,0)),COUNTIF($B$1:$B58,[Table Name])+VLOOKUP([Table Name],SeedMap[],6,0),COUNTIF($B$1:$B58,[Table Name])))</f>
        <v>4</v>
      </c>
      <c r="D59" s="43">
        <v>38</v>
      </c>
      <c r="E59" s="43" t="s">
        <v>371</v>
      </c>
      <c r="F59" s="43" t="s">
        <v>372</v>
      </c>
      <c r="G59" s="43" t="s">
        <v>230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1:18" hidden="1">
      <c r="A60" s="44" t="str">
        <f>[Table Name]&amp;"-"&amp;(COUNTIF($B$1:TableData[[#This Row],[Table Name]],TableData[[#This Row],[Table Name]])-1)</f>
        <v>Resource Scopes-3</v>
      </c>
      <c r="B60" s="43" t="s">
        <v>116</v>
      </c>
      <c r="C60" s="44">
        <f>IF(COUNTIF($B$1:$B59,[Table Name])=0,0,IF(ISNUMBER(VLOOKUP([Table Name],SeedMap[],6,0)),COUNTIF($B$1:$B59,[Table Name])+VLOOKUP([Table Name],SeedMap[],6,0),COUNTIF($B$1:$B59,[Table Name])))</f>
        <v>5</v>
      </c>
      <c r="D60" s="43">
        <v>38</v>
      </c>
      <c r="E60" s="43" t="s">
        <v>373</v>
      </c>
      <c r="F60" s="43" t="s">
        <v>374</v>
      </c>
      <c r="G60" s="43" t="s">
        <v>191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</row>
    <row r="61" spans="1:18" hidden="1">
      <c r="A61" s="44" t="str">
        <f>[Table Name]&amp;"-"&amp;(COUNTIF($B$1:TableData[[#This Row],[Table Name]],TableData[[#This Row],[Table Name]])-1)</f>
        <v>Resource Scopes-4</v>
      </c>
      <c r="B61" s="43" t="s">
        <v>116</v>
      </c>
      <c r="C61" s="44">
        <f>IF(COUNTIF($B$1:$B60,[Table Name])=0,0,IF(ISNUMBER(VLOOKUP([Table Name],SeedMap[],6,0)),COUNTIF($B$1:$B60,[Table Name])+VLOOKUP([Table Name],SeedMap[],6,0),COUNTIF($B$1:$B60,[Table Name])))</f>
        <v>6</v>
      </c>
      <c r="D61" s="43">
        <v>38</v>
      </c>
      <c r="E61" s="43" t="s">
        <v>375</v>
      </c>
      <c r="F61" s="43" t="s">
        <v>376</v>
      </c>
      <c r="G61" s="43" t="s">
        <v>377</v>
      </c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A62" s="44" t="str">
        <f>[Table Name]&amp;"-"&amp;(COUNTIF($B$1:TableData[[#This Row],[Table Name]],TableData[[#This Row],[Table Name]])-1)</f>
        <v>Resource Relations-1</v>
      </c>
      <c r="B62" s="43" t="s">
        <v>112</v>
      </c>
      <c r="C62" s="44">
        <f>IF(COUNTIF($B$1:$B61,[Table Name])=0,0,IF(ISNUMBER(VLOOKUP([Table Name],SeedMap[],6,0)),COUNTIF($B$1:$B61,[Table Name])+VLOOKUP([Table Name],SeedMap[],6,0),COUNTIF($B$1:$B61,[Table Name])))</f>
        <v>55</v>
      </c>
      <c r="D62" s="43">
        <v>38</v>
      </c>
      <c r="E62" s="43" t="s">
        <v>324</v>
      </c>
      <c r="F62" s="43" t="s">
        <v>378</v>
      </c>
      <c r="G62" s="43" t="s">
        <v>324</v>
      </c>
      <c r="H62" s="43" t="s">
        <v>320</v>
      </c>
      <c r="I62" s="43">
        <v>39</v>
      </c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A63" s="44" t="str">
        <f>[Table Name]&amp;"-"&amp;(COUNTIF($B$1:TableData[[#This Row],[Table Name]],TableData[[#This Row],[Table Name]])-1)</f>
        <v>Resource Relations-2</v>
      </c>
      <c r="B63" s="43" t="s">
        <v>112</v>
      </c>
      <c r="C63" s="44">
        <f>IF(COUNTIF($B$1:$B62,[Table Name])=0,0,IF(ISNUMBER(VLOOKUP([Table Name],SeedMap[],6,0)),COUNTIF($B$1:$B62,[Table Name])+VLOOKUP([Table Name],SeedMap[],6,0),COUNTIF($B$1:$B62,[Table Name])))</f>
        <v>56</v>
      </c>
      <c r="D63" s="43">
        <v>38</v>
      </c>
      <c r="E63" s="43" t="s">
        <v>323</v>
      </c>
      <c r="F63" s="43" t="s">
        <v>379</v>
      </c>
      <c r="G63" s="43" t="s">
        <v>323</v>
      </c>
      <c r="H63" s="43" t="s">
        <v>320</v>
      </c>
      <c r="I63" s="43">
        <v>39</v>
      </c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A64" s="44" t="str">
        <f>[Table Name]&amp;"-"&amp;(COUNTIF($B$1:TableData[[#This Row],[Table Name]],TableData[[#This Row],[Table Name]])-1)</f>
        <v>Resource Relations-3</v>
      </c>
      <c r="B64" s="43" t="s">
        <v>112</v>
      </c>
      <c r="C64" s="44">
        <f>IF(COUNTIF($B$1:$B63,[Table Name])=0,0,IF(ISNUMBER(VLOOKUP([Table Name],SeedMap[],6,0)),COUNTIF($B$1:$B63,[Table Name])+VLOOKUP([Table Name],SeedMap[],6,0),COUNTIF($B$1:$B63,[Table Name])))</f>
        <v>57</v>
      </c>
      <c r="D64" s="43">
        <v>38</v>
      </c>
      <c r="E64" s="43" t="s">
        <v>381</v>
      </c>
      <c r="F64" s="43" t="s">
        <v>380</v>
      </c>
      <c r="G64" s="43" t="s">
        <v>381</v>
      </c>
      <c r="H64" s="43" t="s">
        <v>320</v>
      </c>
      <c r="I64" s="43">
        <v>39</v>
      </c>
      <c r="J64" s="43"/>
      <c r="K64" s="43"/>
      <c r="L64" s="43"/>
      <c r="M64" s="43"/>
      <c r="N64" s="43"/>
      <c r="O64" s="43"/>
      <c r="P64" s="43"/>
      <c r="Q64" s="43"/>
      <c r="R64" s="43"/>
    </row>
    <row r="65" spans="1:18">
      <c r="A65" s="44" t="str">
        <f>[Table Name]&amp;"-"&amp;(COUNTIF($B$1:TableData[[#This Row],[Table Name]],TableData[[#This Row],[Table Name]])-1)</f>
        <v>Resource Relations-4</v>
      </c>
      <c r="B65" s="43" t="s">
        <v>112</v>
      </c>
      <c r="C65" s="44">
        <f>IF(COUNTIF($B$1:$B64,[Table Name])=0,0,IF(ISNUMBER(VLOOKUP([Table Name],SeedMap[],6,0)),COUNTIF($B$1:$B64,[Table Name])+VLOOKUP([Table Name],SeedMap[],6,0),COUNTIF($B$1:$B64,[Table Name])))</f>
        <v>58</v>
      </c>
      <c r="D65" s="43">
        <v>38</v>
      </c>
      <c r="E65" s="43" t="s">
        <v>382</v>
      </c>
      <c r="F65" s="43" t="s">
        <v>383</v>
      </c>
      <c r="G65" s="43" t="s">
        <v>382</v>
      </c>
      <c r="H65" s="43" t="s">
        <v>320</v>
      </c>
      <c r="I65" s="43">
        <v>39</v>
      </c>
      <c r="J65" s="43"/>
      <c r="K65" s="43"/>
      <c r="L65" s="43"/>
      <c r="M65" s="43"/>
      <c r="N65" s="43"/>
      <c r="O65" s="43"/>
      <c r="P65" s="43"/>
      <c r="Q65" s="43"/>
      <c r="R65" s="43"/>
    </row>
    <row r="66" spans="1:18">
      <c r="A66" s="44" t="str">
        <f>[Table Name]&amp;"-"&amp;(COUNTIF($B$1:TableData[[#This Row],[Table Name]],TableData[[#This Row],[Table Name]])-1)</f>
        <v>Resource Relations-5</v>
      </c>
      <c r="B66" s="43" t="s">
        <v>112</v>
      </c>
      <c r="C66" s="44">
        <f>IF(COUNTIF($B$1:$B65,[Table Name])=0,0,IF(ISNUMBER(VLOOKUP([Table Name],SeedMap[],6,0)),COUNTIF($B$1:$B65,[Table Name])+VLOOKUP([Table Name],SeedMap[],6,0),COUNTIF($B$1:$B65,[Table Name])))</f>
        <v>59</v>
      </c>
      <c r="D66" s="43">
        <v>39</v>
      </c>
      <c r="E66" s="43" t="s">
        <v>316</v>
      </c>
      <c r="F66" s="43" t="s">
        <v>384</v>
      </c>
      <c r="G66" s="43" t="s">
        <v>285</v>
      </c>
      <c r="H66" s="43" t="s">
        <v>315</v>
      </c>
      <c r="I66" s="43">
        <v>38</v>
      </c>
      <c r="J66" s="43"/>
      <c r="K66" s="43"/>
      <c r="L66" s="43"/>
      <c r="M66" s="43"/>
      <c r="N66" s="43"/>
      <c r="O66" s="43"/>
      <c r="P66" s="43"/>
      <c r="Q66" s="43"/>
      <c r="R66" s="43"/>
    </row>
    <row r="67" spans="1:18">
      <c r="A67" s="12" t="str">
        <f>[Table Name]&amp;"-"&amp;(COUNTIF($B$1:TableData[[#This Row],[Table Name]],TableData[[#This Row],[Table Name]])-1)</f>
        <v>Resource Relations-6</v>
      </c>
      <c r="B67" s="43" t="s">
        <v>112</v>
      </c>
      <c r="C67" s="12">
        <f>IF(COUNTIF($B$1:$B66,[Table Name])=0,0,IF(ISNUMBER(VLOOKUP([Table Name],SeedMap[],6,0)),COUNTIF($B$1:$B66,[Table Name])+VLOOKUP([Table Name],SeedMap[],6,0),COUNTIF($B$1:$B66,[Table Name])))</f>
        <v>60</v>
      </c>
      <c r="D67" s="43">
        <v>39</v>
      </c>
      <c r="E67" s="43" t="s">
        <v>314</v>
      </c>
      <c r="F67" s="43" t="s">
        <v>385</v>
      </c>
      <c r="G67" s="43" t="s">
        <v>283</v>
      </c>
      <c r="H67" s="43" t="s">
        <v>315</v>
      </c>
      <c r="I67" s="43">
        <v>38</v>
      </c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2" t="str">
        <f>[Table Name]&amp;"-"&amp;(COUNTIF($B$1:TableData[[#This Row],[Table Name]],TableData[[#This Row],[Table Name]])-1)</f>
        <v>Resource Relations-7</v>
      </c>
      <c r="B68" s="43" t="s">
        <v>112</v>
      </c>
      <c r="C68" s="12">
        <f>IF(COUNTIF($B$1:$B67,[Table Name])=0,0,IF(ISNUMBER(VLOOKUP([Table Name],SeedMap[],6,0)),COUNTIF($B$1:$B67,[Table Name])+VLOOKUP([Table Name],SeedMap[],6,0),COUNTIF($B$1:$B67,[Table Name])))</f>
        <v>61</v>
      </c>
      <c r="D68" s="43">
        <v>39</v>
      </c>
      <c r="E68" s="43" t="s">
        <v>390</v>
      </c>
      <c r="F68" s="43" t="s">
        <v>386</v>
      </c>
      <c r="G68" s="43" t="s">
        <v>388</v>
      </c>
      <c r="H68" s="43" t="s">
        <v>315</v>
      </c>
      <c r="I68" s="43">
        <v>38</v>
      </c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2" t="str">
        <f>[Table Name]&amp;"-"&amp;(COUNTIF($B$1:TableData[[#This Row],[Table Name]],TableData[[#This Row],[Table Name]])-1)</f>
        <v>Resource Relations-8</v>
      </c>
      <c r="B69" s="43" t="s">
        <v>112</v>
      </c>
      <c r="C69" s="12">
        <f>IF(COUNTIF($B$1:$B68,[Table Name])=0,0,IF(ISNUMBER(VLOOKUP([Table Name],SeedMap[],6,0)),COUNTIF($B$1:$B68,[Table Name])+VLOOKUP([Table Name],SeedMap[],6,0),COUNTIF($B$1:$B68,[Table Name])))</f>
        <v>62</v>
      </c>
      <c r="D69" s="43">
        <v>39</v>
      </c>
      <c r="E69" s="43" t="s">
        <v>391</v>
      </c>
      <c r="F69" s="43" t="s">
        <v>387</v>
      </c>
      <c r="G69" s="43" t="s">
        <v>389</v>
      </c>
      <c r="H69" s="43" t="s">
        <v>315</v>
      </c>
      <c r="I69" s="43">
        <v>38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44" t="str">
        <f>[Table Name]&amp;"-"&amp;(COUNTIF($B$1:TableData[[#This Row],[Table Name]],TableData[[#This Row],[Table Name]])-1)</f>
        <v>Resource Relations-9</v>
      </c>
      <c r="B70" s="43" t="s">
        <v>112</v>
      </c>
      <c r="C70" s="44">
        <f>IF(COUNTIF($B$1:$B69,[Table Name])=0,0,IF(ISNUMBER(VLOOKUP([Table Name],SeedMap[],6,0)),COUNTIF($B$1:$B69,[Table Name])+VLOOKUP([Table Name],SeedMap[],6,0),COUNTIF($B$1:$B69,[Table Name])))</f>
        <v>63</v>
      </c>
      <c r="D70" s="43">
        <v>39</v>
      </c>
      <c r="E70" s="43" t="s">
        <v>317</v>
      </c>
      <c r="F70" s="43" t="s">
        <v>318</v>
      </c>
      <c r="G70" s="43" t="s">
        <v>319</v>
      </c>
      <c r="H70" s="43" t="s">
        <v>320</v>
      </c>
      <c r="I70" s="43">
        <v>40</v>
      </c>
      <c r="J70" s="43"/>
      <c r="K70" s="43"/>
      <c r="L70" s="43"/>
      <c r="M70" s="43"/>
      <c r="N70" s="43"/>
      <c r="O70" s="43"/>
      <c r="P70" s="43"/>
      <c r="Q70" s="43"/>
      <c r="R70" s="43"/>
    </row>
    <row r="71" spans="1:18">
      <c r="A71" s="44" t="str">
        <f>[Table Name]&amp;"-"&amp;(COUNTIF($B$1:TableData[[#This Row],[Table Name]],TableData[[#This Row],[Table Name]])-1)</f>
        <v>Resource Relations-10</v>
      </c>
      <c r="B71" s="43" t="s">
        <v>112</v>
      </c>
      <c r="C71" s="44">
        <f>IF(COUNTIF($B$1:$B70,[Table Name])=0,0,IF(ISNUMBER(VLOOKUP([Table Name],SeedMap[],6,0)),COUNTIF($B$1:$B70,[Table Name])+VLOOKUP([Table Name],SeedMap[],6,0),COUNTIF($B$1:$B70,[Table Name])))</f>
        <v>64</v>
      </c>
      <c r="D71" s="43">
        <v>39</v>
      </c>
      <c r="E71" s="43" t="s">
        <v>321</v>
      </c>
      <c r="F71" s="43" t="s">
        <v>392</v>
      </c>
      <c r="G71" s="43" t="s">
        <v>297</v>
      </c>
      <c r="H71" s="43" t="s">
        <v>322</v>
      </c>
      <c r="I71" s="43">
        <v>42</v>
      </c>
      <c r="J71" s="43"/>
      <c r="K71" s="43"/>
      <c r="L71" s="43"/>
      <c r="M71" s="43"/>
      <c r="N71" s="43"/>
      <c r="O71" s="43"/>
      <c r="P71" s="43"/>
      <c r="Q71" s="43"/>
      <c r="R71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C11" sqref="C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21" width="11.28515625" customWidth="1"/>
  </cols>
  <sheetData>
    <row r="1" spans="1:6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  <c r="F1" s="16" t="s">
        <v>339</v>
      </c>
    </row>
    <row r="2" spans="1:6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  <c r="F2" s="4"/>
    </row>
    <row r="3" spans="1:6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  <c r="F3" s="4"/>
    </row>
    <row r="4" spans="1:6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  <c r="F4" s="4"/>
    </row>
    <row r="5" spans="1:6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  <c r="F5" s="4">
        <v>37</v>
      </c>
    </row>
    <row r="6" spans="1:6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  <c r="F6" s="4"/>
    </row>
    <row r="7" spans="1:6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  <c r="F7" s="4">
        <v>54</v>
      </c>
    </row>
    <row r="8" spans="1:6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  <c r="F8" s="4">
        <v>2</v>
      </c>
    </row>
    <row r="9" spans="1:6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  <c r="F9" s="4"/>
    </row>
    <row r="10" spans="1:6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  <c r="F10" s="4"/>
    </row>
    <row r="11" spans="1:6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  <c r="F11" s="4"/>
    </row>
    <row r="12" spans="1:6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  <c r="F12" s="4"/>
    </row>
    <row r="13" spans="1:6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  <c r="F13" s="4"/>
    </row>
    <row r="14" spans="1:6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  <c r="F14" s="4"/>
    </row>
    <row r="15" spans="1:6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  <c r="F15" s="4"/>
    </row>
    <row r="16" spans="1:6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  <c r="F16" s="4"/>
    </row>
    <row r="17" spans="1:6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  <c r="F17" s="4"/>
    </row>
    <row r="18" spans="1:6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  <c r="F18" s="4"/>
    </row>
    <row r="19" spans="1:6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  <c r="F19" s="4"/>
    </row>
    <row r="20" spans="1:6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  <c r="F20" s="4"/>
    </row>
    <row r="21" spans="1:6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  <c r="F21" s="4"/>
    </row>
    <row r="22" spans="1:6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  <c r="F22" s="4"/>
    </row>
    <row r="23" spans="1:6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  <c r="F23" s="4"/>
    </row>
    <row r="24" spans="1:6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  <c r="F24" s="4"/>
    </row>
    <row r="25" spans="1:6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  <c r="F25" s="4"/>
    </row>
    <row r="26" spans="1:6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  <c r="F26" s="4"/>
    </row>
    <row r="27" spans="1:6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  <c r="F27" s="4"/>
    </row>
    <row r="28" spans="1:6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  <c r="F28" s="4"/>
    </row>
    <row r="29" spans="1:6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  <c r="F29" s="4"/>
    </row>
    <row r="30" spans="1:6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  <c r="F30" s="4"/>
    </row>
    <row r="31" spans="1:6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  <c r="F31" s="4"/>
    </row>
    <row r="32" spans="1:6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  <c r="F32" s="4"/>
    </row>
    <row r="33" spans="1:6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  <c r="F33" s="4"/>
    </row>
    <row r="34" spans="1:6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  <c r="F34" s="4"/>
    </row>
    <row r="35" spans="1:6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  <c r="F35" s="4"/>
    </row>
    <row r="36" spans="1:6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  <c r="F36" s="4"/>
    </row>
    <row r="37" spans="1:6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  <c r="F37" s="4"/>
    </row>
    <row r="38" spans="1:6">
      <c r="A38" s="1" t="s">
        <v>352</v>
      </c>
      <c r="B38" s="4" t="s">
        <v>352</v>
      </c>
      <c r="C38" s="4" t="str">
        <f>VLOOKUP([FW Table Name],Tables[],4,0)</f>
        <v>Milestone\Teebpd\Model</v>
      </c>
      <c r="D38" s="4" t="str">
        <f>VLOOKUP([FW Table Name],Tables[],5,0)</f>
        <v>ItemGroupMaster</v>
      </c>
      <c r="E38" s="7" t="s">
        <v>279</v>
      </c>
      <c r="F38" s="4"/>
    </row>
    <row r="39" spans="1:6">
      <c r="A39" s="4" t="s">
        <v>50</v>
      </c>
      <c r="B39" s="4" t="s">
        <v>50</v>
      </c>
      <c r="C39" s="4" t="str">
        <f>VLOOKUP([FW Table Name],Tables[],4,0)</f>
        <v>Milestone\Teebpd\Model</v>
      </c>
      <c r="D39" s="4" t="str">
        <f>VLOOKUP([FW Table Name],Tables[],5,0)</f>
        <v>Product</v>
      </c>
      <c r="E39" s="7" t="s">
        <v>279</v>
      </c>
      <c r="F39" s="4"/>
    </row>
    <row r="40" spans="1:6">
      <c r="A40" s="4" t="s">
        <v>210</v>
      </c>
      <c r="B40" s="4" t="s">
        <v>210</v>
      </c>
      <c r="C40" s="4" t="str">
        <f>VLOOKUP([FW Table Name],Tables[],4,0)</f>
        <v>Milestone\Teebpd\Model</v>
      </c>
      <c r="D40" s="4" t="str">
        <f>VLOOKUP([FW Table Name],Tables[],5,0)</f>
        <v>ProductImage</v>
      </c>
      <c r="E40" s="7" t="s">
        <v>279</v>
      </c>
      <c r="F40" s="4"/>
    </row>
    <row r="41" spans="1:6">
      <c r="A41" s="4" t="s">
        <v>211</v>
      </c>
      <c r="B41" s="4" t="s">
        <v>211</v>
      </c>
      <c r="C41" s="4" t="str">
        <f>VLOOKUP([FW Table Name],Tables[],4,0)</f>
        <v>Milestone\Teebpd\Model</v>
      </c>
      <c r="D41" s="4" t="str">
        <f>VLOOKUP([FW Table Name],Tables[],5,0)</f>
        <v>Visitor</v>
      </c>
      <c r="E41" s="7" t="s">
        <v>279</v>
      </c>
      <c r="F41" s="4"/>
    </row>
    <row r="42" spans="1:6">
      <c r="A42" s="4" t="s">
        <v>213</v>
      </c>
      <c r="B42" s="4" t="s">
        <v>213</v>
      </c>
      <c r="C42" s="4" t="str">
        <f>VLOOKUP([FW Table Name],Tables[],4,0)</f>
        <v>Milestone\Teebpd\Model</v>
      </c>
      <c r="D42" s="4" t="str">
        <f>VLOOKUP([FW Table Name],Tables[],5,0)</f>
        <v>Wishlist</v>
      </c>
      <c r="E42" s="7" t="s">
        <v>279</v>
      </c>
      <c r="F42" s="4"/>
    </row>
    <row r="43" spans="1:6">
      <c r="A43" s="4" t="s">
        <v>214</v>
      </c>
      <c r="B43" s="4" t="s">
        <v>214</v>
      </c>
      <c r="C43" s="4" t="str">
        <f>VLOOKUP([FW Table Name],Tables[],4,0)</f>
        <v>Milestone\Teebpd\Model</v>
      </c>
      <c r="D43" s="4" t="str">
        <f>VLOOKUP([FW Table Name],Tables[],5,0)</f>
        <v>WishlistProduct</v>
      </c>
      <c r="E43" s="7" t="s">
        <v>279</v>
      </c>
      <c r="F43" s="4"/>
    </row>
    <row r="44" spans="1:6">
      <c r="A44" s="4" t="s">
        <v>215</v>
      </c>
      <c r="B44" s="4" t="s">
        <v>215</v>
      </c>
      <c r="C44" s="4" t="str">
        <f>VLOOKUP([FW Table Name],Tables[],4,0)</f>
        <v>Milestone\Teebpd\Model</v>
      </c>
      <c r="D44" s="4" t="str">
        <f>VLOOKUP([FW Table Name],Tables[],5,0)</f>
        <v>VisitorWishlist</v>
      </c>
      <c r="E44" s="7" t="s">
        <v>279</v>
      </c>
      <c r="F44" s="4"/>
    </row>
    <row r="45" spans="1:6">
      <c r="A45" s="4" t="s">
        <v>216</v>
      </c>
      <c r="B45" s="4" t="s">
        <v>216</v>
      </c>
      <c r="C45" s="4" t="str">
        <f>VLOOKUP([FW Table Name],Tables[],4,0)</f>
        <v>Milestone\Teebpd\Model</v>
      </c>
      <c r="D45" s="4" t="str">
        <f>VLOOKUP([FW Table Name],Tables[],5,0)</f>
        <v>VendorWishlist</v>
      </c>
      <c r="E45" s="7" t="s">
        <v>279</v>
      </c>
      <c r="F45" s="4"/>
    </row>
    <row r="46" spans="1:6">
      <c r="A46" s="4" t="s">
        <v>217</v>
      </c>
      <c r="B46" s="4" t="s">
        <v>217</v>
      </c>
      <c r="C46" s="4" t="str">
        <f>VLOOKUP([FW Table Name],Tables[],4,0)</f>
        <v>Milestone\Teebpd\Model</v>
      </c>
      <c r="D46" s="4" t="str">
        <f>VLOOKUP([FW Table Name],Tables[],5,0)</f>
        <v>WishlistNote</v>
      </c>
      <c r="E46" s="7" t="s">
        <v>279</v>
      </c>
      <c r="F46" s="4"/>
    </row>
    <row r="47" spans="1:6">
      <c r="A47" s="3" t="s">
        <v>218</v>
      </c>
      <c r="B47" s="3" t="s">
        <v>218</v>
      </c>
      <c r="C47" s="3" t="str">
        <f>VLOOKUP([FW Table Name],Tables[],4,0)</f>
        <v>Milestone\Teebpd\Model</v>
      </c>
      <c r="D47" s="3" t="str">
        <f>VLOOKUP([FW Table Name],Tables[],5,0)</f>
        <v>WishlistProductNote</v>
      </c>
      <c r="E47" s="7" t="s">
        <v>279</v>
      </c>
      <c r="F47" s="4"/>
    </row>
  </sheetData>
  <dataValidations count="2">
    <dataValidation type="list" allowBlank="1" showInputMessage="1" showErrorMessage="1" sqref="E2:E47">
      <formula1>"truncate,query"</formula1>
    </dataValidation>
    <dataValidation type="list" allowBlank="1" showInputMessage="1" showErrorMessage="1" sqref="B2:B4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D9" sqref="D9"/>
    </sheetView>
  </sheetViews>
  <sheetFormatPr defaultRowHeight="15"/>
  <cols>
    <col min="1" max="16384" width="9.140625" style="16"/>
  </cols>
  <sheetData>
    <row r="1" spans="1:20" s="26" customFormat="1" ht="15" customHeight="1">
      <c r="A1" s="38" t="s">
        <v>102</v>
      </c>
      <c r="B1" s="38"/>
      <c r="C1" s="38"/>
      <c r="D1" s="38"/>
      <c r="E1" s="39" t="str">
        <f>"\"&amp;VLOOKUP($A$1,SeedMap[],3,0)&amp;"\"&amp;VLOOKUP($A$1,SeedMap[],4,0)&amp;"::"&amp;VLOOKUP($A$1,SeedMap[],5,0)&amp;"()"</f>
        <v>\Milestone\Appframe\Model\Resource::query()</v>
      </c>
      <c r="F1" s="39"/>
      <c r="G1" s="39"/>
      <c r="H1" s="39"/>
      <c r="I1" s="40" t="s">
        <v>21</v>
      </c>
      <c r="J1" s="40"/>
      <c r="K1" s="40"/>
      <c r="L1" s="40"/>
      <c r="M1" s="40"/>
      <c r="N1" s="40"/>
      <c r="O1" s="40"/>
      <c r="P1" s="40"/>
      <c r="Q1" s="40"/>
      <c r="R1" s="40"/>
      <c r="S1" s="20" t="str">
        <f>""</f>
        <v/>
      </c>
      <c r="T1" s="9"/>
    </row>
    <row r="2" spans="1:20" s="26" customFormat="1" ht="15" customHeight="1">
      <c r="A2" s="38"/>
      <c r="B2" s="38"/>
      <c r="C2" s="38"/>
      <c r="D2" s="38"/>
      <c r="E2" s="39" t="s">
        <v>47</v>
      </c>
      <c r="F2" s="39"/>
      <c r="G2" s="39"/>
      <c r="H2" s="39"/>
      <c r="I2" s="40" t="s">
        <v>20</v>
      </c>
      <c r="J2" s="40"/>
      <c r="K2" s="40"/>
      <c r="L2" s="40"/>
      <c r="M2" s="40"/>
      <c r="N2" s="40"/>
      <c r="O2" s="40"/>
      <c r="P2" s="40"/>
      <c r="Q2" s="40"/>
      <c r="R2" s="40"/>
      <c r="S2" s="20" t="str">
        <f>";"</f>
        <v>;</v>
      </c>
      <c r="T2" s="9"/>
    </row>
    <row r="3" spans="1:20" s="26" customFormat="1" ht="15" customHeight="1">
      <c r="A3" s="38"/>
      <c r="B3" s="38"/>
      <c r="C3" s="38"/>
      <c r="D3" s="38"/>
      <c r="E3" s="39"/>
      <c r="F3" s="39"/>
      <c r="G3" s="39"/>
      <c r="H3" s="39"/>
      <c r="I3" s="40" t="s">
        <v>45</v>
      </c>
      <c r="J3" s="40"/>
      <c r="K3" s="40"/>
      <c r="L3" s="40"/>
      <c r="M3" s="40"/>
      <c r="N3" s="40"/>
      <c r="O3" s="40"/>
      <c r="P3" s="40"/>
      <c r="Q3" s="40"/>
      <c r="R3" s="40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name</v>
      </c>
      <c r="E5" s="23" t="str">
        <f>IF(VLOOKUP($A$1&amp;"-0",TableData[[TRCode]:[15]],E$4+$B$4,0)=0,"id",VLOOKUP($A$1&amp;"-0",TableData[[TRCode]:[15]],E$4+$B$4,0))</f>
        <v>description</v>
      </c>
      <c r="F5" s="23" t="str">
        <f>IF(VLOOKUP($A$1&amp;"-0",TableData[[TRCode]:[15]],F$4+$B$4,0)=0,"id",VLOOKUP($A$1&amp;"-0",TableData[[TRCode]:[15]],F$4+$B$4,0))</f>
        <v>title</v>
      </c>
      <c r="G5" s="23" t="str">
        <f>IF(VLOOKUP($A$1&amp;"-0",TableData[[TRCode]:[15]],G$4+$B$4,0)=0,"",VLOOKUP($A$1&amp;"-0",TableData[[TRCode]:[15]],G$4+$B$4,0))</f>
        <v>namespace</v>
      </c>
      <c r="H5" s="23" t="str">
        <f>IF(VLOOKUP($A$1&amp;"-0",TableData[[TRCode]:[15]],H$4+$B$4,0)=0,"",VLOOKUP($A$1&amp;"-0",TableData[[TRCode]:[15]],H$4+$B$4,0))</f>
        <v>table</v>
      </c>
      <c r="I5" s="23" t="str">
        <f>IF(VLOOKUP($A$1&amp;"-0",TableData[[TRCode]:[15]],I$4+$B$4,0)=0,"",VLOOKUP($A$1&amp;"-0",TableData[[TRCode]:[15]],I$4+$B$4,0))</f>
        <v>key</v>
      </c>
      <c r="J5" s="23" t="str">
        <f>IF(VLOOKUP($A$1&amp;"-0",TableData[[TRCode]:[15]],J$4+$B$4,0)=0,"",VLOOKUP($A$1&amp;"-0",TableData[[TRCode]:[15]],J$4+$B$4,0))</f>
        <v>controller</v>
      </c>
      <c r="K5" s="23" t="str">
        <f>IF(VLOOKUP($A$1&amp;"-0",TableData[[TRCode]:[15]],K$4+$B$4,0)=0,"",VLOOKUP($A$1&amp;"-0",TableData[[TRCode]:[15]],K$4+$B$4,0))</f>
        <v>controller_namespace</v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5" t="str">
        <f>$I$1</f>
        <v>$_ = \DB::statement('SELECT @@GLOBAL.foreign_key_checks');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9"/>
      <c r="T6" s="9"/>
    </row>
    <row r="7" spans="1:20">
      <c r="A7" s="21"/>
      <c r="B7" s="36" t="str">
        <f>$I$2</f>
        <v>\DB::statement('set foreign_key_checks = 0');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20">
      <c r="A8" s="21"/>
      <c r="B8" s="37" t="str">
        <f>$E$1</f>
        <v>\Milestone\Appframe\Model\Resource::query()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'38',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'ItemGroupMaster', </v>
      </c>
      <c r="E9" s="22" t="str">
        <f t="shared" ca="1" si="0"/>
        <v xml:space="preserve">'description' =&gt; 'Product group details.. Category Brand Size all comes here', </v>
      </c>
      <c r="F9" s="22" t="str">
        <f t="shared" ca="1" si="0"/>
        <v xml:space="preserve">'title' =&gt; 'Item Groups', </v>
      </c>
      <c r="G9" s="22" t="str">
        <f t="shared" ca="1" si="0"/>
        <v xml:space="preserve">'namespace' =&gt; 'Milestone\Teebpd\Model', </v>
      </c>
      <c r="H9" s="22" t="str">
        <f t="shared" ca="1" si="0"/>
        <v xml:space="preserve">'table' =&gt; 'item_group_master', </v>
      </c>
      <c r="I9" s="22" t="str">
        <f t="shared" ca="1" si="0"/>
        <v xml:space="preserve">'key' =&gt; 'id', </v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'39', </v>
      </c>
      <c r="D10" s="22" t="str">
        <f t="shared" ca="1" si="0"/>
        <v xml:space="preserve">'name' =&gt; 'Product', </v>
      </c>
      <c r="E10" s="22" t="str">
        <f t="shared" ca="1" si="0"/>
        <v xml:space="preserve">'description' =&gt; 'Product Details', </v>
      </c>
      <c r="F10" s="22" t="str">
        <f t="shared" ca="1" si="0"/>
        <v xml:space="preserve">'title' =&gt; 'Products', </v>
      </c>
      <c r="G10" s="22" t="str">
        <f t="shared" ca="1" si="0"/>
        <v xml:space="preserve">'namespace' =&gt; 'Milestone\Teebpd\Model', </v>
      </c>
      <c r="H10" s="22" t="str">
        <f t="shared" ca="1" si="0"/>
        <v xml:space="preserve">'table' =&gt; 'products', </v>
      </c>
      <c r="I10" s="22" t="str">
        <f t="shared" ca="1" si="0"/>
        <v xml:space="preserve">'key' =&gt; 'id', </v>
      </c>
      <c r="J10" s="22" t="str">
        <f t="shared" ca="1" si="0"/>
        <v xml:space="preserve">'controller' =&gt; 'ProductController', </v>
      </c>
      <c r="K10" s="22" t="str">
        <f t="shared" ca="1" si="0"/>
        <v xml:space="preserve">'controller_namespace' =&gt; 'Milestone\Teebpd\Controller', </v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'40', </v>
      </c>
      <c r="D11" s="22" t="str">
        <f t="shared" ca="1" si="0"/>
        <v xml:space="preserve">'name' =&gt; 'ProductImage', </v>
      </c>
      <c r="E11" s="22" t="str">
        <f t="shared" ca="1" si="0"/>
        <v xml:space="preserve">'description' =&gt; 'Images for a product', </v>
      </c>
      <c r="F11" s="22" t="str">
        <f t="shared" ca="1" si="0"/>
        <v xml:space="preserve">'title' =&gt; 'Product Images', </v>
      </c>
      <c r="G11" s="22" t="str">
        <f t="shared" ca="1" si="0"/>
        <v xml:space="preserve">'namespace' =&gt; 'Milestone\Teebpd\Model', </v>
      </c>
      <c r="H11" s="22" t="str">
        <f t="shared" ca="1" si="0"/>
        <v xml:space="preserve">'table' =&gt; 'product_images', </v>
      </c>
      <c r="I11" s="22" t="str">
        <f t="shared" ca="1" si="0"/>
        <v xml:space="preserve">'key' =&gt; 'id', </v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'41', </v>
      </c>
      <c r="D12" s="22" t="str">
        <f t="shared" ca="1" si="0"/>
        <v xml:space="preserve">'name' =&gt; 'Visitor', </v>
      </c>
      <c r="E12" s="22" t="str">
        <f t="shared" ca="1" si="0"/>
        <v xml:space="preserve">'description' =&gt; 'Visitor Details', </v>
      </c>
      <c r="F12" s="22" t="str">
        <f t="shared" ca="1" si="0"/>
        <v xml:space="preserve">'title' =&gt; 'Visitors', </v>
      </c>
      <c r="G12" s="22" t="str">
        <f t="shared" ca="1" si="0"/>
        <v xml:space="preserve">'namespace' =&gt; 'Milestone\Teebpd\Model', </v>
      </c>
      <c r="H12" s="22" t="str">
        <f t="shared" ca="1" si="0"/>
        <v xml:space="preserve">'table' =&gt; 'visitors', </v>
      </c>
      <c r="I12" s="22" t="str">
        <f t="shared" ca="1" si="0"/>
        <v xml:space="preserve">'key' =&gt; 'id', </v>
      </c>
      <c r="J12" s="22" t="str">
        <f t="shared" ca="1" si="0"/>
        <v xml:space="preserve">'controller' =&gt; 'VisitorController', </v>
      </c>
      <c r="K12" s="22" t="str">
        <f t="shared" ca="1" si="0"/>
        <v xml:space="preserve">'controller_namespace' =&gt; 'Milestone\Teebpd\Controller', </v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'42', </v>
      </c>
      <c r="D13" s="22" t="str">
        <f t="shared" ca="1" si="0"/>
        <v xml:space="preserve">'name' =&gt; 'Wishlist', </v>
      </c>
      <c r="E13" s="22" t="str">
        <f t="shared" ca="1" si="0"/>
        <v xml:space="preserve">'description' =&gt; 'Wishlists created by author or visitor', </v>
      </c>
      <c r="F13" s="22" t="str">
        <f t="shared" ca="1" si="0"/>
        <v xml:space="preserve">'title' =&gt; 'Wishlists', </v>
      </c>
      <c r="G13" s="22" t="str">
        <f t="shared" ca="1" si="0"/>
        <v xml:space="preserve">'namespace' =&gt; 'Milestone\Teebpd\Model', </v>
      </c>
      <c r="H13" s="22" t="str">
        <f t="shared" ca="1" si="0"/>
        <v xml:space="preserve">'table' =&gt; 'wishlists', </v>
      </c>
      <c r="I13" s="22" t="str">
        <f t="shared" ca="1" si="0"/>
        <v xml:space="preserve">'key' =&gt; 'id', </v>
      </c>
      <c r="J13" s="22" t="str">
        <f t="shared" ca="1" si="0"/>
        <v xml:space="preserve">'controller' =&gt; 'WishListController', </v>
      </c>
      <c r="K13" s="22" t="str">
        <f t="shared" ca="1" si="0"/>
        <v xml:space="preserve">'controller_namespace' =&gt; 'Milestone\Teebpd\Controller', </v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'43', </v>
      </c>
      <c r="D14" s="22" t="str">
        <f t="shared" ca="1" si="0"/>
        <v xml:space="preserve">'name' =&gt; 'VendorWishlist', </v>
      </c>
      <c r="E14" s="22" t="str">
        <f t="shared" ca="1" si="0"/>
        <v xml:space="preserve">'description' =&gt; 'Wishlists which are shared with vendor', </v>
      </c>
      <c r="F14" s="22" t="str">
        <f t="shared" ca="1" si="0"/>
        <v xml:space="preserve">'title' =&gt; 'Wishlists', </v>
      </c>
      <c r="G14" s="22" t="str">
        <f t="shared" ca="1" si="0"/>
        <v xml:space="preserve">'namespace' =&gt; 'Milestone\Teebpd\Model', </v>
      </c>
      <c r="H14" s="22" t="str">
        <f t="shared" ca="1" si="0"/>
        <v xml:space="preserve">'table' =&gt; 'vendor_wishlists', </v>
      </c>
      <c r="I14" s="22" t="str">
        <f t="shared" ca="1" si="0"/>
        <v xml:space="preserve">'key' =&gt; 'id', </v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'44', </v>
      </c>
      <c r="D15" s="22" t="str">
        <f t="shared" ca="1" si="0"/>
        <v xml:space="preserve">'name' =&gt; 'VisitorWishlist', </v>
      </c>
      <c r="E15" s="22" t="str">
        <f t="shared" ca="1" si="0"/>
        <v xml:space="preserve">'description' =&gt; 'Wishlists which are shared among other visitors', </v>
      </c>
      <c r="F15" s="22" t="str">
        <f t="shared" ca="1" si="0"/>
        <v xml:space="preserve">'title' =&gt; 'Wishlists', </v>
      </c>
      <c r="G15" s="22" t="str">
        <f t="shared" ca="1" si="0"/>
        <v xml:space="preserve">'namespace' =&gt; 'Milestone\Teebpd\Model', </v>
      </c>
      <c r="H15" s="22" t="str">
        <f t="shared" ca="1" si="0"/>
        <v xml:space="preserve">'table' =&gt; 'visitor_wishlists', </v>
      </c>
      <c r="I15" s="22" t="str">
        <f t="shared" ca="1" si="0"/>
        <v xml:space="preserve">'key' =&gt; 'id', </v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'45', </v>
      </c>
      <c r="D16" s="22" t="str">
        <f t="shared" ca="1" si="0"/>
        <v xml:space="preserve">'name' =&gt; 'WishlistNote', </v>
      </c>
      <c r="E16" s="22" t="str">
        <f t="shared" ca="1" si="0"/>
        <v xml:space="preserve">'description' =&gt; 'Notes added by author or visitors on the basis of a Wishlist', </v>
      </c>
      <c r="F16" s="22" t="str">
        <f t="shared" ca="1" si="0"/>
        <v xml:space="preserve">'title' =&gt; 'Notes', </v>
      </c>
      <c r="G16" s="22" t="str">
        <f t="shared" ca="1" si="0"/>
        <v xml:space="preserve">'namespace' =&gt; 'Milestone\Teebpd\Model', </v>
      </c>
      <c r="H16" s="22" t="str">
        <f t="shared" ca="1" si="0"/>
        <v xml:space="preserve">'table' =&gt; 'wishlist_notes', </v>
      </c>
      <c r="I16" s="22" t="str">
        <f t="shared" ca="1" si="0"/>
        <v xml:space="preserve">'key' =&gt; 'id', </v>
      </c>
      <c r="J16" s="22" t="str">
        <f t="shared" ca="1" si="0"/>
        <v xml:space="preserve">'controller' =&gt; 'WishListProductController', </v>
      </c>
      <c r="K16" s="22" t="str">
        <f t="shared" ca="1" si="0"/>
        <v xml:space="preserve">'controller_namespace' =&gt; 'Milestone\Teebpd\Controller', </v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'46', </v>
      </c>
      <c r="D17" s="22" t="str">
        <f t="shared" ca="1" si="0"/>
        <v xml:space="preserve">'name' =&gt; 'WishlistProduct', </v>
      </c>
      <c r="E17" s="22" t="str">
        <f t="shared" ca="1" si="0"/>
        <v xml:space="preserve">'description' =&gt; 'List of products which are added to a wishlist', </v>
      </c>
      <c r="F17" s="22" t="str">
        <f t="shared" ca="1" si="0"/>
        <v xml:space="preserve">'title' =&gt; 'Products', </v>
      </c>
      <c r="G17" s="22" t="str">
        <f t="shared" ca="1" si="0"/>
        <v xml:space="preserve">'namespace' =&gt; 'Milestone\Teebpd\Model', </v>
      </c>
      <c r="H17" s="22" t="str">
        <f t="shared" ca="1" si="0"/>
        <v xml:space="preserve">'table' =&gt; 'wishlist_products', </v>
      </c>
      <c r="I17" s="22" t="str">
        <f t="shared" ca="1" si="0"/>
        <v xml:space="preserve">'key' =&gt; 'id', </v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'47', </v>
      </c>
      <c r="D18" s="22" t="str">
        <f t="shared" ca="1" si="0"/>
        <v xml:space="preserve">'name' =&gt; 'WishlistProductNote', </v>
      </c>
      <c r="E18" s="22" t="str">
        <f t="shared" ca="1" si="0"/>
        <v xml:space="preserve">'description' =&gt; 'Notes related to a product in a wishlist', </v>
      </c>
      <c r="F18" s="22" t="str">
        <f t="shared" ca="1" si="0"/>
        <v xml:space="preserve">'title' =&gt; 'Notes', </v>
      </c>
      <c r="G18" s="22" t="str">
        <f t="shared" ca="1" si="0"/>
        <v xml:space="preserve">'namespace' =&gt; 'Milestone\Teebpd\Model', </v>
      </c>
      <c r="H18" s="22" t="str">
        <f t="shared" ca="1" si="0"/>
        <v xml:space="preserve">'table' =&gt; 'wishlist_product_notes', </v>
      </c>
      <c r="I18" s="22" t="str">
        <f t="shared" ca="1" si="0"/>
        <v xml:space="preserve">'key' =&gt; 'id', </v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;</v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>\DB::statement('set foreign_key_checks = ' . $_);</v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2018-11-29T07:31:27Z</dcterms:modified>
</cp:coreProperties>
</file>