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0095" yWindow="0" windowWidth="18705" windowHeight="11760" tabRatio="815" activeTab="3"/>
  </bookViews>
  <sheets>
    <sheet name="Angazovanje FIT" sheetId="21" r:id="rId1"/>
    <sheet name="Cenovnik" sheetId="7" r:id="rId2"/>
    <sheet name="Kriterijumi obračuna faktora AH" sheetId="3" r:id="rId3"/>
    <sheet name="Zarade nastavmika-RO" sheetId="6" r:id="rId4"/>
    <sheet name="Zarade saradnika-RO" sheetId="66" r:id="rId5"/>
    <sheet name="Zarada nastavnika-HO" sheetId="98" r:id="rId6"/>
    <sheet name="Zarada saradnika-HO" sheetId="95" r:id="rId7"/>
  </sheets>
  <externalReferences>
    <externalReference r:id="rId8"/>
    <externalReference r:id="rId9"/>
    <externalReference r:id="rId10"/>
  </externalReferences>
  <definedNames>
    <definedName name="Fakultet">#REF!</definedName>
    <definedName name="Ima_AH">#REF!</definedName>
    <definedName name="KBP">[1]Cenovnik!$D$20:$D$22</definedName>
    <definedName name="Keof.obl.nast.">#REF!</definedName>
    <definedName name="KPR_koef_programa">[1]Cenovnik!$D$34:$D$36</definedName>
    <definedName name="KT">#REF!</definedName>
    <definedName name="Lokacija">#REF!</definedName>
    <definedName name="Nastavnici">[1]Nastavnici!$B$2:$B$152</definedName>
    <definedName name="Nastavnici_saradnici">[2]Saradnici!$B$3:$B$115</definedName>
    <definedName name="Saradnici">[2]Saradnici!$B$3:$B$36</definedName>
    <definedName name="Semestar">#REF!</definedName>
    <definedName name="St.izm.">#REF!</definedName>
    <definedName name="Stepen_izm_honorarci">[3]Cenovnik!$C$70:$C$72</definedName>
    <definedName name="Tip_nastave">#REF!</definedName>
    <definedName name="Zvanje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6"/>
  <c r="D70" i="98"/>
  <c r="D105"/>
  <c r="D71"/>
  <c r="H152"/>
  <c r="D138"/>
  <c r="D72"/>
  <c r="H161"/>
  <c r="D139"/>
  <c r="D73"/>
  <c r="D133"/>
  <c r="D76"/>
  <c r="D77"/>
  <c r="E70"/>
  <c r="E105"/>
  <c r="E71"/>
  <c r="I152"/>
  <c r="E138"/>
  <c r="E72"/>
  <c r="I161"/>
  <c r="E139"/>
  <c r="E73"/>
  <c r="E133"/>
  <c r="E76"/>
  <c r="E77"/>
  <c r="F70"/>
  <c r="F105"/>
  <c r="F71"/>
  <c r="J152"/>
  <c r="F138"/>
  <c r="F72"/>
  <c r="J161"/>
  <c r="F139"/>
  <c r="F73"/>
  <c r="F133"/>
  <c r="F76"/>
  <c r="F77"/>
  <c r="G70"/>
  <c r="G105"/>
  <c r="G71"/>
  <c r="G133"/>
  <c r="G76"/>
  <c r="G77"/>
  <c r="H70"/>
  <c r="H105"/>
  <c r="H71"/>
  <c r="H133"/>
  <c r="H76"/>
  <c r="H77"/>
  <c r="I70"/>
  <c r="I105"/>
  <c r="I71"/>
  <c r="I133"/>
  <c r="I76"/>
  <c r="I77"/>
  <c r="J70"/>
  <c r="J105"/>
  <c r="J71"/>
  <c r="J133"/>
  <c r="J76"/>
  <c r="J77"/>
  <c r="C70"/>
  <c r="C105"/>
  <c r="C71"/>
  <c r="C152"/>
  <c r="C138"/>
  <c r="C72"/>
  <c r="C161"/>
  <c r="C139"/>
  <c r="C73"/>
  <c r="C133"/>
  <c r="C76"/>
  <c r="C77"/>
  <c r="H178"/>
  <c r="D141"/>
  <c r="D75"/>
  <c r="I178"/>
  <c r="E141"/>
  <c r="E75"/>
  <c r="J178"/>
  <c r="F141"/>
  <c r="F75"/>
  <c r="G75"/>
  <c r="H75"/>
  <c r="I75"/>
  <c r="J75"/>
  <c r="H172"/>
  <c r="D140"/>
  <c r="D74"/>
  <c r="I172"/>
  <c r="E140"/>
  <c r="E74"/>
  <c r="J172"/>
  <c r="F140"/>
  <c r="F74"/>
  <c r="G74"/>
  <c r="H74"/>
  <c r="I74"/>
  <c r="J74"/>
  <c r="G73"/>
  <c r="H73"/>
  <c r="I73"/>
  <c r="J73"/>
  <c r="G72"/>
  <c r="H72"/>
  <c r="I72"/>
  <c r="J72"/>
  <c r="D178"/>
  <c r="E178"/>
  <c r="F178"/>
  <c r="G178"/>
  <c r="D177"/>
  <c r="E177"/>
  <c r="F177"/>
  <c r="G177"/>
  <c r="H177"/>
  <c r="I177"/>
  <c r="J177"/>
  <c r="D176"/>
  <c r="E176"/>
  <c r="F176"/>
  <c r="G176"/>
  <c r="H176"/>
  <c r="I176"/>
  <c r="J176"/>
  <c r="D172"/>
  <c r="E172"/>
  <c r="F172"/>
  <c r="G172"/>
  <c r="D171"/>
  <c r="E171"/>
  <c r="F171"/>
  <c r="G171"/>
  <c r="H171"/>
  <c r="I171"/>
  <c r="J171"/>
  <c r="D170"/>
  <c r="E170"/>
  <c r="F170"/>
  <c r="G170"/>
  <c r="H170"/>
  <c r="I170"/>
  <c r="J170"/>
  <c r="D161"/>
  <c r="E161"/>
  <c r="F161"/>
  <c r="G161"/>
  <c r="D160"/>
  <c r="E160"/>
  <c r="F160"/>
  <c r="G160"/>
  <c r="H160"/>
  <c r="I160"/>
  <c r="J160"/>
  <c r="C160"/>
  <c r="C140" i="6"/>
  <c r="D159" i="98"/>
  <c r="E159"/>
  <c r="F159"/>
  <c r="G159"/>
  <c r="H159"/>
  <c r="I159"/>
  <c r="J159"/>
  <c r="D152"/>
  <c r="E152"/>
  <c r="F152"/>
  <c r="G152"/>
  <c r="D151"/>
  <c r="E151"/>
  <c r="F151"/>
  <c r="G151"/>
  <c r="H151"/>
  <c r="I151"/>
  <c r="J151"/>
  <c r="D150"/>
  <c r="E150"/>
  <c r="F150"/>
  <c r="G150"/>
  <c r="H150"/>
  <c r="I150"/>
  <c r="J150"/>
  <c r="J145"/>
  <c r="I145"/>
  <c r="H145"/>
  <c r="G145"/>
  <c r="F145"/>
  <c r="E145"/>
  <c r="D145"/>
  <c r="C145"/>
  <c r="D142"/>
  <c r="E142"/>
  <c r="F142"/>
  <c r="G138"/>
  <c r="G139"/>
  <c r="G140"/>
  <c r="G141"/>
  <c r="G142"/>
  <c r="H138"/>
  <c r="H139"/>
  <c r="H140"/>
  <c r="H141"/>
  <c r="H142"/>
  <c r="I138"/>
  <c r="I139"/>
  <c r="I140"/>
  <c r="I141"/>
  <c r="I142"/>
  <c r="J138"/>
  <c r="J139"/>
  <c r="J140"/>
  <c r="J141"/>
  <c r="J142"/>
  <c r="D131"/>
  <c r="D132"/>
  <c r="E131"/>
  <c r="E132"/>
  <c r="F131"/>
  <c r="F132"/>
  <c r="G131"/>
  <c r="G132"/>
  <c r="H131"/>
  <c r="H132"/>
  <c r="I131"/>
  <c r="I132"/>
  <c r="J131"/>
  <c r="J132"/>
  <c r="C131"/>
  <c r="C132"/>
  <c r="D104"/>
  <c r="E104"/>
  <c r="F104"/>
  <c r="G104"/>
  <c r="H104"/>
  <c r="I104"/>
  <c r="J104"/>
  <c r="D78"/>
  <c r="D79"/>
  <c r="D81"/>
  <c r="E78"/>
  <c r="E79"/>
  <c r="E81"/>
  <c r="F78"/>
  <c r="F79"/>
  <c r="F81"/>
  <c r="G78"/>
  <c r="G79"/>
  <c r="G81"/>
  <c r="H78"/>
  <c r="H79"/>
  <c r="H81"/>
  <c r="I78"/>
  <c r="I79"/>
  <c r="I81"/>
  <c r="J78"/>
  <c r="J79"/>
  <c r="J81"/>
  <c r="C78"/>
  <c r="C79"/>
  <c r="C81"/>
  <c r="D80"/>
  <c r="E80"/>
  <c r="F80"/>
  <c r="G80"/>
  <c r="H80"/>
  <c r="I80"/>
  <c r="J80"/>
  <c r="C80"/>
  <c r="F69"/>
  <c r="G69"/>
  <c r="H69"/>
  <c r="I69"/>
  <c r="J69"/>
  <c r="E69"/>
  <c r="C176"/>
  <c r="C177"/>
  <c r="C178"/>
  <c r="C141"/>
  <c r="C75"/>
  <c r="C170"/>
  <c r="C171"/>
  <c r="C172"/>
  <c r="C140"/>
  <c r="C74"/>
  <c r="C150"/>
  <c r="C151"/>
  <c r="C104"/>
  <c r="D69"/>
  <c r="C69"/>
  <c r="C139" i="6"/>
  <c r="D139"/>
  <c r="D130"/>
  <c r="D131"/>
  <c r="D132"/>
  <c r="D118"/>
  <c r="F40"/>
  <c r="D140"/>
  <c r="D141"/>
  <c r="D119"/>
  <c r="F41"/>
  <c r="D150"/>
  <c r="D151"/>
  <c r="D152"/>
  <c r="D120"/>
  <c r="F42"/>
  <c r="D156"/>
  <c r="D157"/>
  <c r="D158"/>
  <c r="D121"/>
  <c r="F43"/>
  <c r="F38"/>
  <c r="D85"/>
  <c r="F39"/>
  <c r="D113"/>
  <c r="F44"/>
  <c r="F45"/>
  <c r="F47"/>
  <c r="F49"/>
  <c r="E130"/>
  <c r="E131"/>
  <c r="E132"/>
  <c r="E118"/>
  <c r="G40"/>
  <c r="E139"/>
  <c r="E140"/>
  <c r="E141"/>
  <c r="E119"/>
  <c r="G41"/>
  <c r="E150"/>
  <c r="E151"/>
  <c r="E152"/>
  <c r="E120"/>
  <c r="G42"/>
  <c r="E156"/>
  <c r="E157"/>
  <c r="E158"/>
  <c r="E121"/>
  <c r="G43"/>
  <c r="G38"/>
  <c r="E85"/>
  <c r="G39"/>
  <c r="E113"/>
  <c r="G44"/>
  <c r="G45"/>
  <c r="G47"/>
  <c r="G49"/>
  <c r="F130"/>
  <c r="F131"/>
  <c r="F132"/>
  <c r="F118"/>
  <c r="H40"/>
  <c r="F139"/>
  <c r="F140"/>
  <c r="F141"/>
  <c r="F119"/>
  <c r="H41"/>
  <c r="F150"/>
  <c r="F151"/>
  <c r="F152"/>
  <c r="F120"/>
  <c r="H42"/>
  <c r="F156"/>
  <c r="F157"/>
  <c r="F158"/>
  <c r="F121"/>
  <c r="H43"/>
  <c r="H38"/>
  <c r="F85"/>
  <c r="H39"/>
  <c r="F113"/>
  <c r="H44"/>
  <c r="H45"/>
  <c r="H47"/>
  <c r="H49"/>
  <c r="G130"/>
  <c r="G131"/>
  <c r="G132"/>
  <c r="G118"/>
  <c r="I40"/>
  <c r="G139"/>
  <c r="G140"/>
  <c r="G141"/>
  <c r="G119"/>
  <c r="I41"/>
  <c r="G150"/>
  <c r="G151"/>
  <c r="G152"/>
  <c r="G120"/>
  <c r="I42"/>
  <c r="G156"/>
  <c r="G157"/>
  <c r="G158"/>
  <c r="G121"/>
  <c r="I43"/>
  <c r="I38"/>
  <c r="G85"/>
  <c r="I39"/>
  <c r="G113"/>
  <c r="I44"/>
  <c r="I45"/>
  <c r="I47"/>
  <c r="I49"/>
  <c r="H130"/>
  <c r="H131"/>
  <c r="H132"/>
  <c r="H118"/>
  <c r="J40"/>
  <c r="H139"/>
  <c r="H140"/>
  <c r="H141"/>
  <c r="H119"/>
  <c r="J41"/>
  <c r="H150"/>
  <c r="H151"/>
  <c r="H152"/>
  <c r="H120"/>
  <c r="J42"/>
  <c r="H156"/>
  <c r="H157"/>
  <c r="H158"/>
  <c r="H121"/>
  <c r="J43"/>
  <c r="J38"/>
  <c r="H85"/>
  <c r="J39"/>
  <c r="H113"/>
  <c r="J44"/>
  <c r="J45"/>
  <c r="J47"/>
  <c r="J49"/>
  <c r="I130"/>
  <c r="I131"/>
  <c r="I132"/>
  <c r="I118"/>
  <c r="K40"/>
  <c r="I139"/>
  <c r="I140"/>
  <c r="I141"/>
  <c r="I119"/>
  <c r="K41"/>
  <c r="I150"/>
  <c r="I151"/>
  <c r="I152"/>
  <c r="I120"/>
  <c r="K42"/>
  <c r="I156"/>
  <c r="I157"/>
  <c r="I158"/>
  <c r="I121"/>
  <c r="K43"/>
  <c r="K38"/>
  <c r="I85"/>
  <c r="K39"/>
  <c r="I113"/>
  <c r="K44"/>
  <c r="K45"/>
  <c r="K47"/>
  <c r="K49"/>
  <c r="J130"/>
  <c r="J131"/>
  <c r="J132"/>
  <c r="J118"/>
  <c r="L40"/>
  <c r="J139"/>
  <c r="J140"/>
  <c r="J141"/>
  <c r="J119"/>
  <c r="L41"/>
  <c r="J150"/>
  <c r="J151"/>
  <c r="J152"/>
  <c r="J120"/>
  <c r="L42"/>
  <c r="J156"/>
  <c r="J157"/>
  <c r="J158"/>
  <c r="J121"/>
  <c r="L43"/>
  <c r="L38"/>
  <c r="J85"/>
  <c r="L39"/>
  <c r="J113"/>
  <c r="L44"/>
  <c r="L45"/>
  <c r="L47"/>
  <c r="L49"/>
  <c r="K130"/>
  <c r="K131"/>
  <c r="K132"/>
  <c r="K118"/>
  <c r="M40"/>
  <c r="K139"/>
  <c r="K140"/>
  <c r="K141"/>
  <c r="K119"/>
  <c r="M41"/>
  <c r="K150"/>
  <c r="K151"/>
  <c r="K152"/>
  <c r="K120"/>
  <c r="M42"/>
  <c r="K156"/>
  <c r="K157"/>
  <c r="K158"/>
  <c r="K121"/>
  <c r="M43"/>
  <c r="M38"/>
  <c r="K85"/>
  <c r="M39"/>
  <c r="K113"/>
  <c r="M44"/>
  <c r="M45"/>
  <c r="M47"/>
  <c r="M49"/>
  <c r="L130"/>
  <c r="L131"/>
  <c r="L132"/>
  <c r="L118"/>
  <c r="N40"/>
  <c r="L139"/>
  <c r="L140"/>
  <c r="L141"/>
  <c r="L119"/>
  <c r="N41"/>
  <c r="L150"/>
  <c r="L151"/>
  <c r="L152"/>
  <c r="L120"/>
  <c r="N42"/>
  <c r="L156"/>
  <c r="L157"/>
  <c r="L158"/>
  <c r="L121"/>
  <c r="N43"/>
  <c r="N38"/>
  <c r="L85"/>
  <c r="N39"/>
  <c r="L113"/>
  <c r="N44"/>
  <c r="N45"/>
  <c r="N47"/>
  <c r="N49"/>
  <c r="M130"/>
  <c r="M131"/>
  <c r="M132"/>
  <c r="M118"/>
  <c r="O40"/>
  <c r="M139"/>
  <c r="M140"/>
  <c r="M141"/>
  <c r="M119"/>
  <c r="O41"/>
  <c r="M150"/>
  <c r="M151"/>
  <c r="M152"/>
  <c r="M120"/>
  <c r="O42"/>
  <c r="M156"/>
  <c r="M157"/>
  <c r="M158"/>
  <c r="M121"/>
  <c r="O43"/>
  <c r="O38"/>
  <c r="M85"/>
  <c r="O39"/>
  <c r="M113"/>
  <c r="O44"/>
  <c r="O45"/>
  <c r="O47"/>
  <c r="O49"/>
  <c r="N130"/>
  <c r="N131"/>
  <c r="N132"/>
  <c r="N118"/>
  <c r="P40"/>
  <c r="N139"/>
  <c r="N140"/>
  <c r="N141"/>
  <c r="N119"/>
  <c r="P41"/>
  <c r="N150"/>
  <c r="N151"/>
  <c r="N152"/>
  <c r="N120"/>
  <c r="P42"/>
  <c r="N156"/>
  <c r="N157"/>
  <c r="N158"/>
  <c r="N121"/>
  <c r="P43"/>
  <c r="P38"/>
  <c r="N85"/>
  <c r="P39"/>
  <c r="N113"/>
  <c r="P44"/>
  <c r="P45"/>
  <c r="P47"/>
  <c r="P49"/>
  <c r="F48"/>
  <c r="G48"/>
  <c r="H48"/>
  <c r="I48"/>
  <c r="J48"/>
  <c r="K48"/>
  <c r="L48"/>
  <c r="M48"/>
  <c r="N48"/>
  <c r="O48"/>
  <c r="P48"/>
  <c r="M46"/>
  <c r="L46"/>
  <c r="I46"/>
  <c r="H46"/>
  <c r="G46"/>
  <c r="E46"/>
  <c r="F37"/>
  <c r="G37"/>
  <c r="H37"/>
  <c r="I37"/>
  <c r="J37"/>
  <c r="K37"/>
  <c r="L37"/>
  <c r="M37"/>
  <c r="N37"/>
  <c r="O37"/>
  <c r="P37"/>
  <c r="D84"/>
  <c r="E84"/>
  <c r="F84"/>
  <c r="G84"/>
  <c r="H84"/>
  <c r="I84"/>
  <c r="J84"/>
  <c r="K84"/>
  <c r="L84"/>
  <c r="M84"/>
  <c r="N84"/>
  <c r="D125"/>
  <c r="D122"/>
  <c r="E125"/>
  <c r="E122"/>
  <c r="F125"/>
  <c r="F122"/>
  <c r="G125"/>
  <c r="G122"/>
  <c r="H125"/>
  <c r="H122"/>
  <c r="I125"/>
  <c r="I122"/>
  <c r="J125"/>
  <c r="J122"/>
  <c r="K125"/>
  <c r="K122"/>
  <c r="L125"/>
  <c r="L122"/>
  <c r="M125"/>
  <c r="M122"/>
  <c r="N125"/>
  <c r="N122"/>
  <c r="D111"/>
  <c r="D112"/>
  <c r="E111"/>
  <c r="E112"/>
  <c r="F111"/>
  <c r="F112"/>
  <c r="G111"/>
  <c r="G112"/>
  <c r="H111"/>
  <c r="H112"/>
  <c r="I111"/>
  <c r="I112"/>
  <c r="J111"/>
  <c r="J112"/>
  <c r="K111"/>
  <c r="K112"/>
  <c r="L111"/>
  <c r="L112"/>
  <c r="M111"/>
  <c r="M112"/>
  <c r="N111"/>
  <c r="N112"/>
  <c r="C111"/>
  <c r="C112"/>
  <c r="K14" i="98"/>
  <c r="C5"/>
  <c r="L14"/>
  <c r="H14"/>
  <c r="K13"/>
  <c r="L13"/>
  <c r="H13"/>
  <c r="K10"/>
  <c r="L10"/>
  <c r="H10"/>
  <c r="K9"/>
  <c r="L9"/>
  <c r="H9"/>
  <c r="C46"/>
  <c r="C45"/>
  <c r="C44"/>
  <c r="C11" i="66"/>
  <c r="K9" i="95"/>
  <c r="L9"/>
  <c r="H9"/>
  <c r="H29" i="66"/>
  <c r="H20"/>
  <c r="K20"/>
  <c r="L20"/>
  <c r="M20"/>
  <c r="H19"/>
  <c r="K19"/>
  <c r="L19"/>
  <c r="M19"/>
  <c r="H26"/>
  <c r="K26"/>
  <c r="L26"/>
  <c r="M26"/>
  <c r="H25"/>
  <c r="K25"/>
  <c r="L25"/>
  <c r="M25"/>
  <c r="H29" i="6"/>
  <c r="H26"/>
  <c r="K26"/>
  <c r="C11"/>
  <c r="L26"/>
  <c r="M26"/>
  <c r="H25"/>
  <c r="K25"/>
  <c r="L25"/>
  <c r="M25"/>
  <c r="H21"/>
  <c r="K21"/>
  <c r="L21"/>
  <c r="M21"/>
  <c r="H20"/>
  <c r="K20"/>
  <c r="L20"/>
  <c r="M20"/>
  <c r="K29"/>
  <c r="H28"/>
  <c r="K28"/>
  <c r="H27"/>
  <c r="K27"/>
  <c r="H24"/>
  <c r="K24"/>
  <c r="H23"/>
  <c r="K23"/>
  <c r="H22"/>
  <c r="K22"/>
  <c r="H19"/>
  <c r="K19"/>
  <c r="H18"/>
  <c r="K18"/>
  <c r="K15" i="95"/>
  <c r="K14"/>
  <c r="H13"/>
  <c r="K13"/>
  <c r="H12"/>
  <c r="K12"/>
  <c r="K11"/>
  <c r="H10"/>
  <c r="K10"/>
  <c r="H8"/>
  <c r="K8"/>
  <c r="K15" i="98"/>
  <c r="K12"/>
  <c r="K11"/>
  <c r="H8"/>
  <c r="K8"/>
  <c r="L8"/>
  <c r="L11"/>
  <c r="L5"/>
  <c r="C22"/>
  <c r="F22"/>
  <c r="H22"/>
  <c r="L12"/>
  <c r="L15"/>
  <c r="L6"/>
  <c r="D22"/>
  <c r="G22"/>
  <c r="I22"/>
  <c r="J22"/>
  <c r="C159"/>
  <c r="C23"/>
  <c r="H23"/>
  <c r="G23"/>
  <c r="D23"/>
  <c r="I23"/>
  <c r="J23"/>
  <c r="J24"/>
  <c r="I24"/>
  <c r="H24"/>
  <c r="E22"/>
  <c r="E23"/>
  <c r="E24"/>
  <c r="D24"/>
  <c r="C24"/>
  <c r="L8" i="95"/>
  <c r="L10"/>
  <c r="L11"/>
  <c r="L5"/>
  <c r="D21"/>
  <c r="L12"/>
  <c r="L13"/>
  <c r="L14"/>
  <c r="L15"/>
  <c r="L6"/>
  <c r="D22"/>
  <c r="D20"/>
  <c r="D19"/>
  <c r="K5"/>
  <c r="C21"/>
  <c r="K6"/>
  <c r="C22"/>
  <c r="C20"/>
  <c r="C19"/>
  <c r="K6" i="98"/>
  <c r="K5"/>
  <c r="D95" i="7"/>
  <c r="F25" i="98"/>
  <c r="J19"/>
  <c r="J20"/>
  <c r="J21"/>
  <c r="I19"/>
  <c r="I20"/>
  <c r="I21"/>
  <c r="H19"/>
  <c r="H20"/>
  <c r="H21"/>
  <c r="E19"/>
  <c r="E20"/>
  <c r="E21"/>
  <c r="D19"/>
  <c r="D20"/>
  <c r="D21"/>
  <c r="C19"/>
  <c r="C20"/>
  <c r="C21"/>
  <c r="F164" i="7"/>
  <c r="E164"/>
  <c r="D164"/>
  <c r="P46" i="6"/>
  <c r="O46"/>
  <c r="N46"/>
  <c r="K46"/>
  <c r="J46"/>
  <c r="F46"/>
  <c r="C113"/>
  <c r="F165" i="7"/>
  <c r="E165"/>
  <c r="D165"/>
  <c r="F167"/>
  <c r="E167"/>
  <c r="D167"/>
  <c r="F166"/>
  <c r="E166"/>
  <c r="D166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H12" i="98"/>
  <c r="H44"/>
  <c r="H45"/>
  <c r="H46"/>
  <c r="H47"/>
  <c r="I36"/>
  <c r="I37"/>
  <c r="I38"/>
  <c r="I39"/>
  <c r="H36"/>
  <c r="H37"/>
  <c r="H38"/>
  <c r="H39"/>
  <c r="H15"/>
  <c r="H11"/>
  <c r="H15" i="95"/>
  <c r="H14"/>
  <c r="H11"/>
  <c r="L27" i="6"/>
  <c r="E38"/>
  <c r="C84"/>
  <c r="C85"/>
  <c r="E39"/>
  <c r="C125"/>
  <c r="C130"/>
  <c r="C131"/>
  <c r="C132"/>
  <c r="C118"/>
  <c r="E40"/>
  <c r="C141"/>
  <c r="C119"/>
  <c r="E41"/>
  <c r="C150"/>
  <c r="C151"/>
  <c r="C152"/>
  <c r="C120"/>
  <c r="E42"/>
  <c r="C156"/>
  <c r="C157"/>
  <c r="C158"/>
  <c r="C121"/>
  <c r="E43"/>
  <c r="E44"/>
  <c r="E37"/>
  <c r="E45"/>
  <c r="E47"/>
  <c r="E49"/>
  <c r="E48"/>
  <c r="D11" i="7"/>
  <c r="G64"/>
  <c r="G65"/>
  <c r="D45" i="6"/>
  <c r="C45"/>
  <c r="L29"/>
  <c r="M29"/>
  <c r="L28"/>
  <c r="M28"/>
  <c r="M27"/>
  <c r="L24"/>
  <c r="M24"/>
  <c r="L23"/>
  <c r="M23"/>
  <c r="L22"/>
  <c r="M22"/>
  <c r="L19"/>
  <c r="M19"/>
  <c r="L18"/>
  <c r="M18"/>
  <c r="L15"/>
  <c r="L16"/>
  <c r="M16"/>
  <c r="K16"/>
  <c r="K15"/>
  <c r="C5"/>
  <c r="D15"/>
  <c r="E45" i="66"/>
  <c r="E47"/>
  <c r="E48"/>
  <c r="E49"/>
  <c r="D49"/>
  <c r="C49"/>
  <c r="D48"/>
  <c r="C48"/>
  <c r="H18"/>
  <c r="H21"/>
  <c r="H22"/>
  <c r="H23"/>
  <c r="C42"/>
  <c r="H24"/>
  <c r="H27"/>
  <c r="H28"/>
  <c r="D42"/>
  <c r="E42"/>
  <c r="E43"/>
  <c r="E44"/>
  <c r="E46"/>
  <c r="C5"/>
  <c r="C8"/>
  <c r="C15"/>
  <c r="D15"/>
  <c r="K18"/>
  <c r="L18"/>
  <c r="K21"/>
  <c r="L21"/>
  <c r="K22"/>
  <c r="L22"/>
  <c r="K23"/>
  <c r="L23"/>
  <c r="L15"/>
  <c r="C35"/>
  <c r="C36"/>
  <c r="K24"/>
  <c r="L24"/>
  <c r="K27"/>
  <c r="L27"/>
  <c r="K28"/>
  <c r="L28"/>
  <c r="K29"/>
  <c r="L29"/>
  <c r="L16"/>
  <c r="D35"/>
  <c r="D36"/>
  <c r="E36"/>
  <c r="C37"/>
  <c r="D37"/>
  <c r="E37"/>
  <c r="E38"/>
  <c r="D38"/>
  <c r="C38"/>
  <c r="E35"/>
  <c r="E34"/>
  <c r="D34"/>
  <c r="C34"/>
  <c r="M29"/>
  <c r="M28"/>
  <c r="M27"/>
  <c r="M24"/>
  <c r="M23"/>
  <c r="M22"/>
  <c r="M21"/>
  <c r="M18"/>
  <c r="M16"/>
  <c r="K16"/>
  <c r="K15"/>
  <c r="R14"/>
  <c r="D14"/>
  <c r="M3"/>
  <c r="D8" i="7"/>
  <c r="H159"/>
  <c r="H160"/>
  <c r="H161"/>
  <c r="H162"/>
  <c r="H163"/>
  <c r="H164"/>
  <c r="H165"/>
  <c r="H166"/>
  <c r="H167"/>
  <c r="H158"/>
  <c r="C33" i="3"/>
  <c r="C29"/>
  <c r="C30"/>
  <c r="C34"/>
  <c r="C35"/>
  <c r="C36"/>
  <c r="C66"/>
  <c r="C122" i="6"/>
  <c r="G58"/>
  <c r="F57"/>
  <c r="G57"/>
  <c r="F62"/>
  <c r="C57"/>
  <c r="H57"/>
  <c r="D57"/>
  <c r="I57"/>
  <c r="J57"/>
  <c r="J54"/>
  <c r="D58"/>
  <c r="I58"/>
  <c r="C58"/>
  <c r="H58"/>
  <c r="J58"/>
  <c r="J55"/>
  <c r="J56"/>
  <c r="I54"/>
  <c r="I55"/>
  <c r="I56"/>
  <c r="H54"/>
  <c r="H55"/>
  <c r="H56"/>
  <c r="E57"/>
  <c r="E54"/>
  <c r="E58"/>
  <c r="E55"/>
  <c r="E56"/>
  <c r="D54"/>
  <c r="D55"/>
  <c r="D56"/>
  <c r="C54"/>
  <c r="C55"/>
  <c r="C56"/>
  <c r="E60"/>
  <c r="E59"/>
  <c r="E61"/>
  <c r="D60"/>
  <c r="C60"/>
  <c r="D59"/>
  <c r="C59"/>
  <c r="H60"/>
  <c r="J60"/>
  <c r="H59"/>
  <c r="J59"/>
  <c r="J61"/>
  <c r="H61"/>
  <c r="D61"/>
  <c r="C61"/>
  <c r="E17" i="7"/>
  <c r="E39"/>
  <c r="E38"/>
  <c r="E36"/>
  <c r="E35"/>
  <c r="E16"/>
  <c r="E13"/>
  <c r="H8"/>
  <c r="H7"/>
  <c r="H6"/>
  <c r="H5"/>
  <c r="D5"/>
  <c r="E5"/>
  <c r="F5"/>
  <c r="D14" i="6"/>
  <c r="M3"/>
  <c r="C89" i="3"/>
  <c r="C61"/>
  <c r="C62"/>
  <c r="C48"/>
  <c r="C49"/>
  <c r="C142" i="98"/>
</calcChain>
</file>

<file path=xl/sharedStrings.xml><?xml version="1.0" encoding="utf-8"?>
<sst xmlns="http://schemas.openxmlformats.org/spreadsheetml/2006/main" count="1860" uniqueCount="785">
  <si>
    <t>računa program prema algoritmu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</si>
  <si>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</si>
  <si>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</si>
  <si>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</si>
  <si>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</si>
  <si>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</si>
  <si>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</si>
  <si>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</si>
  <si>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</si>
  <si>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</si>
  <si>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</si>
  <si>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</si>
  <si>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</si>
  <si>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</si>
  <si>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</si>
  <si>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</si>
  <si>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Stepen pokrivanja programa predmeta nastavnim materijalom</t>
  </si>
  <si>
    <t>Ocena sadržaja Plana i programa predmeta</t>
  </si>
  <si>
    <t>Nastavni materijal ima jasnu i odgovarajuću strukturu</t>
  </si>
  <si>
    <t>Korišćenje  i označavanje ključnih reči, rezervisanih reči i stranih reči.</t>
  </si>
  <si>
    <t>Ispravnost i tehnički izgled teksta</t>
  </si>
  <si>
    <t>Korišćenje slika i nihov kvalitet</t>
  </si>
  <si>
    <t>Korišćenje tabela i njihov kvalitet</t>
  </si>
  <si>
    <t>Korišćenje dovoljnog broja pokaznih primera u predavanjima</t>
  </si>
  <si>
    <t>Jasnoća i kvalitet sadržaja lekcija (u sekcijama), sa stručnog i pedagoškog aspekta</t>
  </si>
  <si>
    <t>Kvalitet pripremljenih LAMS aktivnosti na kraju svake lekcije</t>
  </si>
  <si>
    <t>Korišćeni video klipovi su odgovarajući i dobro odabrani</t>
  </si>
  <si>
    <t>LAMS interaktivne aktivnosti  u okviru OU 1. reda su dobro pripremljene i korisne za samoocenjivanje studenata</t>
  </si>
  <si>
    <t>Pokazna vežba sadrži dovoljan broj adekvatnim pokaznih primera</t>
  </si>
  <si>
    <t>Individualna vežba ima dvoljan broja adekvatno pstavljenih zadataka</t>
  </si>
  <si>
    <t>C.16</t>
  </si>
  <si>
    <t>Ocenite kvalitet i adekvatnost projektnog zadatka</t>
  </si>
  <si>
    <t>C.17</t>
  </si>
  <si>
    <t>Ocenite kvalitet i adekvatnost domaćih zadataka i drugih preispitnih obaveza studenata</t>
  </si>
  <si>
    <t>Adekvatnost naslova objekata učenja i  sekcija, kao  i teksta poenti</t>
  </si>
  <si>
    <t>C.18</t>
  </si>
  <si>
    <t>Ocenite sadržaj sledećih elemenata u Planu i programu predmeta: a) Cilj predmeta b) Opis predmeta, c)Ishodi učenja d) Deo korupsa znanja koje predmet obrađuje</t>
  </si>
  <si>
    <t>C.19</t>
  </si>
  <si>
    <t>Ocenite adekvatnost planiranog ispita i načina ocenjivanja studenata</t>
  </si>
  <si>
    <t>C.20</t>
  </si>
  <si>
    <t>Ocenite sadržajnost, jasnoću i preciznost Plana nastave za svaku nedelju nastave U Planu i programu predmeta</t>
  </si>
  <si>
    <t>МОДЕЛ ОБРАЧУНА АУТОРСКИХ ХОНОРАРА У ШКОЛСКОЈ 2016-17</t>
  </si>
  <si>
    <t>Вредност бода се одређује на почетку школске године, на основу уписа нових студената</t>
  </si>
  <si>
    <t>Вредност бода у претходној школској години је био 100 динара.</t>
  </si>
  <si>
    <t>Бодови</t>
  </si>
  <si>
    <t>AH1</t>
  </si>
  <si>
    <t>Аконтација ауторског хонорара за предмет са  2 часа предавања недељно</t>
  </si>
  <si>
    <t>AH2</t>
  </si>
  <si>
    <t>Аконтација ауторског хонорара за предмет са  3 часа предавања недељно</t>
  </si>
  <si>
    <t>КТ - Коефицијент тржишта</t>
  </si>
  <si>
    <t>FZV - Фактор звања</t>
  </si>
  <si>
    <t>FZV</t>
  </si>
  <si>
    <t>Predavač</t>
  </si>
  <si>
    <t>Docent</t>
  </si>
  <si>
    <t>Vanr. profesor</t>
  </si>
  <si>
    <t>Red. profesor</t>
  </si>
  <si>
    <t>FPM - Фактор промене наставног материјала</t>
  </si>
  <si>
    <t>FPM</t>
  </si>
  <si>
    <t>&lt;5%</t>
  </si>
  <si>
    <t>5-19%</t>
  </si>
  <si>
    <t>20-49%</t>
  </si>
  <si>
    <t>50-90%</t>
  </si>
  <si>
    <t>&gt;90%</t>
  </si>
  <si>
    <t>FOB - Фактор обима наставног материјала (обим текста)</t>
  </si>
  <si>
    <t>FOB</t>
  </si>
  <si>
    <t>FIN1 - Фактор примене ЛАМС интерактивних активности после ОУ</t>
  </si>
  <si>
    <t>FIN1</t>
  </si>
  <si>
    <t>Једна од LAMS активности провере знања  је дата после сваког ОУ 1. нивоа</t>
  </si>
  <si>
    <t>Једна од LAMS активности провера знања је дата  у мање од 30% ОУ 1. нивоа</t>
  </si>
  <si>
    <t>Наставни материјал нема LAMS активности провере знања.</t>
  </si>
  <si>
    <t>FIN2 - Фактор примене ЛАМС интерактивних активности на крају лекције</t>
  </si>
  <si>
    <t>FIN2</t>
  </si>
  <si>
    <t>Налазе се у просеку све 4 LAMS активности (3.5 и више)</t>
  </si>
  <si>
    <t>Налазе се у просеку око 3 LAMS активности (2.50 - 3.49)</t>
  </si>
  <si>
    <t>Налазе се у просеку око 2 LAMS активности (1.50 - 2.49)</t>
  </si>
  <si>
    <t>Налази се у просеку једна  LAMSактивности (0.50 - 1.49)</t>
  </si>
  <si>
    <t>Налази се мање од 0,5 LAMS активности (&lt; 0.50)</t>
  </si>
  <si>
    <t>FMM - Фактор примене мултимедија (видо клипова)</t>
  </si>
  <si>
    <t>FMM</t>
  </si>
  <si>
    <t xml:space="preserve">FKV - Фактор процењеног квалитета од стране Комисије за квалитет </t>
  </si>
  <si>
    <t>FKV</t>
  </si>
  <si>
    <t>Одличан (4.50 и више)</t>
  </si>
  <si>
    <t>Врло добар (3.50 - 4.49)</t>
  </si>
  <si>
    <t>Добар (2.50 - 3.49)</t>
  </si>
  <si>
    <t xml:space="preserve">Довољан (1.50 - 2.49) </t>
  </si>
  <si>
    <t>Лош - нема сагласнот за публиковање (мањеод 1.49)</t>
  </si>
  <si>
    <t>КРИТЕРИЈУМИ ОДРЕЂИВАЊА ФАКТОРА КВАЛИТЕТА НАСТАВНОГ МАТЕРИЈАЛА</t>
  </si>
  <si>
    <t>УКУПНА ПРОСЕЧНА ПРОМЕНА:</t>
  </si>
  <si>
    <r>
      <t xml:space="preserve">Норматив: </t>
    </r>
    <r>
      <rPr>
        <sz val="12"/>
        <color theme="1"/>
        <rFont val="Calibri"/>
        <family val="2"/>
        <charset val="204"/>
        <scheme val="minor"/>
      </rPr>
      <t>По једна ЛАМС активност на крају сваког ОУ 1. реда</t>
    </r>
  </si>
  <si>
    <t>НМ има:</t>
  </si>
  <si>
    <t>Укупан број објекта учења 1. реда у свим лекцијама</t>
  </si>
  <si>
    <r>
      <t xml:space="preserve">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Assesment</t>
    </r>
    <r>
      <rPr>
        <sz val="12"/>
        <color theme="1"/>
        <rFont val="Calibri"/>
        <family val="2"/>
        <charset val="204"/>
        <scheme val="minor"/>
      </rPr>
      <t xml:space="preserve"> у свим лекцијама</t>
    </r>
  </si>
  <si>
    <r>
      <t xml:space="preserve">Укупан броја активности </t>
    </r>
    <r>
      <rPr>
        <b/>
        <sz val="12"/>
        <color theme="1"/>
        <rFont val="Calibri"/>
        <family val="2"/>
        <charset val="204"/>
        <scheme val="minor"/>
      </rPr>
      <t>LAMS Multiple Choice</t>
    </r>
    <r>
      <rPr>
        <sz val="12"/>
        <color theme="1"/>
        <rFont val="Calibri"/>
        <family val="2"/>
        <charset val="204"/>
        <scheme val="minor"/>
      </rPr>
      <t xml:space="preserve">  у свим лекцијама</t>
    </r>
  </si>
  <si>
    <r>
      <t xml:space="preserve">Укупан броја активности </t>
    </r>
    <r>
      <rPr>
        <b/>
        <sz val="12"/>
        <color theme="1"/>
        <rFont val="Calibri"/>
        <family val="2"/>
        <charset val="204"/>
        <scheme val="minor"/>
      </rPr>
      <t>LAMS  Q&amp;A</t>
    </r>
    <r>
      <rPr>
        <sz val="12"/>
        <color theme="1"/>
        <rFont val="Calibri"/>
        <family val="2"/>
        <charset val="204"/>
        <scheme val="minor"/>
      </rPr>
      <t xml:space="preserve">  у свим лекцијама</t>
    </r>
  </si>
  <si>
    <r>
      <t>Укупан броја активности  типа</t>
    </r>
    <r>
      <rPr>
        <b/>
        <sz val="12"/>
        <color theme="1"/>
        <rFont val="Calibri"/>
        <family val="2"/>
        <charset val="204"/>
        <scheme val="minor"/>
      </rPr>
      <t xml:space="preserve"> Java Garder </t>
    </r>
  </si>
  <si>
    <t xml:space="preserve">УКУПНО LAMS активности на крају ОУ 1. реда: </t>
  </si>
  <si>
    <t xml:space="preserve">Просечан број LAMS активности провере на крају ОУ 1. реда, по лекцији: : </t>
  </si>
  <si>
    <t>FIN1=1.10</t>
  </si>
  <si>
    <t>Норматив: По 4  LAMS активности на крају лекције  у просеку по лекцији</t>
  </si>
  <si>
    <t>Број у свим лекцијама</t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</si>
  <si>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Forum</t>
    </r>
    <r>
      <rPr>
        <sz val="12"/>
        <color theme="1"/>
        <rFont val="Calibri"/>
        <family val="2"/>
        <charset val="204"/>
        <scheme val="minor"/>
      </rPr>
      <t xml:space="preserve">  </t>
    </r>
    <r>
      <rPr>
        <sz val="12"/>
        <color theme="1"/>
        <rFont val="Calibri"/>
        <family val="2"/>
        <charset val="204"/>
        <scheme val="minor"/>
      </rPr>
      <t>-  Форум лекције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</si>
  <si>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Noticeboard</t>
    </r>
    <r>
      <rPr>
        <sz val="12"/>
        <color theme="1"/>
        <rFont val="Calibri"/>
        <family val="2"/>
        <charset val="204"/>
        <scheme val="minor"/>
      </rPr>
      <t xml:space="preserve"> - Огласна табела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</si>
  <si>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 xml:space="preserve">LAMS Chat </t>
    </r>
    <r>
      <rPr>
        <sz val="12"/>
        <color theme="1"/>
        <rFont val="Calibri"/>
        <family val="2"/>
        <charset val="204"/>
        <scheme val="minor"/>
      </rPr>
      <t>- Причаоница студената о лекцији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</si>
  <si>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Notebook</t>
    </r>
    <r>
      <rPr>
        <sz val="12"/>
        <color theme="1"/>
        <rFont val="Calibri"/>
        <family val="2"/>
        <charset val="204"/>
        <scheme val="minor"/>
      </rPr>
      <t xml:space="preserve"> - Записивање опаски студената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</si>
  <si>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Submit Files</t>
    </r>
    <r>
      <rPr>
        <sz val="12"/>
        <color theme="1"/>
        <rFont val="Calibri"/>
        <family val="2"/>
        <charset val="204"/>
        <scheme val="minor"/>
      </rPr>
      <t xml:space="preserve"> - Предаја задатака студената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</si>
  <si>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 xml:space="preserve">LAMS 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Shared Resource</t>
    </r>
    <r>
      <rPr>
        <sz val="12"/>
        <color theme="1"/>
        <rFont val="Calibri"/>
        <family val="2"/>
        <charset val="204"/>
        <scheme val="minor"/>
      </rPr>
      <t>- пропручене референце</t>
    </r>
  </si>
  <si>
    <r>
      <t xml:space="preserve">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 Picture Gallary</t>
    </r>
    <r>
      <rPr>
        <sz val="12"/>
        <color theme="1"/>
        <rFont val="Calibri"/>
        <family val="2"/>
        <charset val="204"/>
        <scheme val="minor"/>
      </rPr>
      <t xml:space="preserve"> - пропручене референце</t>
    </r>
  </si>
  <si>
    <r>
      <t xml:space="preserve"> Укупан број осталих  LAMS активности </t>
    </r>
    <r>
      <rPr>
        <b/>
        <sz val="12"/>
        <color theme="1"/>
        <rFont val="Calibri"/>
        <family val="2"/>
        <charset val="204"/>
        <scheme val="minor"/>
      </rPr>
      <t>LAMS  Picture Gallary</t>
    </r>
    <r>
      <rPr>
        <sz val="12"/>
        <color theme="1"/>
        <rFont val="Calibri"/>
        <family val="2"/>
        <charset val="204"/>
        <scheme val="minor"/>
      </rPr>
      <t xml:space="preserve"> - галерија слика</t>
    </r>
  </si>
  <si>
    <t xml:space="preserve">Укупан број лекција у наставном материјалу предмета: </t>
  </si>
  <si>
    <t xml:space="preserve">Уkупан број LAMS активности на крају лекција у свим лекцијама предмета: </t>
  </si>
  <si>
    <t xml:space="preserve">Просечан број LAMS активности на крају лекција: </t>
  </si>
  <si>
    <t xml:space="preserve">Просечан број видео клипова по лекцији: </t>
  </si>
  <si>
    <t>Комисија даје оцену од 1.00 до 5.00 узимајући следеће параметре:</t>
  </si>
  <si>
    <t>УКУПНА СРЕДЊА ОЦЕНА КВАЛИТЕТА НАСТАВНОГ МАТЕРИЈАЛА</t>
  </si>
  <si>
    <t>Напомена: Оцена квалитета од стране Комисије не обухвата квантитаивне показатеље</t>
  </si>
  <si>
    <t>који су већ обухваћени факторина квалитета, већ само квалитативну процену</t>
  </si>
  <si>
    <t>НАПОМЕНА</t>
  </si>
  <si>
    <t>Ауторски хонорар се не исплаћује аутору у једном од следећих случајева:</t>
  </si>
  <si>
    <t>AH0</t>
  </si>
  <si>
    <t>Потреби подаци да би се вршио обрачун ауторских хонорара:</t>
  </si>
  <si>
    <t>За сваки предмет, и све лекције укупно, треба да систем обрачуна и прикаже:</t>
  </si>
  <si>
    <t>1)  Укупан број речи у текстуалном делу наставног материјала.</t>
  </si>
  <si>
    <t>2)  Укупан број свих објеката учења</t>
  </si>
  <si>
    <t>3) Укупан број објеката 1. реда (који улаже у садржај)</t>
  </si>
  <si>
    <t>3) Укупан број свих секција</t>
  </si>
  <si>
    <r>
      <t xml:space="preserve">4)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Assesment</t>
    </r>
    <r>
      <rPr>
        <sz val="12"/>
        <color theme="1"/>
        <rFont val="Calibri"/>
        <family val="2"/>
        <charset val="204"/>
        <scheme val="minor"/>
      </rPr>
      <t xml:space="preserve"> у свим лекцијама</t>
    </r>
  </si>
  <si>
    <r>
      <t xml:space="preserve">5) Укупан броја активности </t>
    </r>
    <r>
      <rPr>
        <b/>
        <sz val="12"/>
        <color theme="1"/>
        <rFont val="Calibri"/>
        <family val="2"/>
        <charset val="204"/>
        <scheme val="minor"/>
      </rPr>
      <t>LAMS Multiple Choice</t>
    </r>
    <r>
      <rPr>
        <sz val="12"/>
        <color theme="1"/>
        <rFont val="Calibri"/>
        <family val="2"/>
        <charset val="204"/>
        <scheme val="minor"/>
      </rPr>
      <t xml:space="preserve">  у свим лекцијама</t>
    </r>
  </si>
  <si>
    <r>
      <t xml:space="preserve">6) Укупан броја активности </t>
    </r>
    <r>
      <rPr>
        <b/>
        <sz val="12"/>
        <color theme="1"/>
        <rFont val="Calibri"/>
        <family val="2"/>
        <charset val="204"/>
        <scheme val="minor"/>
      </rPr>
      <t>LAMS  Q&amp;A</t>
    </r>
    <r>
      <rPr>
        <sz val="12"/>
        <color theme="1"/>
        <rFont val="Calibri"/>
        <family val="2"/>
        <charset val="204"/>
        <scheme val="minor"/>
      </rPr>
      <t xml:space="preserve">  у свим лекцијама</t>
    </r>
  </si>
  <si>
    <t>7) Укупан броја активности Java Grader  у свим лекцијама</t>
  </si>
  <si>
    <r>
      <t xml:space="preserve">8) 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Forum</t>
    </r>
    <r>
      <rPr>
        <sz val="12"/>
        <color theme="1"/>
        <rFont val="Calibri"/>
        <family val="2"/>
        <charset val="204"/>
        <scheme val="minor"/>
      </rPr>
      <t xml:space="preserve">  </t>
    </r>
    <r>
      <rPr>
        <sz val="12"/>
        <color theme="1"/>
        <rFont val="Calibri"/>
        <family val="2"/>
        <charset val="204"/>
        <scheme val="minor"/>
      </rPr>
      <t>-  Форум лекције</t>
    </r>
  </si>
  <si>
    <r>
      <t xml:space="preserve">9)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Noticeboard</t>
    </r>
    <r>
      <rPr>
        <sz val="12"/>
        <color theme="1"/>
        <rFont val="Calibri"/>
        <family val="2"/>
        <charset val="204"/>
        <scheme val="minor"/>
      </rPr>
      <t xml:space="preserve"> - Огласна табела</t>
    </r>
  </si>
  <si>
    <r>
      <t xml:space="preserve">10) Укупан број активности </t>
    </r>
    <r>
      <rPr>
        <b/>
        <sz val="12"/>
        <color theme="1"/>
        <rFont val="Calibri"/>
        <family val="2"/>
        <charset val="204"/>
        <scheme val="minor"/>
      </rPr>
      <t xml:space="preserve">LAMS Chat </t>
    </r>
    <r>
      <rPr>
        <sz val="12"/>
        <color theme="1"/>
        <rFont val="Calibri"/>
        <family val="2"/>
        <charset val="204"/>
        <scheme val="minor"/>
      </rPr>
      <t>- Причаоница студената о лекцији</t>
    </r>
  </si>
  <si>
    <r>
      <t xml:space="preserve">11)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Notebook</t>
    </r>
    <r>
      <rPr>
        <sz val="12"/>
        <color theme="1"/>
        <rFont val="Calibri"/>
        <family val="2"/>
        <charset val="204"/>
        <scheme val="minor"/>
      </rPr>
      <t xml:space="preserve"> - Записивање опаски студената</t>
    </r>
  </si>
  <si>
    <r>
      <t xml:space="preserve">12)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Submit Files</t>
    </r>
    <r>
      <rPr>
        <sz val="12"/>
        <color theme="1"/>
        <rFont val="Calibri"/>
        <family val="2"/>
        <charset val="204"/>
        <scheme val="minor"/>
      </rPr>
      <t xml:space="preserve"> - Предаја задатака студената</t>
    </r>
  </si>
  <si>
    <r>
      <t xml:space="preserve">13) Укупан број активности </t>
    </r>
    <r>
      <rPr>
        <b/>
        <sz val="12"/>
        <color theme="1"/>
        <rFont val="Calibri"/>
        <family val="2"/>
        <charset val="204"/>
        <scheme val="minor"/>
      </rPr>
      <t xml:space="preserve">LAMS 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Shared Resource</t>
    </r>
    <r>
      <rPr>
        <sz val="12"/>
        <color theme="1"/>
        <rFont val="Calibri"/>
        <family val="2"/>
        <charset val="204"/>
        <scheme val="minor"/>
      </rPr>
      <t>- Пропручене референце</t>
    </r>
  </si>
  <si>
    <r>
      <t xml:space="preserve">14) Укупан број активности </t>
    </r>
    <r>
      <rPr>
        <b/>
        <sz val="12"/>
        <color theme="1"/>
        <rFont val="Calibri"/>
        <family val="2"/>
        <charset val="204"/>
        <scheme val="minor"/>
      </rPr>
      <t>LAMS  Picture Gallary</t>
    </r>
    <r>
      <rPr>
        <sz val="12"/>
        <color theme="1"/>
        <rFont val="Calibri"/>
        <family val="2"/>
        <charset val="204"/>
        <scheme val="minor"/>
      </rPr>
      <t xml:space="preserve"> -Галерија слика</t>
    </r>
  </si>
  <si>
    <t xml:space="preserve">17) Укупан број лекција у наставном материјалу предмета: </t>
  </si>
  <si>
    <t>Dragan Domazet</t>
  </si>
  <si>
    <t>Zvanje</t>
  </si>
  <si>
    <t>bodova</t>
  </si>
  <si>
    <t>Broj predmeta na OAS</t>
  </si>
  <si>
    <t>Ako je broj predmeta na OAS manji od 3, računaju se i obavezni predmeti na MAS</t>
  </si>
  <si>
    <t>Koeficijent broja predmeta (KBP)</t>
  </si>
  <si>
    <t>Koeficijent radnog odnosa (KRO)</t>
  </si>
  <si>
    <t>Koeficijent tržišta (KT)</t>
  </si>
  <si>
    <t>Koeficijent broja studenata na programu (KPR)</t>
  </si>
  <si>
    <t>Din.</t>
  </si>
  <si>
    <t>Specijalan dodatak na platu</t>
  </si>
  <si>
    <t>FUNKCIONALNI DODATAK</t>
  </si>
  <si>
    <t>Bodovi</t>
  </si>
  <si>
    <t>Unose se veličine u belim poljima</t>
  </si>
  <si>
    <t>Nedeljno</t>
  </si>
  <si>
    <t>OSNOVNA ZARADA (OZ)</t>
  </si>
  <si>
    <t>Borj časova nedeljno</t>
  </si>
  <si>
    <t>ESPB</t>
  </si>
  <si>
    <t>Br.grupa</t>
  </si>
  <si>
    <t>Ukupno</t>
  </si>
  <si>
    <t>Lokacija</t>
  </si>
  <si>
    <t>Sem.</t>
  </si>
  <si>
    <t>Predmeti</t>
  </si>
  <si>
    <t>Pred.</t>
  </si>
  <si>
    <t>Gr. vež.</t>
  </si>
  <si>
    <t>Ind. vež.</t>
  </si>
  <si>
    <t>čas. vež.</t>
  </si>
  <si>
    <t>nastave</t>
  </si>
  <si>
    <t>Tip nast.</t>
  </si>
  <si>
    <t>po predm.</t>
  </si>
  <si>
    <t>J</t>
  </si>
  <si>
    <t>CS101 Uvod u objektno-orijentisano programiranje</t>
  </si>
  <si>
    <t>Beograd</t>
  </si>
  <si>
    <t>Klas.</t>
  </si>
  <si>
    <t>SE201 Uvod u softversko inženjerstvo</t>
  </si>
  <si>
    <t>OZ</t>
  </si>
  <si>
    <t>P</t>
  </si>
  <si>
    <t>CS102 Objekti i apstrakcija podataka</t>
  </si>
  <si>
    <t>Referentna osnovna zarada  (bodovi)</t>
  </si>
  <si>
    <t>Vrednost boda  (Din.)</t>
  </si>
  <si>
    <t>Radni odnos  (%)</t>
  </si>
  <si>
    <t>AUTORSKI HONORARI</t>
  </si>
  <si>
    <t>UKUPNA VREDNOST UTICAJNIH FAKTORA:</t>
  </si>
  <si>
    <t>Uticajni faktori  za određivanje visine autorskog honorara</t>
  </si>
  <si>
    <t>Osnovna visina autorskog honorara (Bodovi):</t>
  </si>
  <si>
    <t>Visina autorskog honorara posle ocene nastavnog materijala (Bodovi):</t>
  </si>
  <si>
    <t>Visina autorskog honorara posle ocene nastavnog materijala (Din.):</t>
  </si>
  <si>
    <t>Min.</t>
  </si>
  <si>
    <t>Maks.</t>
  </si>
  <si>
    <t>Demonstr.</t>
  </si>
  <si>
    <t>Порези и доприноси</t>
  </si>
  <si>
    <t>Ауторски</t>
  </si>
  <si>
    <t>Уговор о</t>
  </si>
  <si>
    <t>Аут.уговор</t>
  </si>
  <si>
    <t>Oml.zadr. BG</t>
  </si>
  <si>
    <t>уговор</t>
  </si>
  <si>
    <t>допун. раду</t>
  </si>
  <si>
    <t>раду</t>
  </si>
  <si>
    <t>незапослени</t>
  </si>
  <si>
    <t>Oml.zadr.NI</t>
  </si>
  <si>
    <t>Коефицијенти бруто/нето</t>
  </si>
  <si>
    <t>ПРОВЕРИТИ СТОПЕ!</t>
  </si>
  <si>
    <t>Пореска стопа</t>
  </si>
  <si>
    <t>EUR</t>
  </si>
  <si>
    <t>Коефицијент умањења  пуне плате ако нема АУ (за запослене)</t>
  </si>
  <si>
    <t>Множитељ зарада за припрему наставе ако се исплаћује преко плате умето АУ</t>
  </si>
  <si>
    <t>ПАРАМЕТРИ ЗА ОДРЕЂИВАЊЕ НЕТО ЗАРАДА НАСТАВНОГ ОСОБЉА</t>
  </si>
  <si>
    <t>задња измена</t>
  </si>
  <si>
    <t>Множитељ ауторског конорара  за исплату преко АУ за незапослена лица</t>
  </si>
  <si>
    <t>BOD</t>
  </si>
  <si>
    <t>Vrednost boda  (одређује се 20.9. у складу са оствареним уписом студената)</t>
  </si>
  <si>
    <t>Множитељ плате  за исплату преко АУ за незапослена лица</t>
  </si>
  <si>
    <t>AH2P</t>
  </si>
  <si>
    <t>Коефицијент множења ауторског хонорара ако се прима као плата</t>
  </si>
  <si>
    <t>USVOJENO</t>
  </si>
  <si>
    <t>Множитељ зарада за припрему наставе ако се исплаћује УИН уместо АУ</t>
  </si>
  <si>
    <t>Основна зарада запослених наставника и сарадника (УоР)</t>
  </si>
  <si>
    <t>Бодови/мес.</t>
  </si>
  <si>
    <t>Keof.zvanja</t>
  </si>
  <si>
    <t>Demonstrator</t>
  </si>
  <si>
    <t>prema doc.</t>
  </si>
  <si>
    <t>Saradnik</t>
  </si>
  <si>
    <t>Сви</t>
  </si>
  <si>
    <t>Asistent</t>
  </si>
  <si>
    <t>наставници</t>
  </si>
  <si>
    <t>и срадници</t>
  </si>
  <si>
    <t>Viši predavač</t>
  </si>
  <si>
    <t>са УоР</t>
  </si>
  <si>
    <t>Напомена: Асистент је дужан да ради 8 сати дневно на универзитету. У супротном, ОЗ се смањује за 100 бодова</t>
  </si>
  <si>
    <t>KBP</t>
  </si>
  <si>
    <t>Коефицијент броја предмета</t>
  </si>
  <si>
    <t>za 100% RO</t>
  </si>
  <si>
    <t>za &lt;100% RO</t>
  </si>
  <si>
    <t>Кеофицијент броја предмета -  1 предмет годишње</t>
  </si>
  <si>
    <t>Кеофицијент броја предмета - 2 предмета годишње</t>
  </si>
  <si>
    <t>Кеофицијент броја предмета - најмање 3 предмета</t>
  </si>
  <si>
    <t>KRO</t>
  </si>
  <si>
    <t>Коефицијент радног односа</t>
  </si>
  <si>
    <t>60-99%</t>
  </si>
  <si>
    <t>30-59%</t>
  </si>
  <si>
    <t>5-29%</t>
  </si>
  <si>
    <t>KT</t>
  </si>
  <si>
    <t>Настава на предметима ФАМ-а и ФДУ-а</t>
  </si>
  <si>
    <t>Настава на предметима ФИТ-а, тј. информатике -асистенти</t>
  </si>
  <si>
    <t>Настава на предметима ФИТ-а, тј. информатике - наставници</t>
  </si>
  <si>
    <t>KPR</t>
  </si>
  <si>
    <t>Коефицијент броја студената на програму или модулу</t>
  </si>
  <si>
    <t>Упис испод плана (подбачај већи од 10%)  или број студената класичне наставе је 15 и мање</t>
  </si>
  <si>
    <t>Упис у складу са планом</t>
  </si>
  <si>
    <t>Упис изнад плана (пребачај већи од 20%)</t>
  </si>
  <si>
    <t>VIN</t>
  </si>
  <si>
    <t>Бодови/часу</t>
  </si>
  <si>
    <t>Однос</t>
  </si>
  <si>
    <t>Час вежби</t>
  </si>
  <si>
    <t>Основне</t>
  </si>
  <si>
    <t>Час предавања вишег предавача/предавача/асистент</t>
  </si>
  <si>
    <t>студије</t>
  </si>
  <si>
    <t>Час предавања доцента</t>
  </si>
  <si>
    <t>Час предавања ванр.проф.</t>
  </si>
  <si>
    <t>Час предавања ред.проф.</t>
  </si>
  <si>
    <t>KON</t>
  </si>
  <si>
    <t>Коефицијент облика наставе (KON)</t>
  </si>
  <si>
    <t>Напомене:</t>
  </si>
  <si>
    <t>1. Варијабила  на изборном предмету се плаћа ако се настава држи - као и обавезни предмети</t>
  </si>
  <si>
    <t>CNBG</t>
  </si>
  <si>
    <t>ХОНОРАРНА НАСТАВА  У БЕОГРАДУ НА ОАС</t>
  </si>
  <si>
    <t>Час  вежбе демонстратора</t>
  </si>
  <si>
    <t>Час  вежбе  сарадника/асистента/наставникa</t>
  </si>
  <si>
    <t>CNNI</t>
  </si>
  <si>
    <t>ХОНОРАРНА ХИБРИДНА НАСТАВА У НИШУ НА ОАС</t>
  </si>
  <si>
    <t>Час интерпретације предавања демонстратора</t>
  </si>
  <si>
    <t>1. Хонорар на предметима информатике се множи са коефицијетном КТ=1,2</t>
  </si>
  <si>
    <t>2. Подразумева да хонорарно ангажовани наставници за наставу  у Нишу, не припремају наставне материјале</t>
  </si>
  <si>
    <t>ЗАРАДА ЗА ДРЖАЊЕ НАСТАВЕ НА МАСТЕР И ДОКТОРСКИМ СТУДИЈАМА</t>
  </si>
  <si>
    <t>Мастер</t>
  </si>
  <si>
    <t>VMS</t>
  </si>
  <si>
    <t>Варијабила за држање наставе студету МАС  - за наставника у радном односу</t>
  </si>
  <si>
    <t>Бодови/студ.</t>
  </si>
  <si>
    <t>и докторске</t>
  </si>
  <si>
    <t>Нето варијабила за консултације са студентом- програм МАС са 2.000 ЕУР школарине</t>
  </si>
  <si>
    <t xml:space="preserve">Нето варијабила за консултације са студентом - програм МАС ДНМ (са 2.500 ЕУР школарине) </t>
  </si>
  <si>
    <t>VDS</t>
  </si>
  <si>
    <t xml:space="preserve">Варијабила за држање наставе по студенту на докторским студијама </t>
  </si>
  <si>
    <t>AHM</t>
  </si>
  <si>
    <t>Ауторски хонорар за припрему наставних материјала по студенту -програм МАС са 1500 ЕУР школарине</t>
  </si>
  <si>
    <t>Ауторски хонорар за припрему наставних материјала по студенту -програм МАС са 2.000 ЕУР школарине</t>
  </si>
  <si>
    <t>VMSH</t>
  </si>
  <si>
    <t>Варијабила за држање наставе студету МАС  - за хонорране наставнике</t>
  </si>
  <si>
    <t xml:space="preserve">Нето варијабила за консултације са студентом - програм МАС са 2.500 ЕУР школарине </t>
  </si>
  <si>
    <t>VDSH</t>
  </si>
  <si>
    <t>Варијабила за држање наставе по студенту на докторским студијама  - за хонорарне наставнике</t>
  </si>
  <si>
    <t>Isplaćuje se varijabila za konsultacije i autorski honorar za pripremu nastavnog materijala po studentu</t>
  </si>
  <si>
    <t xml:space="preserve">Obračun broja studenata na predmetu se računa 25.9  svake godine, </t>
  </si>
  <si>
    <t xml:space="preserve">a) za MAS: broj studenata se određuje prema stanju upisa </t>
  </si>
  <si>
    <t>b) za DS: broj studenata se određuje prema broju realizovanih ispita na predmetu</t>
  </si>
  <si>
    <t>Obračun obuhvata  realizovan, a ne nominalan prihod od školarina</t>
  </si>
  <si>
    <t>Ako je nastavnik u radnom odnosu, a nema nastavu na OAS, onda se primnjuje sledeće pravila:</t>
  </si>
  <si>
    <t>a) Za slučaja onlajn nastave i DS: Nastavnik prima zakonom utvrđenu minimalnu platu.</t>
  </si>
  <si>
    <t>b)  Za slučaj klasične nastave (MAS DNM): Nastavnik prima obračunatu platu, u skladu sa brojem studenata na dan 25.10</t>
  </si>
  <si>
    <t>c) U oktobru se vrši konačan obračun.  Nastavniku se isplaćuje razlika prema obračunu i primljene osnovne plate pod a) ili b)</t>
  </si>
  <si>
    <t>Ako nastavnik ne drži vežbe, varijabila za konsultacije sa studentima  se isplaćuje asistentu</t>
  </si>
  <si>
    <t>U slučaju da student plaća školarinu određenu za inostrane studente, njegova zarade za tog studenta se povećava za 50%</t>
  </si>
  <si>
    <t>Isplata zarada se ne vrši za studente koji su oslobođeni plaćanja školarine</t>
  </si>
  <si>
    <t>Nastavnik angažovan ugovorom o izvršenju nastave, prima istu zaradu kao i nastavnik u radnom odnosu</t>
  </si>
  <si>
    <t>VPP</t>
  </si>
  <si>
    <t>ВАРИЈАБИЛА ЗА РЕАЛИЗЦИЈУ ПОВРЕМЕНИХ ПОСЛОВА У НАСТАВИ</t>
  </si>
  <si>
    <t>Повремени</t>
  </si>
  <si>
    <t>Вежбе и консултације са Интернет студентом-наставник/асистент</t>
  </si>
  <si>
    <t xml:space="preserve">послови у </t>
  </si>
  <si>
    <t>Вежбе и консултације са Интернет студентом-демонстратор</t>
  </si>
  <si>
    <t>настави</t>
  </si>
  <si>
    <t>Организација и оцена  стручне праксе (по студенту)</t>
  </si>
  <si>
    <t>Руковођење завршним радом на ОАС</t>
  </si>
  <si>
    <t>Руковођење завршним радом на МАС</t>
  </si>
  <si>
    <t>Менторство докторске дисертацје</t>
  </si>
  <si>
    <t>Члан комисије за оцену и одбрану докторске дисертације</t>
  </si>
  <si>
    <t>Вођење студента на предмету IT320 Савр.техн.платформе</t>
  </si>
  <si>
    <t>SRS</t>
  </si>
  <si>
    <t>ХОНОРАР ЗА РАД ВАН НАСТАВЕ (посебно договорен)</t>
  </si>
  <si>
    <t>Бод/сат</t>
  </si>
  <si>
    <t>FD</t>
  </si>
  <si>
    <t>Функционални додатак (за наставнике који имају посебне одговорности)</t>
  </si>
  <si>
    <t>Функционални</t>
  </si>
  <si>
    <t>Ректор</t>
  </si>
  <si>
    <t>додаци</t>
  </si>
  <si>
    <t>Декан ФИТ-а</t>
  </si>
  <si>
    <t>Декан ФАМ-а и ФДУ-а</t>
  </si>
  <si>
    <t>Председник комисије за квалитет</t>
  </si>
  <si>
    <t>PRAVILA:</t>
  </si>
  <si>
    <t xml:space="preserve">        Вредност бода у 2016/17. год.:</t>
  </si>
  <si>
    <t>Dinara</t>
  </si>
  <si>
    <t>AH0 -  Основна висина укупне аконтације ауторског хонорара</t>
  </si>
  <si>
    <t>ОДРЕЂИВАЊЕ ВИСИНЕ АУТОРСКОГ ХОНОРАРА</t>
  </si>
  <si>
    <t>100%RO</t>
  </si>
  <si>
    <t>RO&lt;100%</t>
  </si>
  <si>
    <r>
      <t xml:space="preserve">Нето варијабила за консултације са студентом - програм МАС са </t>
    </r>
    <r>
      <rPr>
        <b/>
        <sz val="12"/>
        <rFont val="Arial"/>
      </rPr>
      <t xml:space="preserve">1.500 ЕУР </t>
    </r>
    <r>
      <rPr>
        <sz val="12"/>
        <color theme="1"/>
        <rFont val="Arial"/>
      </rPr>
      <t>школарине</t>
    </r>
  </si>
  <si>
    <t>Priprema i učenje</t>
  </si>
  <si>
    <t>Programer 4</t>
  </si>
  <si>
    <t>za 168 sati</t>
  </si>
  <si>
    <t>Programer početnik</t>
  </si>
  <si>
    <t>Stariji SW inženjer</t>
  </si>
  <si>
    <t>u EUR</t>
  </si>
  <si>
    <t>Дин/сат</t>
  </si>
  <si>
    <t xml:space="preserve">Председник универзитета </t>
  </si>
  <si>
    <t>Руководилац ОАС</t>
  </si>
  <si>
    <t>Генерали менаџер Пословно-образовног центра у Нишу</t>
  </si>
  <si>
    <t>Напомене: Функционални додатак се може умањити или увећати на основу оцене рада коју даје председник, одн. ректор.</t>
  </si>
  <si>
    <t>Vrednost boda određuje Savet Univerziteta, prema stanju upisa na dan 25.9.2016, a obezbeđujući mogućnost redovnih isplata zarada (trenutni min. faktor 1,5)</t>
  </si>
  <si>
    <t>OZNAKE PREDMETA</t>
  </si>
  <si>
    <t xml:space="preserve">OZNAKE PREDMETA: </t>
  </si>
  <si>
    <t>Kvalitet i adekvatnost projektnog zadatka</t>
  </si>
  <si>
    <t>Kvalitet i adekvatnost domaćih zadataka i drugih preispitnih obaveza studenata</t>
  </si>
  <si>
    <t>Sadržaj sledećih elemenata u Planu i programu predmeta: a) Cilj predmeta b) Opis predmeta, c)Ishodi učenja d) Deo korupsa znanja koje predmet obrađuje</t>
  </si>
  <si>
    <t>Adekvatnost planiranog ispita i načina ocenjivanja studenata</t>
  </si>
  <si>
    <t>Sadržajnost, jasnoću i preciznost Plana nastave za svaku nedelju nastave U Planu i programu predmeta</t>
  </si>
  <si>
    <t xml:space="preserve">UKUPNA SREDNJA OCENA KVALITETA NASTAVNOG MATERIJALA </t>
  </si>
  <si>
    <t>Verifikovana ocena kvaliteta od strane dekana:</t>
  </si>
  <si>
    <t>Uneta ocena dekana</t>
  </si>
  <si>
    <t>UKUPNA VREDNOST KVANTITATIVNIH FAKTORA:</t>
  </si>
  <si>
    <t>КТ - Koeficijent tržišta</t>
  </si>
  <si>
    <t>FZV - Faktor zvanja</t>
  </si>
  <si>
    <t xml:space="preserve">FPM - Faktor promene nastavnog materijala (=0, za promenu &lt;5%) </t>
  </si>
  <si>
    <t>FOB - Faktor obima nastavnog materijala (obim tekst (obim teksta) ( =0 za obim &lt; 70%)</t>
  </si>
  <si>
    <t xml:space="preserve">FIN1 -Faktor primene LAMS interaktivnih aktivnosti posle OU 1. reda  </t>
  </si>
  <si>
    <t xml:space="preserve">FIN2 -Faktor primene LAMS interaktivnih aktivnosti na kraju lekcije </t>
  </si>
  <si>
    <t xml:space="preserve">FMM - Faktor primene multimedija (video ili audio klipova) </t>
  </si>
  <si>
    <t>FKV - Faktor procenjenog kvaliteta od strane Komisije za ocenu kvaliteta nast.mat.  (0 za &lt;1,5)</t>
  </si>
  <si>
    <t>Jesenji semestar</t>
  </si>
  <si>
    <t>Prolećni semestar</t>
  </si>
  <si>
    <t>Napomena: Ako semestar ima više od 4 predmeta, onda se menja tabela i obrazci, te mu se povećava broj redova ubacivanjem novog reda.</t>
  </si>
  <si>
    <t>New lessons statistics</t>
  </si>
  <si>
    <t>Words</t>
  </si>
  <si>
    <t>Objects</t>
  </si>
  <si>
    <t>Objects and subobjects</t>
  </si>
  <si>
    <t>Sections</t>
  </si>
  <si>
    <t>Tests after objects (FIN1)</t>
  </si>
  <si>
    <t>Audio</t>
  </si>
  <si>
    <t>Figures</t>
  </si>
  <si>
    <t>Videos (FMM)</t>
  </si>
  <si>
    <t>Q/A</t>
  </si>
  <si>
    <t>Forum</t>
  </si>
  <si>
    <t>Multiple Choice</t>
  </si>
  <si>
    <t>Submit files</t>
  </si>
  <si>
    <t>Shared resources</t>
  </si>
  <si>
    <t>Assessment</t>
  </si>
  <si>
    <t>Chat</t>
  </si>
  <si>
    <t>Javagrader</t>
  </si>
  <si>
    <t>Notebook</t>
  </si>
  <si>
    <t>Noticeboard</t>
  </si>
  <si>
    <t>Non-test activities (FIN2)</t>
  </si>
  <si>
    <t>FIN1 count</t>
  </si>
  <si>
    <t>Gallery count</t>
  </si>
  <si>
    <t>Snippet words</t>
  </si>
  <si>
    <t>Latex words</t>
  </si>
  <si>
    <t>TOTAL</t>
  </si>
  <si>
    <t>AVERAGE</t>
  </si>
  <si>
    <t>Old lessons statistics</t>
  </si>
  <si>
    <t>Total words</t>
  </si>
  <si>
    <t>Total objects</t>
  </si>
  <si>
    <t>Total objects and subobjects</t>
  </si>
  <si>
    <t>Total sections</t>
  </si>
  <si>
    <t>Total figures</t>
  </si>
  <si>
    <t>Total snippet words</t>
  </si>
  <si>
    <t>Broj reči</t>
  </si>
  <si>
    <t>BČP</t>
  </si>
  <si>
    <t>Šifra predmeta</t>
  </si>
  <si>
    <t>Broj časova predavanja nedeljno</t>
  </si>
  <si>
    <t>Broj lekcija</t>
  </si>
  <si>
    <t>Norimran broj reči po času predavanja</t>
  </si>
  <si>
    <t>SE322</t>
  </si>
  <si>
    <t>Обим је већи од 120%</t>
  </si>
  <si>
    <t>Обим је 70-79% норме</t>
  </si>
  <si>
    <t>Обим је 80-89% норме</t>
  </si>
  <si>
    <t xml:space="preserve">Нормиран обим 90%-109% </t>
  </si>
  <si>
    <t>Обим је 110-119%</t>
  </si>
  <si>
    <t>FOB - Faktor obima nastavnog materijala</t>
  </si>
  <si>
    <t>Broj reči po času predavanja</t>
  </si>
  <si>
    <t>Broj reči u odnosu na normu</t>
  </si>
  <si>
    <t xml:space="preserve">FOB: </t>
  </si>
  <si>
    <t xml:space="preserve">FIN1-Faktor primene validacije znanja </t>
  </si>
  <si>
    <t>Broj objekata učenja</t>
  </si>
  <si>
    <t>Broj  testova LAMS Assesment</t>
  </si>
  <si>
    <t>Broj testova LAMS Multiple Choice</t>
  </si>
  <si>
    <t>Broj testova LAMS Q&amp;A</t>
  </si>
  <si>
    <t>Broj primena JavaGrader</t>
  </si>
  <si>
    <t>Ukupan broj validacija znanja</t>
  </si>
  <si>
    <t>FIN1:</t>
  </si>
  <si>
    <t>%  validacija po OU</t>
  </si>
  <si>
    <t>Broj LAMS Forum aktivnosti</t>
  </si>
  <si>
    <t xml:space="preserve">Broj LAMS Noticeboard aktivnosti </t>
  </si>
  <si>
    <t>Broj LAMS Chat aktivnosti</t>
  </si>
  <si>
    <t>Broj LAMS Notebook aktivnosti</t>
  </si>
  <si>
    <t>Broj LAMS Submit Files aktivnosti</t>
  </si>
  <si>
    <t>Broj LAMS Picture Gallary aktivnosti</t>
  </si>
  <si>
    <t>Broj LAMS Shared Resources aktivnosti</t>
  </si>
  <si>
    <t>FIN2 - Faktor broj aktivnosti na kraju lekcija</t>
  </si>
  <si>
    <t xml:space="preserve">Ukpan broj aktivnosti na kraju lekcija: </t>
  </si>
  <si>
    <t>Broj aktivnosti po lekciji:</t>
  </si>
  <si>
    <t>FIN2:</t>
  </si>
  <si>
    <t>FMM - Faktor primene multimedija</t>
  </si>
  <si>
    <t xml:space="preserve">Broj audio klipova </t>
  </si>
  <si>
    <t>Broj video i audio klipova</t>
  </si>
  <si>
    <t xml:space="preserve">Ukupan broj  multimedijalnih klipova: </t>
  </si>
  <si>
    <t>Broj multimedijalnih klipova po lekciji:</t>
  </si>
  <si>
    <t>FMM:</t>
  </si>
  <si>
    <t xml:space="preserve">Лекције  имају у просеку  5 или више видео клипова </t>
  </si>
  <si>
    <t>Лекције  имају у просеку  4  видео клипова</t>
  </si>
  <si>
    <t>Лекције  имају у просеку  3 видео клипова</t>
  </si>
  <si>
    <t>Лекције  имају у просеку  2 видео клипова</t>
  </si>
  <si>
    <t>Лекције  имају у просеку  најмање један  видео клип</t>
  </si>
  <si>
    <t>Лекције имају у просеку мање од једног видео клипа</t>
  </si>
  <si>
    <t>% izmene 1. lekcije u odnosu na prethodnu godinu</t>
  </si>
  <si>
    <t>% izmene 2. lekcije u odnosu na prethodnu godinu</t>
  </si>
  <si>
    <t>% izmene 3. lekcije u odnosu na prethodnu godinu</t>
  </si>
  <si>
    <t>% izmene 4. lekcije u odnosu na prethodnu godinu</t>
  </si>
  <si>
    <t>% izmene 5. lekcije u odnosu na prethodnu godinu</t>
  </si>
  <si>
    <t>% izmene 6. lekcije u odnosu na prethodnu godinu</t>
  </si>
  <si>
    <t>% izmene 7. lekcije u odnosu na prethodnu godinu</t>
  </si>
  <si>
    <t>% izmene 8. lekcije u odnosu na prethodnu godinu</t>
  </si>
  <si>
    <t>% izmene 9. lekcije u odnosu na prethodnu godinu</t>
  </si>
  <si>
    <t>% izmene 10. lekcije u odnosu na prethodnu godinu</t>
  </si>
  <si>
    <t>% izmene 11. lekcije u odnosu na prethodnu godinu</t>
  </si>
  <si>
    <t>% izmene 12. lekcije u odnosu na prethodnu godinu</t>
  </si>
  <si>
    <t>% izmene 13. lekcije u odnosu na prethodnu godinu</t>
  </si>
  <si>
    <t>% izmene 14. lekcije u odnosu na prethodnu godinu</t>
  </si>
  <si>
    <t>% izmene 15. lekcije u odnosu na prethodnu godinu</t>
  </si>
  <si>
    <t xml:space="preserve">OZNAKE PREDMETA </t>
  </si>
  <si>
    <t xml:space="preserve">Prosečna promena materijala predmeta: </t>
  </si>
  <si>
    <t>FPM:</t>
  </si>
  <si>
    <t>FOB - Faktor obima NM  ( =0 за обим &lt; од 70%)</t>
  </si>
  <si>
    <t>Обим је мањи од 30% норме</t>
  </si>
  <si>
    <t>VARIJABILA ZA IZVRŠENJE NASTAVE NA OAS</t>
  </si>
  <si>
    <t>Slobodan Jovanović</t>
  </si>
  <si>
    <t>CS322 Programiranje u C#</t>
  </si>
  <si>
    <t>IT120 Razvoj aplikacija</t>
  </si>
  <si>
    <t>SE211 Konstruisanje softvera</t>
  </si>
  <si>
    <t>SE401 Timski razvoj softvera</t>
  </si>
  <si>
    <t>IT320 Savremene tehnološke platforme</t>
  </si>
  <si>
    <t xml:space="preserve">       Akontacije</t>
  </si>
  <si>
    <t xml:space="preserve"> Dodatna realizacija</t>
  </si>
  <si>
    <t xml:space="preserve">        Ukupno</t>
  </si>
  <si>
    <t xml:space="preserve">IZVEŠTAJ O ZARADI </t>
  </si>
  <si>
    <t>Godišnja bruto plata</t>
  </si>
  <si>
    <t>Godišnji bruto honorar</t>
  </si>
  <si>
    <t>Godišnja bruto zarada</t>
  </si>
  <si>
    <t>Mesečna akontacija autorskih honorara</t>
  </si>
  <si>
    <t>UKUPNO DODATNA REALIZACIJA:</t>
  </si>
  <si>
    <t>Ukupna neto plata u semestru (6 meseci)</t>
  </si>
  <si>
    <t>Ukupni neto autorski honorar u semestru</t>
  </si>
  <si>
    <t>Mesečna neto plata</t>
  </si>
  <si>
    <t>Ukupna mesečna neto zarada</t>
  </si>
  <si>
    <t>za jesenji semestar</t>
  </si>
  <si>
    <t>za prolećni semestar</t>
  </si>
  <si>
    <t>Jesen</t>
  </si>
  <si>
    <t>Proleće</t>
  </si>
  <si>
    <t>Prosečno</t>
  </si>
  <si>
    <t>Ukupno/ prosečno u godini</t>
  </si>
  <si>
    <t>Razlika konačnog AH  i osnovne visine AH</t>
  </si>
  <si>
    <t>KVALITATIVNA OCENA NASTAVNIH MATERIJALA</t>
  </si>
  <si>
    <t>KVANTITATIVNA OCENA NASTAVNOG MATERIJALA</t>
  </si>
  <si>
    <t>FKV-Indikatori kvaliteta NM</t>
  </si>
  <si>
    <t xml:space="preserve">FKV - FAKTOR KVALITETA NV </t>
  </si>
  <si>
    <t>PREDMETI</t>
  </si>
  <si>
    <t>Ručni unos u plava polja</t>
  </si>
  <si>
    <r>
      <t xml:space="preserve">Ovde sa copy  i paste treba ubaciti prvih 8 redova tabele Statistika za svaki predmet. </t>
    </r>
    <r>
      <rPr>
        <sz val="10"/>
        <color rgb="FFFF0000"/>
        <rFont val="Arial"/>
        <family val="2"/>
      </rPr>
      <t>Važno je da se unos ovde izvršu tačno na obeleženim mestima!</t>
    </r>
  </si>
  <si>
    <t>Za svaki predmet treba sa copy i paste uneti podatke sa izveštaja komisija za ocenu kvaliteta nastavnih materijala</t>
  </si>
  <si>
    <t>Predmet</t>
  </si>
  <si>
    <t>šifra</t>
  </si>
  <si>
    <t>1.  Наставни материјал је промањен мање од 45%.</t>
  </si>
  <si>
    <t>2. Обим наставног материјала је мањи за више од 30%  нормираног обима.</t>
  </si>
  <si>
    <t>3. Комисiја за оцену квалитета наставних материјала да лошу оцену (мања од 1.50 од 5.00)</t>
  </si>
  <si>
    <t>15) Укупан број интегрисаних видео и аудио  клипова у свим лекцијама</t>
  </si>
  <si>
    <t>16) Укупан број аудио клипова у свим лекцијама</t>
  </si>
  <si>
    <t>Укупан број интегрисаних аудио и видео клипова у свим лекцијама</t>
  </si>
  <si>
    <t>Укупан број  аудио и  клипова у свим лекцијама</t>
  </si>
  <si>
    <t>Ocena 1-5</t>
  </si>
  <si>
    <t>FIN1 - Faktor primene LAMS aktivnosti validacije znanja posle OU</t>
  </si>
  <si>
    <t xml:space="preserve">FIN2 - Faktor primene LAMS aktivnosti na kraju lekcije </t>
  </si>
  <si>
    <t>FMM - Faktor primene multimedij (video i audio klipova)</t>
  </si>
  <si>
    <t>Нето</t>
  </si>
  <si>
    <t>Бруто</t>
  </si>
  <si>
    <t>ЕУР/сат</t>
  </si>
  <si>
    <t>AD361 Izrada video igara</t>
  </si>
  <si>
    <t>CS490 Stručna praksa (4 meseca)</t>
  </si>
  <si>
    <t>AD360 Uvod u računarske igre</t>
  </si>
  <si>
    <t>AD365 Projektovanje i mehanika igara</t>
  </si>
  <si>
    <t>CS365 Interakcija korisnika i testiranje igara</t>
  </si>
  <si>
    <t xml:space="preserve">CS401 Timski razvoj računarske igre </t>
  </si>
  <si>
    <t>Radoslav Stojić</t>
  </si>
  <si>
    <t>Руководилац Центра за е-учење</t>
  </si>
  <si>
    <t xml:space="preserve">   u semestru programa OAS</t>
  </si>
  <si>
    <t>RB</t>
  </si>
  <si>
    <t>Šifra i naziv predmeta</t>
  </si>
  <si>
    <t>BČV</t>
  </si>
  <si>
    <t>BČIV</t>
  </si>
  <si>
    <t>SI</t>
  </si>
  <si>
    <t>IT-4</t>
  </si>
  <si>
    <t>IT-3</t>
  </si>
  <si>
    <t>RI</t>
  </si>
  <si>
    <t>IS</t>
  </si>
  <si>
    <t>OM</t>
  </si>
  <si>
    <t>BIM-MK</t>
  </si>
  <si>
    <t>BIM-MUS</t>
  </si>
  <si>
    <t>GD</t>
  </si>
  <si>
    <t>DIM</t>
  </si>
  <si>
    <t>MD</t>
  </si>
  <si>
    <t>BrStud-BG</t>
  </si>
  <si>
    <t>BrStud-Ni</t>
  </si>
  <si>
    <t>Br.Stud-Onlajn</t>
  </si>
  <si>
    <t>BrGr-Bg</t>
  </si>
  <si>
    <t>BrGr-Ni</t>
  </si>
  <si>
    <t>Predaje u BG</t>
  </si>
  <si>
    <t>Asistent 1 u BG</t>
  </si>
  <si>
    <t>BrGrBg-1</t>
  </si>
  <si>
    <t>Asistent 2 u BG</t>
  </si>
  <si>
    <t>BrGrBg-2</t>
  </si>
  <si>
    <t>Predaje u NI</t>
  </si>
  <si>
    <t>Asistent 1 u NI</t>
  </si>
  <si>
    <t>BrGrNi-1</t>
  </si>
  <si>
    <t>Asistent 2 u Ni</t>
  </si>
  <si>
    <t>BrGrNi-2</t>
  </si>
  <si>
    <t>Asistent onlajn nastave</t>
  </si>
  <si>
    <t>Bruto trošak nastave - akont. (Din.)</t>
  </si>
  <si>
    <t>Bruto trošak nastave - ostv. (Din.)</t>
  </si>
  <si>
    <t>Izvršenje predav. bruto</t>
  </si>
  <si>
    <t>Priprema nast.mater. Bruto akont.</t>
  </si>
  <si>
    <t>Priprema nast. mater. ostv. bruto</t>
  </si>
  <si>
    <t>Bruto trošak vežbi</t>
  </si>
  <si>
    <t>CS430 Veštačka inteligencija u igrama</t>
  </si>
  <si>
    <t>Arso Vukićević</t>
  </si>
  <si>
    <t>onlajn</t>
  </si>
  <si>
    <t>CS369 Softverska okruženja za razvoj računarskih igara</t>
  </si>
  <si>
    <t>IS345 Upravljanje digitalnim sadržajima</t>
  </si>
  <si>
    <t>Dragan Đokić</t>
  </si>
  <si>
    <t>Valentina Paunović</t>
  </si>
  <si>
    <t>Goran Stamenović</t>
  </si>
  <si>
    <t>Ana Rodić</t>
  </si>
  <si>
    <t>Željko Đunić</t>
  </si>
  <si>
    <t>Dragan Domazet, Vladimir Milićević</t>
  </si>
  <si>
    <t>Aleksandra Arsić</t>
  </si>
  <si>
    <t>Radoš Pavlićević</t>
  </si>
  <si>
    <t>Jovana Jović</t>
  </si>
  <si>
    <t>Radoš Pavličević</t>
  </si>
  <si>
    <t>CS324 Skripting jezici</t>
  </si>
  <si>
    <t>Igor Franc</t>
  </si>
  <si>
    <t>Milan Hakaj</t>
  </si>
  <si>
    <t>Veljko Grković</t>
  </si>
  <si>
    <t>IT381 Zaštita i bezbednost informacija</t>
  </si>
  <si>
    <t>Miljan Marković</t>
  </si>
  <si>
    <t>IT370 Interakcija čovek-računar</t>
  </si>
  <si>
    <t>Katarina Kaplarski</t>
  </si>
  <si>
    <t>Nebojša Gavrilović</t>
  </si>
  <si>
    <t>CS220 Arhitektura računara</t>
  </si>
  <si>
    <t>Ljubomir Lazić</t>
  </si>
  <si>
    <t>Nenad Strainović</t>
  </si>
  <si>
    <t>SE321 Obezbeđenje kvaliteta, testiranje i održavanje softvera</t>
  </si>
  <si>
    <t>Nikola Dimitrijević</t>
  </si>
  <si>
    <t>SE311 Prојеktоvаnjе i аrhitеkturа sоftvеrа</t>
  </si>
  <si>
    <t>SE490 Stručna praksa (4 meseca)</t>
  </si>
  <si>
    <t>IT255  Veb sistemi 1</t>
  </si>
  <si>
    <t>Vuk Vasić</t>
  </si>
  <si>
    <t>SE325 Upravljanje projektima razvoja softvera</t>
  </si>
  <si>
    <t>IS335 Poslovna  inteligencija</t>
  </si>
  <si>
    <t>CS103 Algoritmi i strukture podataka</t>
  </si>
  <si>
    <t>Miljan Milošević</t>
  </si>
  <si>
    <t>CS367 Razvoj igara 1</t>
  </si>
  <si>
    <t>CS323 C/C++ programski jezik</t>
  </si>
  <si>
    <t>CS368 Razvoj igara 2</t>
  </si>
  <si>
    <t>IS310 Informacioni sistemi organizacija</t>
  </si>
  <si>
    <t>Milovan Ilić</t>
  </si>
  <si>
    <t>IT101 Osnove informacionih tehnologija</t>
  </si>
  <si>
    <t>Miroslava Raspopović</t>
  </si>
  <si>
    <t>Andrej Stanišev</t>
  </si>
  <si>
    <t>IT331 Računarske mreže i komunikacije</t>
  </si>
  <si>
    <t>Nenad Blagojević</t>
  </si>
  <si>
    <t>IT490 Stručna praksa (4 meseca)</t>
  </si>
  <si>
    <t>IT333 Bežične i mobilne komunikacije</t>
  </si>
  <si>
    <t>IT270 IT infrastruktura</t>
  </si>
  <si>
    <t>Miroslava Raspopović, Igor Franc</t>
  </si>
  <si>
    <t>IT210 Sistemi informacionih tehnologija</t>
  </si>
  <si>
    <t>Miroslava Raspopović, Svetlana Cvetanović</t>
  </si>
  <si>
    <t>Svetlana Cvetanović</t>
  </si>
  <si>
    <t>Igor Sabo</t>
  </si>
  <si>
    <t>?</t>
  </si>
  <si>
    <t>IT335 Administracija računarskih sistema i mreža</t>
  </si>
  <si>
    <t>Selena Vasić</t>
  </si>
  <si>
    <t>Bojana Tomašević</t>
  </si>
  <si>
    <t>CS225 Operativni sistemi</t>
  </si>
  <si>
    <t>onlajn?</t>
  </si>
  <si>
    <t>IS205 Osnove informacionih sistema</t>
  </si>
  <si>
    <t>Stefan Jovanović</t>
  </si>
  <si>
    <t>IT350 Baze podataka</t>
  </si>
  <si>
    <t>IS250 Arhitektura IT sistema organizacija</t>
  </si>
  <si>
    <t>IS280 Analiza i projektovanje sistema</t>
  </si>
  <si>
    <t>Vukašin Jeremić</t>
  </si>
  <si>
    <t>SE322 Inženjerstvo zahteva</t>
  </si>
  <si>
    <t>IS491 Stručna praksa (2 meseca)</t>
  </si>
  <si>
    <t xml:space="preserve">IS485 Projekat razvoja informacionog sistema </t>
  </si>
  <si>
    <t>Svetlana Cvetanović, Đorđe Pržulj</t>
  </si>
  <si>
    <t>IS360 Revizija i kontrola IT sistema</t>
  </si>
  <si>
    <t>Tatjana Šibalija</t>
  </si>
  <si>
    <t>IS330 Strategija i upravljanje informacionim sistemima</t>
  </si>
  <si>
    <t>IT375 Upravljanje objektima</t>
  </si>
  <si>
    <t>Veljko Potkonjak</t>
  </si>
  <si>
    <t>IT376 Robotika</t>
  </si>
  <si>
    <t>IT355 Veb sistemi 2</t>
  </si>
  <si>
    <t>5, 7</t>
  </si>
  <si>
    <t>Vladimir Milićević</t>
  </si>
  <si>
    <t>CS330 Razvoj mobilnih aplikacija</t>
  </si>
  <si>
    <t>CS230 Distribuirani sistemi</t>
  </si>
  <si>
    <t>PROLEĆNI SEMESTAR</t>
  </si>
  <si>
    <t>OBRAČUN ZARADE ZA ZAPOSLENE  SARADNIKE</t>
  </si>
  <si>
    <t>Angažovanje asistenta van nastave</t>
  </si>
  <si>
    <t>Ukupna mesečna neto plata</t>
  </si>
  <si>
    <t>Ukupna neto plata u semestru/nastava (6 meseci)</t>
  </si>
  <si>
    <t>Mesečna plata (nastava)</t>
  </si>
  <si>
    <t>Broj časova vežbanja (nedeljno)</t>
  </si>
  <si>
    <t>Lično usavršavanje (DS) (ned.)</t>
  </si>
  <si>
    <t>Ukupno u godini</t>
  </si>
  <si>
    <t>tokom 30 nedelja nastave</t>
  </si>
  <si>
    <t xml:space="preserve">Priprema nastave, ispiti  i konsultacije sa studentima </t>
  </si>
  <si>
    <t>Napomena</t>
  </si>
  <si>
    <t>Napomena:</t>
  </si>
  <si>
    <t>Ukupno godišnja bruto zarada</t>
  </si>
  <si>
    <t>Ukupna neto zarada od nastave</t>
  </si>
  <si>
    <t>Neto mesečna  zarada od nastave</t>
  </si>
  <si>
    <t>Mesečna prosečna zarada-ISUM</t>
  </si>
  <si>
    <t>Mesečna neto zarada koja se isplaćuje</t>
  </si>
  <si>
    <t>SW/IT Inženjer 4</t>
  </si>
  <si>
    <t>SW/IT Inženjer 1, Grafički dizajner 1, Menadžer 1</t>
  </si>
  <si>
    <t>SW/IT Inženjer 2, Grafički dizajner 2, Menadžer 2</t>
  </si>
  <si>
    <t>Angažovanje</t>
  </si>
  <si>
    <t>studenata</t>
  </si>
  <si>
    <t>OAS</t>
  </si>
  <si>
    <t>diplomiranih</t>
  </si>
  <si>
    <t xml:space="preserve"> studenata i </t>
  </si>
  <si>
    <t>mastera</t>
  </si>
  <si>
    <t xml:space="preserve">Ukupo angažovanje </t>
  </si>
  <si>
    <t>nedeljno angažovanje tokom nastave</t>
  </si>
  <si>
    <t>Godišnji broj radnih nedelja  (bez 4 nedelje  odmora i 12 dana praznika 45 ili 1.800 sati (45x8 sati)</t>
  </si>
  <si>
    <t>45 nedelje x 8 sati</t>
  </si>
  <si>
    <t>Asistent ima radno vreme 8 sati rada dnevno</t>
  </si>
  <si>
    <t>15 nedelja x (11+6) + 15 nedelja x 24 sati</t>
  </si>
  <si>
    <t xml:space="preserve">OBRAČUN ZARADE ZA ZAPOSLENE NASTAVNIKE </t>
  </si>
  <si>
    <t>Варијабила за извођење наставе  (запослени наставници и сарадници)</t>
  </si>
  <si>
    <t xml:space="preserve">Cena sata  rada </t>
  </si>
  <si>
    <t>Zarada  (bod/mes)</t>
  </si>
  <si>
    <t>Prosećna mes. zarada (Din./mes)</t>
  </si>
  <si>
    <t>Angažovanje  (tokom 11 mes.)</t>
  </si>
  <si>
    <t>Angažovanje jw  X sati nedeljno tokom 15 nedelja (period nastave) i XX sati nedeljno tokom 12 nedelja kada nema nastave</t>
  </si>
  <si>
    <t>Mesečna zarada od vannastavnog rada (11 mes.)</t>
  </si>
  <si>
    <t>4 nedelje x nedeljna zarada = mes.zarada</t>
  </si>
  <si>
    <t>Mesečna zarada u dinarima</t>
  </si>
  <si>
    <t>Организатор изложби и помоћник декана</t>
  </si>
  <si>
    <t>Broj radnih dana godišnjeg odmora</t>
  </si>
  <si>
    <t xml:space="preserve">Broj radnih dana državnih praznika </t>
  </si>
  <si>
    <t xml:space="preserve">Broj neradnih nedelja: </t>
  </si>
  <si>
    <t>Broj radnih nedelja</t>
  </si>
  <si>
    <t>Broj radnih dana tokom godine</t>
  </si>
  <si>
    <t>Broj ostalih neradnih dana (odmor, slava…)</t>
  </si>
  <si>
    <t>15 x (8+8) + 15x8</t>
  </si>
  <si>
    <t>Emeritus  profesor (nema dodatak po času nastave ni autorski honorar)</t>
  </si>
  <si>
    <t>% учешћа наставника у изради НМ</t>
  </si>
  <si>
    <t>2015-16</t>
  </si>
  <si>
    <t>Normativ:</t>
  </si>
  <si>
    <t xml:space="preserve">reč/čas </t>
  </si>
  <si>
    <t>Predmet u DH polju - samo tekst, bez tabela i slika</t>
  </si>
  <si>
    <t>Predmet u TT polju - samo tekst, bez listinga programa, slika, tabela</t>
  </si>
  <si>
    <t>Predmet u umetnostu - samo tekst, bez slika i dr.</t>
  </si>
  <si>
    <t>Обим је 30-69%</t>
  </si>
  <si>
    <t>речи/час</t>
  </si>
  <si>
    <t xml:space="preserve">Норматив: Обим чистог  текста, без формула, кода, цртежа и др. </t>
  </si>
  <si>
    <t>Предмети ДХ и ТТ поља (процена: 400 речи/страна. 5 страна/час)</t>
  </si>
  <si>
    <t>Предмети из уметности  (процена: 400 речи/страна, 2,5 страна/час)</t>
  </si>
  <si>
    <t xml:space="preserve">Vrednost boda </t>
  </si>
  <si>
    <t>HONORAR ZA IZVRŠENJE NASTAVE</t>
  </si>
  <si>
    <t>IZVEŠTAJ O ZARADI - nastava na OAS</t>
  </si>
  <si>
    <t>Din</t>
  </si>
  <si>
    <t>Godišnji bruto honorar za izvršenje nastave</t>
  </si>
  <si>
    <t>Godišnji neto honorar za izvršenje nastave</t>
  </si>
  <si>
    <t>Napomene:</t>
  </si>
  <si>
    <t>1. Zarada od mentorstva zavr. radova, rada sa Internet studentima, stručne prakse i IT320 se obračunava i isplaćuje posebno</t>
  </si>
  <si>
    <t>2. Zarada od nastave na master i doktorskim studijama se obraćunava premo broju studenata na predmetu i isplaćuje oktobra</t>
  </si>
  <si>
    <t>3. Zarada se isplaćuje u tri rate (40%, 40%, 20%), na početku nastave, po završenoj nastavi i po završenoj školskoj godini.</t>
  </si>
  <si>
    <t>Час предавања предавача/асистента/сарадника</t>
  </si>
  <si>
    <r>
      <rPr>
        <b/>
        <sz val="10"/>
        <rFont val="Arial"/>
        <family val="2"/>
        <charset val="238"/>
      </rPr>
      <t>ZARADA NA MASTER STUDIJAMA</t>
    </r>
    <r>
      <rPr>
        <sz val="12"/>
        <color theme="1"/>
        <rFont val="Calibri"/>
        <family val="2"/>
        <charset val="204"/>
        <scheme val="minor"/>
      </rPr>
      <t xml:space="preserve"> (po studentu, obračun na kraju školske godine)</t>
    </r>
  </si>
  <si>
    <t>MAS</t>
  </si>
  <si>
    <t xml:space="preserve">  za nominalnu školar.</t>
  </si>
  <si>
    <t xml:space="preserve">  za ostvarenu školar.</t>
  </si>
  <si>
    <t xml:space="preserve">Broj </t>
  </si>
  <si>
    <t>prema ostv. prihodu</t>
  </si>
  <si>
    <t>Naziv predmeta</t>
  </si>
  <si>
    <t xml:space="preserve">      po studentu (bod/stud.)</t>
  </si>
  <si>
    <t>upisanih</t>
  </si>
  <si>
    <t xml:space="preserve">        Ukupno (din)</t>
  </si>
  <si>
    <t>Izvr.nast.</t>
  </si>
  <si>
    <t>Aut.hon.</t>
  </si>
  <si>
    <t>stud.</t>
  </si>
  <si>
    <t>UKUPNO GODIŠNJE:</t>
  </si>
  <si>
    <r>
      <rPr>
        <b/>
        <sz val="10"/>
        <rFont val="Arial"/>
        <family val="2"/>
        <charset val="238"/>
      </rPr>
      <t>ZARADA NA DOKTORSKIM STUDIJAMA</t>
    </r>
    <r>
      <rPr>
        <sz val="12"/>
        <color theme="1"/>
        <rFont val="Calibri"/>
        <family val="2"/>
        <charset val="204"/>
        <scheme val="minor"/>
      </rPr>
      <t xml:space="preserve"> (po studentu, obračun na kraju školske godine)</t>
    </r>
  </si>
  <si>
    <t>DS</t>
  </si>
  <si>
    <t>po studentu (bod/stud.)</t>
  </si>
  <si>
    <t xml:space="preserve"> po studentu (bod/stud.)</t>
  </si>
  <si>
    <t>sa ispitom</t>
  </si>
  <si>
    <t>Napomene vezane za obračun zarada za rad na MAS i DS:</t>
  </si>
  <si>
    <t>Руководилац ИСУМ projekta</t>
  </si>
  <si>
    <t>Вођа групе за развој у Центру за е-учење +рад са стипендистима УМ</t>
  </si>
  <si>
    <t>D</t>
  </si>
  <si>
    <t>Oba semestra</t>
  </si>
  <si>
    <t>Запослени</t>
  </si>
  <si>
    <t>Хонорарци</t>
  </si>
  <si>
    <t>Једна од LAMS активности провере знања је дата  од 30 до 50% ОУ 1. нивоа</t>
  </si>
  <si>
    <t>Једна од LAMS активности провера знања  је дата  од 50% до 100% ОУ 1. нивоа</t>
  </si>
  <si>
    <t>Час предвања ред.проф., ванр.проф., и доцента без АХ (без припреме материјала)</t>
  </si>
  <si>
    <t>Час предавања или вежбе доктора наука</t>
  </si>
  <si>
    <t>Часа предавања предавача/асистента/професора струк.студија (има и АХ)</t>
  </si>
  <si>
    <t>Класична настава</t>
  </si>
  <si>
    <t>Хибридна настава</t>
  </si>
  <si>
    <t>Онлајн настава</t>
  </si>
  <si>
    <t>Час предавања  уни. наставника  (има и АХ)</t>
  </si>
  <si>
    <t>Programer 1, Grafički dizajner - asistent 1,   Menadžer asistent 1</t>
  </si>
  <si>
    <t>Programer 2, Grafički dizajner - asistent 2,   Menadžet asistent 2</t>
  </si>
  <si>
    <t>Napomena: Saradnici u RO primaju 70% satnine  (zbog osnovnog dela plate)</t>
  </si>
  <si>
    <t>Programer 3, Grafički dizajner - asistent 3</t>
  </si>
  <si>
    <t>PREDMET 1</t>
  </si>
  <si>
    <t>PREDMET 2</t>
  </si>
  <si>
    <t>PREDMET 3</t>
  </si>
  <si>
    <t>PREDMET 4</t>
  </si>
  <si>
    <t>GodišnjI bruto honorar za izvršenje nastave</t>
  </si>
  <si>
    <t>Godišnji bruto autorski honorar</t>
  </si>
  <si>
    <t>Ukupna neto honorar za izvršenje nastave</t>
  </si>
  <si>
    <t>Ukupni neto autorski honorar</t>
  </si>
  <si>
    <t>Ukupni neto honorar</t>
  </si>
  <si>
    <t>Jes. sem.</t>
  </si>
  <si>
    <t>Prol. sem.</t>
  </si>
  <si>
    <t>Neto honorar - jesenji semestar</t>
  </si>
  <si>
    <t>Neto honorar - prolećni semestar</t>
  </si>
  <si>
    <t>Час  вежбе професора/предавача/асистента/сарадника</t>
  </si>
  <si>
    <t>Visina AH posle ocene nastavnog materijala (Bodovi):</t>
  </si>
  <si>
    <t>Visina AH posle ocene nastavnog materijala (Din.):</t>
  </si>
  <si>
    <t>Osnovna visina autorskog honorara (AH) (Bodovi):</t>
  </si>
  <si>
    <t>Bod/ned</t>
  </si>
  <si>
    <t>Din/ned</t>
  </si>
  <si>
    <t>KAH</t>
  </si>
  <si>
    <t>Напомена: Ако наставник не прима АХ, ондa се хонорар множи са KAH=1,5</t>
  </si>
  <si>
    <t>SW/IT Inženjer 3, Grafički dizajner 3, Menadžer 3</t>
  </si>
  <si>
    <t>Напомена:  Број бодова се повећава за 25% ако наставник не припрема АХ</t>
  </si>
  <si>
    <t xml:space="preserve">    </t>
  </si>
</sst>
</file>

<file path=xl/styles.xml><?xml version="1.0" encoding="utf-8"?>
<styleSheet xmlns="http://schemas.openxmlformats.org/spreadsheetml/2006/main">
  <numFmts count="13">
    <numFmt numFmtId="164" formatCode="_-* #,##0\ _U_S_$_-;\-* #,##0\ _U_S_$_-;_-* &quot;-&quot;\ _U_S_$_-;_-@_-"/>
    <numFmt numFmtId="165" formatCode="#,##0.000"/>
    <numFmt numFmtId="166" formatCode="0.000"/>
    <numFmt numFmtId="167" formatCode="0.0000"/>
    <numFmt numFmtId="168" formatCode="#,##0.00000"/>
    <numFmt numFmtId="169" formatCode="#,##0.0000"/>
    <numFmt numFmtId="170" formatCode="_-* #,##0.00\ _д_и_н_._-;\-* #,##0.00\ _д_и_н_._-;_-* &quot;-&quot;\ _д_и_н_._-;_-@_-"/>
    <numFmt numFmtId="171" formatCode="_-* #,##0\ _d_i_n_._-;\-* #,##0\ _d_i_n_._-;_-* &quot;-&quot;??\ _d_i_n_._-;_-@_-"/>
    <numFmt numFmtId="172" formatCode="[$€-2]\ #,##0"/>
    <numFmt numFmtId="173" formatCode="[$€-2]\ #,##0.00"/>
    <numFmt numFmtId="174" formatCode="_-* #,##0.0\ _д_и_н_._-;\-* #,##0.0\ _д_и_н_._-;_-* &quot;-&quot;\ _д_и_н_._-;_-@_-"/>
    <numFmt numFmtId="175" formatCode="#,##0.00_ ;\-#,##0.00\ "/>
    <numFmt numFmtId="176" formatCode="#,##0_ ;\-#,##0\ "/>
  </numFmts>
  <fonts count="44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theme="1"/>
      <name val="Calibri"/>
      <scheme val="minor"/>
    </font>
    <font>
      <sz val="12"/>
      <color theme="3" tint="0.39997558519241921"/>
      <name val="Calibri"/>
      <scheme val="minor"/>
    </font>
    <font>
      <b/>
      <sz val="14"/>
      <color theme="3" tint="0.39997558519241921"/>
      <name val="Calibri"/>
      <scheme val="minor"/>
    </font>
    <font>
      <b/>
      <sz val="10"/>
      <name val="Arial"/>
      <family val="2"/>
      <charset val="238"/>
    </font>
    <font>
      <sz val="12"/>
      <name val="Calibri"/>
      <scheme val="minor"/>
    </font>
    <font>
      <sz val="12"/>
      <color rgb="FF9C0006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color theme="1"/>
      <name val="Calibri"/>
      <family val="2"/>
      <charset val="204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Calibri"/>
      <scheme val="minor"/>
    </font>
    <font>
      <sz val="12"/>
      <name val="Arial"/>
    </font>
    <font>
      <b/>
      <sz val="11"/>
      <name val="Arial"/>
    </font>
    <font>
      <b/>
      <sz val="12"/>
      <name val="Arial"/>
    </font>
    <font>
      <sz val="12"/>
      <color rgb="FFFF0000"/>
      <name val="Arial"/>
    </font>
    <font>
      <b/>
      <sz val="12"/>
      <color rgb="FFFF0000"/>
      <name val="Arial"/>
    </font>
    <font>
      <b/>
      <sz val="11"/>
      <color theme="1"/>
      <name val="Arial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Arial"/>
    </font>
    <font>
      <sz val="11"/>
      <color theme="1"/>
      <name val="Arial"/>
    </font>
    <font>
      <b/>
      <sz val="10"/>
      <color theme="1"/>
      <name val="Calibri"/>
      <scheme val="minor"/>
    </font>
    <font>
      <sz val="12"/>
      <color rgb="FF000000"/>
      <name val="Arial"/>
    </font>
    <font>
      <sz val="8"/>
      <name val="Arial Narrow"/>
      <family val="2"/>
      <charset val="238"/>
    </font>
    <font>
      <sz val="12"/>
      <color rgb="FF000000"/>
      <name val="Calibri"/>
      <family val="2"/>
      <charset val="204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5109"/>
      <name val="Arial"/>
      <family val="2"/>
      <charset val="238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2"/>
        <bgColor indexed="64"/>
      </patternFill>
    </fill>
  </fills>
  <borders count="1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indexed="64"/>
      </right>
      <top/>
      <bottom style="medium">
        <color auto="1"/>
      </bottom>
      <diagonal/>
    </border>
  </borders>
  <cellStyleXfs count="2809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4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/>
    <xf numFmtId="0" fontId="15" fillId="11" borderId="57" applyNumberFormat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1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/>
    <xf numFmtId="0" fontId="4" fillId="0" borderId="11" xfId="0" applyFont="1" applyBorder="1" applyAlignment="1">
      <alignment horizontal="right"/>
    </xf>
    <xf numFmtId="0" fontId="0" fillId="0" borderId="4" xfId="0" applyBorder="1"/>
    <xf numFmtId="0" fontId="0" fillId="0" borderId="20" xfId="0" applyFon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5" borderId="36" xfId="0" applyFill="1" applyBorder="1"/>
    <xf numFmtId="0" fontId="0" fillId="5" borderId="37" xfId="0" applyFill="1" applyBorder="1"/>
    <xf numFmtId="0" fontId="0" fillId="0" borderId="0" xfId="0" applyAlignment="1">
      <alignment horizontal="center" vertical="center"/>
    </xf>
    <xf numFmtId="0" fontId="9" fillId="0" borderId="0" xfId="0" applyFo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/>
    <xf numFmtId="0" fontId="5" fillId="8" borderId="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Font="1" applyFill="1" applyBorder="1"/>
    <xf numFmtId="0" fontId="3" fillId="0" borderId="6" xfId="0" applyFont="1" applyBorder="1" applyAlignment="1">
      <alignment horizontal="center"/>
    </xf>
    <xf numFmtId="0" fontId="5" fillId="8" borderId="49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9" xfId="0" applyFill="1" applyBorder="1" applyAlignment="1">
      <alignment vertical="center" wrapText="1"/>
    </xf>
    <xf numFmtId="0" fontId="5" fillId="8" borderId="0" xfId="0" applyFont="1" applyFill="1" applyAlignment="1">
      <alignment horizontal="center"/>
    </xf>
    <xf numFmtId="0" fontId="0" fillId="0" borderId="9" xfId="0" applyFill="1" applyBorder="1" applyAlignment="1">
      <alignment wrapText="1"/>
    </xf>
    <xf numFmtId="0" fontId="5" fillId="8" borderId="50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ill="1" applyBorder="1"/>
    <xf numFmtId="0" fontId="4" fillId="0" borderId="0" xfId="0" applyFont="1" applyFill="1" applyBorder="1"/>
    <xf numFmtId="0" fontId="0" fillId="0" borderId="3" xfId="0" applyBorder="1" applyAlignment="1">
      <alignment horizontal="center"/>
    </xf>
    <xf numFmtId="0" fontId="10" fillId="0" borderId="0" xfId="0" applyFont="1"/>
    <xf numFmtId="0" fontId="0" fillId="0" borderId="30" xfId="0" applyBorder="1" applyAlignment="1">
      <alignment horizontal="center"/>
    </xf>
    <xf numFmtId="0" fontId="0" fillId="0" borderId="11" xfId="0" applyBorder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4" fillId="0" borderId="4" xfId="0" applyFont="1" applyFill="1" applyBorder="1"/>
    <xf numFmtId="4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Font="1" applyFill="1" applyBorder="1" applyAlignment="1">
      <alignment horizontal="right" wrapText="1"/>
    </xf>
    <xf numFmtId="1" fontId="0" fillId="0" borderId="48" xfId="0" applyNumberFormat="1" applyFont="1" applyBorder="1" applyAlignment="1">
      <alignment horizontal="center"/>
    </xf>
    <xf numFmtId="0" fontId="4" fillId="0" borderId="9" xfId="0" applyFont="1" applyFill="1" applyBorder="1" applyAlignment="1">
      <alignment horizontal="right" wrapText="1"/>
    </xf>
    <xf numFmtId="2" fontId="4" fillId="8" borderId="10" xfId="1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5" fillId="8" borderId="11" xfId="0" applyFont="1" applyFill="1" applyBorder="1" applyAlignment="1">
      <alignment vertical="center" wrapText="1"/>
    </xf>
    <xf numFmtId="2" fontId="5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49" xfId="0" applyBorder="1" applyAlignment="1">
      <alignment horizontal="center"/>
    </xf>
    <xf numFmtId="0" fontId="4" fillId="0" borderId="50" xfId="0" applyFont="1" applyBorder="1" applyAlignment="1">
      <alignment vertical="center"/>
    </xf>
    <xf numFmtId="1" fontId="0" fillId="0" borderId="51" xfId="0" applyNumberFormat="1" applyBorder="1" applyAlignment="1">
      <alignment horizontal="center" wrapText="1"/>
    </xf>
    <xf numFmtId="0" fontId="0" fillId="0" borderId="4" xfId="0" applyFill="1" applyBorder="1" applyAlignment="1">
      <alignment vertical="center" wrapText="1"/>
    </xf>
    <xf numFmtId="1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1" fontId="0" fillId="0" borderId="7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47" xfId="0" applyFill="1" applyBorder="1" applyAlignment="1">
      <alignment horizontal="right" vertical="center" wrapText="1"/>
    </xf>
    <xf numFmtId="1" fontId="0" fillId="0" borderId="48" xfId="0" applyNumberFormat="1" applyBorder="1" applyAlignment="1">
      <alignment horizontal="center"/>
    </xf>
    <xf numFmtId="0" fontId="4" fillId="0" borderId="21" xfId="0" applyFont="1" applyFill="1" applyBorder="1" applyAlignment="1">
      <alignment horizontal="right" vertical="center" wrapText="1" indent="1"/>
    </xf>
    <xf numFmtId="2" fontId="4" fillId="8" borderId="13" xfId="0" applyNumberFormat="1" applyFont="1" applyFill="1" applyBorder="1" applyAlignment="1">
      <alignment horizontal="center"/>
    </xf>
    <xf numFmtId="0" fontId="5" fillId="8" borderId="5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/>
    </xf>
    <xf numFmtId="2" fontId="4" fillId="8" borderId="53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0" fillId="0" borderId="47" xfId="0" applyBorder="1" applyAlignment="1">
      <alignment horizontal="center"/>
    </xf>
    <xf numFmtId="0" fontId="4" fillId="0" borderId="47" xfId="0" applyFont="1" applyBorder="1" applyAlignment="1">
      <alignment horizontal="right"/>
    </xf>
    <xf numFmtId="4" fontId="4" fillId="0" borderId="47" xfId="0" applyNumberFormat="1" applyFont="1" applyBorder="1" applyAlignment="1">
      <alignment horizontal="center"/>
    </xf>
    <xf numFmtId="0" fontId="0" fillId="0" borderId="11" xfId="0" applyFont="1" applyFill="1" applyBorder="1"/>
    <xf numFmtId="0" fontId="0" fillId="0" borderId="0" xfId="0" applyBorder="1" applyAlignment="1">
      <alignment horizontal="center"/>
    </xf>
    <xf numFmtId="0" fontId="12" fillId="0" borderId="1" xfId="0" applyFont="1" applyBorder="1"/>
    <xf numFmtId="0" fontId="3" fillId="0" borderId="0" xfId="0" applyFont="1"/>
    <xf numFmtId="0" fontId="0" fillId="0" borderId="27" xfId="0" applyBorder="1"/>
    <xf numFmtId="0" fontId="0" fillId="0" borderId="45" xfId="0" applyBorder="1"/>
    <xf numFmtId="0" fontId="0" fillId="0" borderId="45" xfId="0" applyFill="1" applyBorder="1" applyAlignment="1">
      <alignment wrapText="1"/>
    </xf>
    <xf numFmtId="0" fontId="0" fillId="0" borderId="45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ill="1"/>
    <xf numFmtId="0" fontId="0" fillId="0" borderId="4" xfId="0" applyBorder="1" applyAlignment="1">
      <alignment vertical="center" wrapText="1"/>
    </xf>
    <xf numFmtId="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9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0" fontId="12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12" fillId="0" borderId="0" xfId="0" applyNumberFormat="1" applyFont="1" applyFill="1" applyAlignment="1">
      <alignment vertical="center"/>
    </xf>
    <xf numFmtId="0" fontId="0" fillId="2" borderId="15" xfId="0" applyFill="1" applyBorder="1" applyAlignment="1">
      <alignment vertical="center"/>
    </xf>
    <xf numFmtId="1" fontId="0" fillId="2" borderId="16" xfId="0" applyNumberFormat="1" applyFill="1" applyBorder="1" applyAlignment="1">
      <alignment horizontal="center" vertical="center"/>
    </xf>
    <xf numFmtId="0" fontId="0" fillId="2" borderId="53" xfId="0" applyFill="1" applyBorder="1" applyAlignment="1">
      <alignment vertical="center"/>
    </xf>
    <xf numFmtId="0" fontId="12" fillId="13" borderId="62" xfId="0" applyFont="1" applyFill="1" applyBorder="1" applyAlignment="1">
      <alignment vertical="center"/>
    </xf>
    <xf numFmtId="0" fontId="12" fillId="13" borderId="63" xfId="0" applyFont="1" applyFill="1" applyBorder="1" applyAlignment="1">
      <alignment horizontal="center" vertical="center"/>
    </xf>
    <xf numFmtId="0" fontId="12" fillId="13" borderId="48" xfId="0" applyFont="1" applyFill="1" applyBorder="1" applyAlignment="1">
      <alignment horizontal="center" vertical="center"/>
    </xf>
    <xf numFmtId="3" fontId="12" fillId="14" borderId="44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left" vertical="center"/>
    </xf>
    <xf numFmtId="0" fontId="12" fillId="2" borderId="55" xfId="0" applyFont="1" applyFill="1" applyBorder="1" applyAlignment="1">
      <alignment vertical="center"/>
    </xf>
    <xf numFmtId="0" fontId="12" fillId="5" borderId="66" xfId="0" applyFont="1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12" fillId="5" borderId="5" xfId="0" applyNumberFormat="1" applyFont="1" applyFill="1" applyBorder="1" applyAlignment="1">
      <alignment horizontal="center" vertical="center"/>
    </xf>
    <xf numFmtId="3" fontId="12" fillId="5" borderId="7" xfId="0" applyNumberFormat="1" applyFont="1" applyFill="1" applyBorder="1" applyAlignment="1">
      <alignment horizontal="center" vertical="center"/>
    </xf>
    <xf numFmtId="3" fontId="12" fillId="5" borderId="1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2" fillId="5" borderId="4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3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12" fillId="4" borderId="9" xfId="0" applyNumberFormat="1" applyFont="1" applyFill="1" applyBorder="1" applyAlignment="1">
      <alignment horizontal="center"/>
    </xf>
    <xf numFmtId="168" fontId="12" fillId="17" borderId="0" xfId="0" applyNumberFormat="1" applyFont="1" applyFill="1"/>
    <xf numFmtId="10" fontId="12" fillId="4" borderId="0" xfId="0" applyNumberFormat="1" applyFont="1" applyFill="1" applyBorder="1" applyAlignment="1">
      <alignment horizontal="center"/>
    </xf>
    <xf numFmtId="169" fontId="12" fillId="0" borderId="0" xfId="0" applyNumberFormat="1" applyFont="1"/>
    <xf numFmtId="0" fontId="12" fillId="4" borderId="54" xfId="0" applyFont="1" applyFill="1" applyBorder="1" applyAlignment="1">
      <alignment horizontal="center"/>
    </xf>
    <xf numFmtId="164" fontId="12" fillId="4" borderId="0" xfId="72" applyFont="1" applyFill="1" applyBorder="1" applyAlignment="1">
      <alignment horizontal="left"/>
    </xf>
    <xf numFmtId="0" fontId="12" fillId="0" borderId="0" xfId="0" applyFont="1"/>
    <xf numFmtId="0" fontId="12" fillId="14" borderId="0" xfId="0" applyFont="1" applyFill="1"/>
    <xf numFmtId="0" fontId="12" fillId="4" borderId="0" xfId="0" applyFont="1" applyFill="1" applyBorder="1" applyAlignment="1">
      <alignment horizontal="center"/>
    </xf>
    <xf numFmtId="1" fontId="12" fillId="4" borderId="56" xfId="0" applyNumberFormat="1" applyFont="1" applyFill="1" applyBorder="1" applyAlignment="1">
      <alignment horizontal="center"/>
    </xf>
    <xf numFmtId="0" fontId="12" fillId="4" borderId="56" xfId="0" applyFont="1" applyFill="1" applyBorder="1" applyAlignment="1">
      <alignment horizontal="center"/>
    </xf>
    <xf numFmtId="170" fontId="12" fillId="4" borderId="0" xfId="72" applyNumberFormat="1" applyFont="1" applyFill="1" applyBorder="1" applyAlignment="1">
      <alignment horizontal="center"/>
    </xf>
    <xf numFmtId="2" fontId="12" fillId="0" borderId="0" xfId="0" applyNumberFormat="1" applyFont="1"/>
    <xf numFmtId="0" fontId="0" fillId="0" borderId="33" xfId="0" applyFont="1" applyBorder="1" applyAlignment="1">
      <alignment horizontal="center"/>
    </xf>
    <xf numFmtId="0" fontId="0" fillId="0" borderId="1" xfId="0" applyFont="1" applyBorder="1"/>
    <xf numFmtId="0" fontId="0" fillId="0" borderId="9" xfId="0" applyFont="1" applyBorder="1"/>
    <xf numFmtId="0" fontId="12" fillId="6" borderId="5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1" xfId="0" applyFont="1" applyBorder="1"/>
    <xf numFmtId="0" fontId="0" fillId="0" borderId="10" xfId="0" applyFont="1" applyBorder="1" applyAlignment="1">
      <alignment horizontal="center"/>
    </xf>
    <xf numFmtId="0" fontId="23" fillId="0" borderId="50" xfId="0" applyFont="1" applyFill="1" applyBorder="1"/>
    <xf numFmtId="0" fontId="23" fillId="0" borderId="16" xfId="0" applyFont="1" applyFill="1" applyBorder="1"/>
    <xf numFmtId="0" fontId="0" fillId="0" borderId="12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6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0" fillId="8" borderId="1" xfId="0" applyFont="1" applyFill="1" applyBorder="1"/>
    <xf numFmtId="172" fontId="12" fillId="4" borderId="0" xfId="0" applyNumberFormat="1" applyFont="1" applyFill="1" applyBorder="1" applyAlignment="1">
      <alignment horizontal="left"/>
    </xf>
    <xf numFmtId="0" fontId="12" fillId="4" borderId="61" xfId="0" applyFont="1" applyFill="1" applyBorder="1" applyAlignment="1">
      <alignment horizontal="center"/>
    </xf>
    <xf numFmtId="0" fontId="0" fillId="0" borderId="4" xfId="0" applyFont="1" applyBorder="1"/>
    <xf numFmtId="0" fontId="0" fillId="0" borderId="13" xfId="0" applyFont="1" applyBorder="1" applyAlignment="1">
      <alignment horizontal="center"/>
    </xf>
    <xf numFmtId="0" fontId="12" fillId="14" borderId="6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3" fillId="9" borderId="0" xfId="0" applyFont="1" applyFill="1"/>
    <xf numFmtId="0" fontId="13" fillId="9" borderId="0" xfId="0" applyFont="1" applyFill="1" applyBorder="1" applyAlignment="1">
      <alignment horizontal="right"/>
    </xf>
    <xf numFmtId="0" fontId="24" fillId="9" borderId="0" xfId="0" applyFont="1" applyFill="1" applyAlignment="1">
      <alignment horizontal="center"/>
    </xf>
    <xf numFmtId="0" fontId="12" fillId="4" borderId="69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16" fillId="4" borderId="21" xfId="0" applyFont="1" applyFill="1" applyBorder="1" applyAlignment="1">
      <alignment horizontal="center"/>
    </xf>
    <xf numFmtId="0" fontId="25" fillId="9" borderId="0" xfId="0" applyFont="1" applyFill="1"/>
    <xf numFmtId="0" fontId="25" fillId="9" borderId="0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165" fontId="16" fillId="15" borderId="7" xfId="0" applyNumberFormat="1" applyFont="1" applyFill="1" applyBorder="1" applyAlignment="1">
      <alignment horizontal="center"/>
    </xf>
    <xf numFmtId="0" fontId="16" fillId="4" borderId="26" xfId="0" applyFont="1" applyFill="1" applyBorder="1"/>
    <xf numFmtId="0" fontId="16" fillId="4" borderId="47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166" fontId="16" fillId="15" borderId="10" xfId="0" applyNumberFormat="1" applyFont="1" applyFill="1" applyBorder="1" applyAlignment="1">
      <alignment horizontal="center"/>
    </xf>
    <xf numFmtId="0" fontId="16" fillId="0" borderId="63" xfId="0" applyFont="1" applyBorder="1"/>
    <xf numFmtId="167" fontId="16" fillId="16" borderId="47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6" xfId="0" applyFont="1" applyFill="1" applyBorder="1"/>
    <xf numFmtId="10" fontId="16" fillId="4" borderId="1" xfId="0" applyNumberFormat="1" applyFont="1" applyFill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0" fontId="16" fillId="0" borderId="0" xfId="0" applyNumberFormat="1" applyFont="1"/>
    <xf numFmtId="0" fontId="16" fillId="4" borderId="8" xfId="0" applyFont="1" applyFill="1" applyBorder="1"/>
    <xf numFmtId="10" fontId="16" fillId="4" borderId="9" xfId="0" applyNumberFormat="1" applyFont="1" applyFill="1" applyBorder="1" applyAlignment="1">
      <alignment horizontal="center"/>
    </xf>
    <xf numFmtId="10" fontId="16" fillId="17" borderId="21" xfId="0" applyNumberFormat="1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/>
    </xf>
    <xf numFmtId="0" fontId="16" fillId="4" borderId="65" xfId="0" applyFont="1" applyFill="1" applyBorder="1" applyAlignment="1">
      <alignment horizontal="center"/>
    </xf>
    <xf numFmtId="0" fontId="16" fillId="4" borderId="56" xfId="0" applyFont="1" applyFill="1" applyBorder="1" applyAlignment="1">
      <alignment horizontal="center"/>
    </xf>
    <xf numFmtId="0" fontId="16" fillId="4" borderId="0" xfId="0" applyFont="1" applyFill="1" applyBorder="1"/>
    <xf numFmtId="0" fontId="16" fillId="0" borderId="0" xfId="0" applyFont="1" applyFill="1" applyBorder="1"/>
    <xf numFmtId="0" fontId="16" fillId="5" borderId="7" xfId="0" applyFont="1" applyFill="1" applyBorder="1" applyAlignment="1">
      <alignment horizontal="center"/>
    </xf>
    <xf numFmtId="1" fontId="16" fillId="4" borderId="56" xfId="0" applyNumberFormat="1" applyFont="1" applyFill="1" applyBorder="1" applyAlignment="1">
      <alignment horizontal="center"/>
    </xf>
    <xf numFmtId="170" fontId="16" fillId="4" borderId="0" xfId="72" applyNumberFormat="1" applyFont="1" applyFill="1" applyBorder="1" applyAlignment="1">
      <alignment horizontal="center"/>
    </xf>
    <xf numFmtId="2" fontId="16" fillId="0" borderId="0" xfId="0" applyNumberFormat="1" applyFont="1"/>
    <xf numFmtId="9" fontId="16" fillId="0" borderId="0" xfId="0" applyNumberFormat="1" applyFont="1"/>
    <xf numFmtId="171" fontId="16" fillId="0" borderId="14" xfId="0" applyNumberFormat="1" applyFon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172" fontId="16" fillId="4" borderId="0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1" fontId="16" fillId="4" borderId="61" xfId="0" applyNumberFormat="1" applyFont="1" applyFill="1" applyBorder="1" applyAlignment="1">
      <alignment horizontal="center"/>
    </xf>
    <xf numFmtId="3" fontId="16" fillId="4" borderId="0" xfId="0" applyNumberFormat="1" applyFont="1" applyFill="1" applyBorder="1" applyAlignment="1">
      <alignment horizontal="center"/>
    </xf>
    <xf numFmtId="4" fontId="16" fillId="0" borderId="7" xfId="0" applyNumberFormat="1" applyFont="1" applyBorder="1" applyAlignment="1">
      <alignment horizontal="center"/>
    </xf>
    <xf numFmtId="0" fontId="16" fillId="0" borderId="9" xfId="0" applyFont="1" applyBorder="1"/>
    <xf numFmtId="4" fontId="16" fillId="0" borderId="10" xfId="0" applyNumberFormat="1" applyFont="1" applyBorder="1" applyAlignment="1">
      <alignment horizontal="center"/>
    </xf>
    <xf numFmtId="0" fontId="16" fillId="6" borderId="5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6" borderId="56" xfId="0" applyFont="1" applyFill="1" applyBorder="1" applyAlignment="1">
      <alignment horizontal="center"/>
    </xf>
    <xf numFmtId="1" fontId="16" fillId="5" borderId="6" xfId="0" applyNumberFormat="1" applyFont="1" applyFill="1" applyBorder="1" applyAlignment="1">
      <alignment horizontal="center"/>
    </xf>
    <xf numFmtId="0" fontId="16" fillId="5" borderId="1" xfId="0" applyFont="1" applyFill="1" applyBorder="1"/>
    <xf numFmtId="1" fontId="16" fillId="5" borderId="20" xfId="0" applyNumberFormat="1" applyFont="1" applyFill="1" applyBorder="1" applyAlignment="1">
      <alignment horizontal="center"/>
    </xf>
    <xf numFmtId="0" fontId="16" fillId="5" borderId="21" xfId="0" applyFont="1" applyFill="1" applyBorder="1"/>
    <xf numFmtId="1" fontId="16" fillId="5" borderId="8" xfId="0" applyNumberFormat="1" applyFont="1" applyFill="1" applyBorder="1" applyAlignment="1">
      <alignment horizontal="center"/>
    </xf>
    <xf numFmtId="0" fontId="16" fillId="5" borderId="9" xfId="0" applyFont="1" applyFill="1" applyBorder="1"/>
    <xf numFmtId="1" fontId="16" fillId="0" borderId="6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1" fontId="16" fillId="0" borderId="30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4" fontId="16" fillId="0" borderId="53" xfId="0" applyNumberFormat="1" applyFont="1" applyBorder="1" applyAlignment="1">
      <alignment horizontal="center"/>
    </xf>
    <xf numFmtId="0" fontId="16" fillId="6" borderId="61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/>
    <xf numFmtId="0" fontId="21" fillId="0" borderId="7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73" fontId="16" fillId="0" borderId="0" xfId="0" applyNumberFormat="1" applyFont="1" applyFill="1" applyBorder="1"/>
    <xf numFmtId="0" fontId="16" fillId="0" borderId="56" xfId="0" applyFont="1" applyBorder="1" applyAlignment="1">
      <alignment horizontal="center"/>
    </xf>
    <xf numFmtId="3" fontId="16" fillId="0" borderId="0" xfId="0" applyNumberFormat="1" applyFont="1"/>
    <xf numFmtId="0" fontId="16" fillId="0" borderId="20" xfId="0" applyFont="1" applyBorder="1"/>
    <xf numFmtId="0" fontId="16" fillId="0" borderId="35" xfId="0" applyFont="1" applyBorder="1" applyAlignment="1">
      <alignment horizontal="center"/>
    </xf>
    <xf numFmtId="0" fontId="16" fillId="0" borderId="6" xfId="0" applyFont="1" applyBorder="1"/>
    <xf numFmtId="0" fontId="16" fillId="6" borderId="5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2" borderId="6" xfId="0" applyFont="1" applyFill="1" applyBorder="1"/>
    <xf numFmtId="0" fontId="16" fillId="2" borderId="7" xfId="0" applyFont="1" applyFill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6" borderId="17" xfId="0" applyFont="1" applyFill="1" applyBorder="1" applyAlignment="1">
      <alignment horizontal="center"/>
    </xf>
    <xf numFmtId="173" fontId="16" fillId="0" borderId="44" xfId="0" applyNumberFormat="1" applyFont="1" applyFill="1" applyBorder="1"/>
    <xf numFmtId="1" fontId="16" fillId="4" borderId="0" xfId="0" applyNumberFormat="1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1" fontId="16" fillId="2" borderId="22" xfId="0" applyNumberFormat="1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1" fontId="16" fillId="5" borderId="46" xfId="0" applyNumberFormat="1" applyFont="1" applyFill="1" applyBorder="1" applyAlignment="1">
      <alignment horizontal="center"/>
    </xf>
    <xf numFmtId="0" fontId="16" fillId="5" borderId="47" xfId="0" applyFont="1" applyFill="1" applyBorder="1"/>
    <xf numFmtId="0" fontId="16" fillId="5" borderId="10" xfId="0" applyFont="1" applyFill="1" applyBorder="1" applyAlignment="1">
      <alignment horizontal="center"/>
    </xf>
    <xf numFmtId="3" fontId="16" fillId="8" borderId="34" xfId="0" applyNumberFormat="1" applyFont="1" applyFill="1" applyBorder="1" applyAlignment="1">
      <alignment horizontal="center"/>
    </xf>
    <xf numFmtId="1" fontId="16" fillId="8" borderId="6" xfId="0" applyNumberFormat="1" applyFont="1" applyFill="1" applyBorder="1" applyAlignment="1">
      <alignment horizontal="center"/>
    </xf>
    <xf numFmtId="0" fontId="16" fillId="8" borderId="1" xfId="0" applyFont="1" applyFill="1" applyBorder="1"/>
    <xf numFmtId="0" fontId="16" fillId="8" borderId="7" xfId="0" applyFont="1" applyFill="1" applyBorder="1" applyAlignment="1">
      <alignment horizontal="center"/>
    </xf>
    <xf numFmtId="1" fontId="16" fillId="8" borderId="8" xfId="0" applyNumberFormat="1" applyFont="1" applyFill="1" applyBorder="1" applyAlignment="1">
      <alignment horizontal="center"/>
    </xf>
    <xf numFmtId="0" fontId="16" fillId="8" borderId="9" xfId="0" applyFont="1" applyFill="1" applyBorder="1"/>
    <xf numFmtId="0" fontId="16" fillId="8" borderId="10" xfId="0" applyFont="1" applyFill="1" applyBorder="1" applyAlignment="1">
      <alignment horizontal="center"/>
    </xf>
    <xf numFmtId="1" fontId="16" fillId="0" borderId="46" xfId="0" applyNumberFormat="1" applyFont="1" applyFill="1" applyBorder="1" applyAlignment="1">
      <alignment horizontal="center"/>
    </xf>
    <xf numFmtId="0" fontId="16" fillId="0" borderId="47" xfId="0" applyFont="1" applyBorder="1"/>
    <xf numFmtId="0" fontId="16" fillId="0" borderId="14" xfId="0" applyFont="1" applyFill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2" borderId="17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172" fontId="16" fillId="5" borderId="5" xfId="0" applyNumberFormat="1" applyFont="1" applyFill="1" applyBorder="1" applyAlignment="1">
      <alignment horizontal="center"/>
    </xf>
    <xf numFmtId="0" fontId="16" fillId="4" borderId="61" xfId="0" applyFont="1" applyFill="1" applyBorder="1" applyAlignment="1">
      <alignment horizontal="center"/>
    </xf>
    <xf numFmtId="0" fontId="16" fillId="0" borderId="4" xfId="0" applyFont="1" applyBorder="1"/>
    <xf numFmtId="0" fontId="16" fillId="0" borderId="20" xfId="0" applyFont="1" applyBorder="1" applyAlignment="1">
      <alignment horizontal="center"/>
    </xf>
    <xf numFmtId="0" fontId="16" fillId="0" borderId="40" xfId="0" applyFont="1" applyBorder="1"/>
    <xf numFmtId="0" fontId="16" fillId="0" borderId="30" xfId="0" applyFont="1" applyBorder="1" applyAlignment="1">
      <alignment horizontal="center"/>
    </xf>
    <xf numFmtId="0" fontId="16" fillId="14" borderId="25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3" fontId="16" fillId="0" borderId="35" xfId="0" applyNumberFormat="1" applyFont="1" applyFill="1" applyBorder="1" applyAlignment="1">
      <alignment horizontal="center"/>
    </xf>
    <xf numFmtId="0" fontId="16" fillId="14" borderId="61" xfId="0" applyFont="1" applyFill="1" applyBorder="1" applyAlignment="1">
      <alignment horizontal="center"/>
    </xf>
    <xf numFmtId="0" fontId="16" fillId="14" borderId="26" xfId="0" applyFont="1" applyFill="1" applyBorder="1" applyAlignment="1">
      <alignment horizontal="center"/>
    </xf>
    <xf numFmtId="0" fontId="16" fillId="0" borderId="66" xfId="0" applyFont="1" applyBorder="1" applyAlignment="1">
      <alignment horizontal="center" vertical="center"/>
    </xf>
    <xf numFmtId="0" fontId="16" fillId="0" borderId="11" xfId="0" applyFont="1" applyBorder="1"/>
    <xf numFmtId="4" fontId="16" fillId="0" borderId="0" xfId="0" applyNumberFormat="1" applyFont="1" applyBorder="1" applyAlignment="1">
      <alignment horizontal="center"/>
    </xf>
    <xf numFmtId="2" fontId="16" fillId="0" borderId="7" xfId="0" applyNumberFormat="1" applyFont="1" applyFill="1" applyBorder="1" applyAlignment="1">
      <alignment horizontal="center"/>
    </xf>
    <xf numFmtId="0" fontId="21" fillId="8" borderId="4" xfId="0" applyFont="1" applyFill="1" applyBorder="1"/>
    <xf numFmtId="2" fontId="21" fillId="8" borderId="5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2" fontId="21" fillId="5" borderId="68" xfId="0" applyNumberFormat="1" applyFont="1" applyFill="1" applyBorder="1" applyAlignment="1">
      <alignment horizontal="center"/>
    </xf>
    <xf numFmtId="2" fontId="21" fillId="5" borderId="35" xfId="0" applyNumberFormat="1" applyFont="1" applyFill="1" applyBorder="1" applyAlignment="1">
      <alignment horizontal="center"/>
    </xf>
    <xf numFmtId="2" fontId="21" fillId="5" borderId="12" xfId="0" applyNumberFormat="1" applyFont="1" applyFill="1" applyBorder="1" applyAlignment="1">
      <alignment horizontal="center"/>
    </xf>
    <xf numFmtId="2" fontId="21" fillId="5" borderId="5" xfId="0" applyNumberFormat="1" applyFont="1" applyFill="1" applyBorder="1" applyAlignment="1">
      <alignment horizontal="center"/>
    </xf>
    <xf numFmtId="2" fontId="21" fillId="5" borderId="39" xfId="0" applyNumberFormat="1" applyFont="1" applyFill="1" applyBorder="1" applyAlignment="1">
      <alignment horizontal="center"/>
    </xf>
    <xf numFmtId="2" fontId="21" fillId="5" borderId="9" xfId="0" applyNumberFormat="1" applyFont="1" applyFill="1" applyBorder="1" applyAlignment="1">
      <alignment horizontal="center"/>
    </xf>
    <xf numFmtId="4" fontId="21" fillId="5" borderId="7" xfId="0" applyNumberFormat="1" applyFont="1" applyFill="1" applyBorder="1" applyAlignment="1">
      <alignment horizontal="center"/>
    </xf>
    <xf numFmtId="4" fontId="21" fillId="5" borderId="10" xfId="0" applyNumberFormat="1" applyFont="1" applyFill="1" applyBorder="1" applyAlignment="1">
      <alignment horizontal="center"/>
    </xf>
    <xf numFmtId="2" fontId="21" fillId="5" borderId="7" xfId="0" applyNumberFormat="1" applyFont="1" applyFill="1" applyBorder="1" applyAlignment="1">
      <alignment horizontal="center"/>
    </xf>
    <xf numFmtId="2" fontId="21" fillId="5" borderId="13" xfId="0" applyNumberFormat="1" applyFont="1" applyFill="1" applyBorder="1" applyAlignment="1">
      <alignment horizontal="center"/>
    </xf>
    <xf numFmtId="2" fontId="27" fillId="5" borderId="7" xfId="0" applyNumberFormat="1" applyFont="1" applyFill="1" applyBorder="1" applyAlignment="1">
      <alignment horizontal="center"/>
    </xf>
    <xf numFmtId="0" fontId="21" fillId="5" borderId="48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7" fillId="5" borderId="11" xfId="0" applyFont="1" applyFill="1" applyBorder="1"/>
    <xf numFmtId="1" fontId="16" fillId="5" borderId="3" xfId="0" applyNumberFormat="1" applyFont="1" applyFill="1" applyBorder="1" applyAlignment="1">
      <alignment horizontal="center"/>
    </xf>
    <xf numFmtId="0" fontId="16" fillId="5" borderId="4" xfId="0" applyFont="1" applyFill="1" applyBorder="1"/>
    <xf numFmtId="172" fontId="16" fillId="5" borderId="51" xfId="0" applyNumberFormat="1" applyFont="1" applyFill="1" applyBorder="1" applyAlignment="1">
      <alignment horizontal="center"/>
    </xf>
    <xf numFmtId="4" fontId="21" fillId="5" borderId="48" xfId="0" applyNumberFormat="1" applyFont="1" applyFill="1" applyBorder="1" applyAlignment="1">
      <alignment horizontal="center"/>
    </xf>
    <xf numFmtId="4" fontId="21" fillId="5" borderId="23" xfId="0" applyNumberFormat="1" applyFont="1" applyFill="1" applyBorder="1" applyAlignment="1">
      <alignment horizontal="center"/>
    </xf>
    <xf numFmtId="2" fontId="21" fillId="5" borderId="23" xfId="0" applyNumberFormat="1" applyFont="1" applyFill="1" applyBorder="1" applyAlignment="1">
      <alignment horizontal="center"/>
    </xf>
    <xf numFmtId="0" fontId="21" fillId="5" borderId="24" xfId="0" applyFont="1" applyFill="1" applyBorder="1" applyAlignment="1">
      <alignment horizontal="center"/>
    </xf>
    <xf numFmtId="2" fontId="21" fillId="5" borderId="72" xfId="0" applyNumberFormat="1" applyFont="1" applyFill="1" applyBorder="1" applyAlignment="1">
      <alignment horizontal="center"/>
    </xf>
    <xf numFmtId="2" fontId="21" fillId="5" borderId="45" xfId="0" applyNumberFormat="1" applyFont="1" applyFill="1" applyBorder="1" applyAlignment="1">
      <alignment horizontal="center"/>
    </xf>
    <xf numFmtId="2" fontId="21" fillId="5" borderId="28" xfId="0" applyNumberFormat="1" applyFont="1" applyFill="1" applyBorder="1" applyAlignment="1">
      <alignment horizontal="center"/>
    </xf>
    <xf numFmtId="172" fontId="21" fillId="5" borderId="2" xfId="0" applyNumberFormat="1" applyFont="1" applyFill="1" applyBorder="1" applyAlignment="1">
      <alignment horizontal="center"/>
    </xf>
    <xf numFmtId="1" fontId="21" fillId="5" borderId="7" xfId="0" applyNumberFormat="1" applyFont="1" applyFill="1" applyBorder="1" applyAlignment="1">
      <alignment horizontal="center"/>
    </xf>
    <xf numFmtId="1" fontId="21" fillId="5" borderId="68" xfId="0" applyNumberFormat="1" applyFont="1" applyFill="1" applyBorder="1" applyAlignment="1">
      <alignment horizontal="center"/>
    </xf>
    <xf numFmtId="1" fontId="21" fillId="5" borderId="35" xfId="0" applyNumberFormat="1" applyFont="1" applyFill="1" applyBorder="1" applyAlignment="1">
      <alignment horizontal="center"/>
    </xf>
    <xf numFmtId="1" fontId="21" fillId="5" borderId="12" xfId="0" applyNumberFormat="1" applyFont="1" applyFill="1" applyBorder="1" applyAlignment="1">
      <alignment horizontal="center"/>
    </xf>
    <xf numFmtId="1" fontId="27" fillId="5" borderId="35" xfId="0" applyNumberFormat="1" applyFont="1" applyFill="1" applyBorder="1" applyAlignment="1">
      <alignment horizontal="center"/>
    </xf>
    <xf numFmtId="1" fontId="21" fillId="5" borderId="48" xfId="0" applyNumberFormat="1" applyFont="1" applyFill="1" applyBorder="1" applyAlignment="1">
      <alignment horizontal="center"/>
    </xf>
    <xf numFmtId="0" fontId="27" fillId="5" borderId="24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7" fillId="5" borderId="22" xfId="0" applyFont="1" applyFill="1" applyBorder="1" applyAlignment="1">
      <alignment vertical="center"/>
    </xf>
    <xf numFmtId="0" fontId="16" fillId="5" borderId="46" xfId="0" applyFont="1" applyFill="1" applyBorder="1" applyAlignment="1">
      <alignment vertical="center"/>
    </xf>
    <xf numFmtId="1" fontId="16" fillId="5" borderId="45" xfId="0" applyNumberFormat="1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vertical="center"/>
    </xf>
    <xf numFmtId="0" fontId="16" fillId="5" borderId="63" xfId="0" applyFont="1" applyFill="1" applyBorder="1" applyAlignment="1">
      <alignment vertical="center"/>
    </xf>
    <xf numFmtId="0" fontId="16" fillId="5" borderId="73" xfId="0" applyFont="1" applyFill="1" applyBorder="1" applyAlignment="1">
      <alignment vertical="center"/>
    </xf>
    <xf numFmtId="0" fontId="16" fillId="5" borderId="76" xfId="0" applyFont="1" applyFill="1" applyBorder="1" applyAlignment="1">
      <alignment vertical="center"/>
    </xf>
    <xf numFmtId="1" fontId="16" fillId="5" borderId="72" xfId="0" applyNumberFormat="1" applyFont="1" applyFill="1" applyBorder="1" applyAlignment="1">
      <alignment horizontal="center" vertical="center"/>
    </xf>
    <xf numFmtId="1" fontId="16" fillId="5" borderId="28" xfId="0" applyNumberFormat="1" applyFont="1" applyFill="1" applyBorder="1" applyAlignment="1">
      <alignment horizontal="center" vertical="center"/>
    </xf>
    <xf numFmtId="1" fontId="16" fillId="5" borderId="71" xfId="0" applyNumberFormat="1" applyFont="1" applyFill="1" applyBorder="1" applyAlignment="1">
      <alignment horizontal="center" vertical="center"/>
    </xf>
    <xf numFmtId="9" fontId="16" fillId="5" borderId="63" xfId="0" applyNumberFormat="1" applyFont="1" applyFill="1" applyBorder="1" applyAlignment="1">
      <alignment horizontal="left" vertical="center"/>
    </xf>
    <xf numFmtId="1" fontId="16" fillId="5" borderId="37" xfId="0" applyNumberFormat="1" applyFont="1" applyFill="1" applyBorder="1" applyAlignment="1">
      <alignment horizontal="center" vertical="center"/>
    </xf>
    <xf numFmtId="1" fontId="16" fillId="5" borderId="41" xfId="0" applyNumberFormat="1" applyFont="1" applyFill="1" applyBorder="1" applyAlignment="1">
      <alignment horizontal="center" vertical="center"/>
    </xf>
    <xf numFmtId="0" fontId="16" fillId="5" borderId="74" xfId="0" applyFont="1" applyFill="1" applyBorder="1" applyAlignment="1">
      <alignment vertical="center"/>
    </xf>
    <xf numFmtId="1" fontId="16" fillId="5" borderId="9" xfId="0" applyNumberFormat="1" applyFont="1" applyFill="1" applyBorder="1" applyAlignment="1">
      <alignment horizontal="center" vertical="center"/>
    </xf>
    <xf numFmtId="9" fontId="16" fillId="5" borderId="9" xfId="0" applyNumberFormat="1" applyFont="1" applyFill="1" applyBorder="1" applyAlignment="1">
      <alignment horizontal="left" vertical="center"/>
    </xf>
    <xf numFmtId="0" fontId="16" fillId="5" borderId="46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vertical="center"/>
    </xf>
    <xf numFmtId="175" fontId="25" fillId="2" borderId="45" xfId="72" applyNumberFormat="1" applyFont="1" applyFill="1" applyBorder="1" applyAlignment="1">
      <alignment horizontal="center"/>
    </xf>
    <xf numFmtId="175" fontId="25" fillId="4" borderId="45" xfId="72" applyNumberFormat="1" applyFont="1" applyFill="1" applyBorder="1" applyAlignment="1">
      <alignment horizontal="center"/>
    </xf>
    <xf numFmtId="175" fontId="25" fillId="4" borderId="72" xfId="72" applyNumberFormat="1" applyFont="1" applyFill="1" applyBorder="1" applyAlignment="1">
      <alignment horizontal="center"/>
    </xf>
    <xf numFmtId="175" fontId="27" fillId="2" borderId="45" xfId="72" applyNumberFormat="1" applyFont="1" applyFill="1" applyBorder="1" applyAlignment="1">
      <alignment horizontal="center"/>
    </xf>
    <xf numFmtId="175" fontId="25" fillId="4" borderId="28" xfId="72" applyNumberFormat="1" applyFont="1" applyFill="1" applyBorder="1" applyAlignment="1">
      <alignment horizontal="center"/>
    </xf>
    <xf numFmtId="175" fontId="16" fillId="4" borderId="56" xfId="72" applyNumberFormat="1" applyFont="1" applyFill="1" applyBorder="1" applyAlignment="1">
      <alignment horizontal="center"/>
    </xf>
    <xf numFmtId="175" fontId="27" fillId="4" borderId="56" xfId="72" applyNumberFormat="1" applyFont="1" applyFill="1" applyBorder="1" applyAlignment="1">
      <alignment horizontal="center"/>
    </xf>
    <xf numFmtId="175" fontId="25" fillId="4" borderId="56" xfId="72" applyNumberFormat="1" applyFont="1" applyFill="1" applyBorder="1" applyAlignment="1">
      <alignment horizontal="center"/>
    </xf>
    <xf numFmtId="170" fontId="28" fillId="4" borderId="56" xfId="72" applyNumberFormat="1" applyFont="1" applyFill="1" applyBorder="1" applyAlignment="1">
      <alignment horizontal="center"/>
    </xf>
    <xf numFmtId="172" fontId="16" fillId="4" borderId="25" xfId="0" applyNumberFormat="1" applyFont="1" applyFill="1" applyBorder="1" applyAlignment="1">
      <alignment horizontal="center"/>
    </xf>
    <xf numFmtId="172" fontId="16" fillId="4" borderId="61" xfId="0" applyNumberFormat="1" applyFont="1" applyFill="1" applyBorder="1" applyAlignment="1">
      <alignment horizontal="center"/>
    </xf>
    <xf numFmtId="3" fontId="16" fillId="4" borderId="43" xfId="0" applyNumberFormat="1" applyFont="1" applyFill="1" applyBorder="1" applyAlignment="1">
      <alignment horizontal="center"/>
    </xf>
    <xf numFmtId="1" fontId="27" fillId="8" borderId="3" xfId="0" applyNumberFormat="1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8" fillId="0" borderId="30" xfId="0" applyFont="1" applyFill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8" fillId="0" borderId="30" xfId="0" applyFont="1" applyBorder="1"/>
    <xf numFmtId="0" fontId="28" fillId="0" borderId="15" xfId="0" applyFont="1" applyFill="1" applyBorder="1"/>
    <xf numFmtId="0" fontId="27" fillId="2" borderId="19" xfId="0" applyFont="1" applyFill="1" applyBorder="1"/>
    <xf numFmtId="1" fontId="27" fillId="5" borderId="3" xfId="0" applyNumberFormat="1" applyFont="1" applyFill="1" applyBorder="1" applyAlignment="1">
      <alignment horizontal="center"/>
    </xf>
    <xf numFmtId="0" fontId="27" fillId="5" borderId="4" xfId="0" applyFont="1" applyFill="1" applyBorder="1"/>
    <xf numFmtId="1" fontId="27" fillId="5" borderId="8" xfId="0" applyNumberFormat="1" applyFont="1" applyFill="1" applyBorder="1" applyAlignment="1">
      <alignment horizontal="center"/>
    </xf>
    <xf numFmtId="1" fontId="27" fillId="5" borderId="30" xfId="0" applyNumberFormat="1" applyFont="1" applyFill="1" applyBorder="1" applyAlignment="1">
      <alignment horizontal="center"/>
    </xf>
    <xf numFmtId="0" fontId="27" fillId="8" borderId="4" xfId="0" applyFont="1" applyFill="1" applyBorder="1" applyAlignment="1">
      <alignment horizontal="right"/>
    </xf>
    <xf numFmtId="1" fontId="27" fillId="0" borderId="3" xfId="0" applyNumberFormat="1" applyFont="1" applyFill="1" applyBorder="1" applyAlignment="1">
      <alignment horizontal="center"/>
    </xf>
    <xf numFmtId="1" fontId="27" fillId="0" borderId="8" xfId="0" applyNumberFormat="1" applyFont="1" applyFill="1" applyBorder="1" applyAlignment="1">
      <alignment horizontal="center"/>
    </xf>
    <xf numFmtId="1" fontId="27" fillId="0" borderId="30" xfId="0" applyNumberFormat="1" applyFont="1" applyFill="1" applyBorder="1" applyAlignment="1">
      <alignment horizontal="center"/>
    </xf>
    <xf numFmtId="0" fontId="27" fillId="0" borderId="11" xfId="0" applyFont="1" applyFill="1" applyBorder="1"/>
    <xf numFmtId="1" fontId="28" fillId="0" borderId="46" xfId="0" applyNumberFormat="1" applyFont="1" applyFill="1" applyBorder="1" applyAlignment="1">
      <alignment horizontal="center"/>
    </xf>
    <xf numFmtId="0" fontId="28" fillId="0" borderId="47" xfId="0" applyFont="1" applyBorder="1"/>
    <xf numFmtId="0" fontId="28" fillId="0" borderId="30" xfId="0" applyFont="1" applyBorder="1" applyAlignment="1">
      <alignment horizontal="right"/>
    </xf>
    <xf numFmtId="0" fontId="27" fillId="0" borderId="3" xfId="0" applyFont="1" applyFill="1" applyBorder="1" applyAlignment="1">
      <alignment horizontal="center"/>
    </xf>
    <xf numFmtId="0" fontId="27" fillId="6" borderId="4" xfId="0" applyFont="1" applyFill="1" applyBorder="1"/>
    <xf numFmtId="0" fontId="28" fillId="0" borderId="9" xfId="0" applyFont="1" applyFill="1" applyBorder="1"/>
    <xf numFmtId="0" fontId="29" fillId="0" borderId="1" xfId="0" applyFont="1" applyFill="1" applyBorder="1"/>
    <xf numFmtId="0" fontId="28" fillId="0" borderId="6" xfId="0" applyFont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1" xfId="0" applyFont="1" applyFill="1" applyBorder="1"/>
    <xf numFmtId="4" fontId="16" fillId="2" borderId="7" xfId="0" applyNumberFormat="1" applyFont="1" applyFill="1" applyBorder="1" applyAlignment="1">
      <alignment horizontal="center"/>
    </xf>
    <xf numFmtId="0" fontId="21" fillId="8" borderId="49" xfId="0" applyFont="1" applyFill="1" applyBorder="1" applyAlignment="1">
      <alignment horizontal="center"/>
    </xf>
    <xf numFmtId="0" fontId="21" fillId="8" borderId="50" xfId="0" applyFont="1" applyFill="1" applyBorder="1"/>
    <xf numFmtId="2" fontId="21" fillId="8" borderId="5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vertical="center" wrapText="1"/>
    </xf>
    <xf numFmtId="0" fontId="21" fillId="8" borderId="18" xfId="0" applyFont="1" applyFill="1" applyBorder="1" applyAlignment="1">
      <alignment horizontal="center"/>
    </xf>
    <xf numFmtId="0" fontId="21" fillId="8" borderId="19" xfId="0" applyFont="1" applyFill="1" applyBorder="1" applyAlignment="1">
      <alignment wrapText="1"/>
    </xf>
    <xf numFmtId="2" fontId="21" fillId="8" borderId="60" xfId="0" applyNumberFormat="1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wrapText="1"/>
    </xf>
    <xf numFmtId="165" fontId="16" fillId="0" borderId="48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165" fontId="16" fillId="2" borderId="7" xfId="0" applyNumberFormat="1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165" fontId="16" fillId="0" borderId="10" xfId="0" applyNumberFormat="1" applyFont="1" applyFill="1" applyBorder="1" applyAlignment="1">
      <alignment horizontal="center"/>
    </xf>
    <xf numFmtId="0" fontId="21" fillId="8" borderId="25" xfId="0" applyFont="1" applyFill="1" applyBorder="1" applyAlignment="1">
      <alignment horizontal="center"/>
    </xf>
    <xf numFmtId="0" fontId="21" fillId="8" borderId="50" xfId="0" applyFont="1" applyFill="1" applyBorder="1" applyAlignment="1">
      <alignment wrapText="1"/>
    </xf>
    <xf numFmtId="0" fontId="21" fillId="8" borderId="52" xfId="0" applyFont="1" applyFill="1" applyBorder="1" applyAlignment="1">
      <alignment horizontal="center"/>
    </xf>
    <xf numFmtId="0" fontId="16" fillId="0" borderId="4" xfId="0" applyFont="1" applyFill="1" applyBorder="1"/>
    <xf numFmtId="166" fontId="16" fillId="0" borderId="5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center"/>
    </xf>
    <xf numFmtId="166" fontId="16" fillId="2" borderId="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1" fontId="27" fillId="8" borderId="49" xfId="0" applyNumberFormat="1" applyFont="1" applyFill="1" applyBorder="1" applyAlignment="1">
      <alignment horizontal="center"/>
    </xf>
    <xf numFmtId="0" fontId="27" fillId="0" borderId="50" xfId="0" applyFont="1" applyFill="1" applyBorder="1"/>
    <xf numFmtId="2" fontId="21" fillId="0" borderId="51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0" fontId="21" fillId="0" borderId="50" xfId="0" applyFont="1" applyFill="1" applyBorder="1"/>
    <xf numFmtId="2" fontId="21" fillId="0" borderId="51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vertical="center"/>
    </xf>
    <xf numFmtId="2" fontId="16" fillId="0" borderId="5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 wrapText="1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4" fontId="16" fillId="0" borderId="7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7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4" fontId="16" fillId="0" borderId="10" xfId="0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28" fillId="0" borderId="4" xfId="0" applyFont="1" applyFill="1" applyBorder="1"/>
    <xf numFmtId="4" fontId="28" fillId="0" borderId="5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6" fillId="0" borderId="0" xfId="0" applyFont="1" applyBorder="1"/>
    <xf numFmtId="0" fontId="0" fillId="0" borderId="0" xfId="0" applyBorder="1"/>
    <xf numFmtId="0" fontId="28" fillId="0" borderId="14" xfId="0" applyFont="1" applyBorder="1"/>
    <xf numFmtId="0" fontId="27" fillId="4" borderId="65" xfId="0" applyFont="1" applyFill="1" applyBorder="1" applyAlignment="1">
      <alignment horizontal="left" vertical="center"/>
    </xf>
    <xf numFmtId="167" fontId="27" fillId="4" borderId="65" xfId="0" applyNumberFormat="1" applyFont="1" applyFill="1" applyBorder="1" applyAlignment="1">
      <alignment horizontal="right" wrapText="1"/>
    </xf>
    <xf numFmtId="14" fontId="27" fillId="4" borderId="65" xfId="0" applyNumberFormat="1" applyFont="1" applyFill="1" applyBorder="1" applyAlignment="1">
      <alignment horizontal="center" vertical="center"/>
    </xf>
    <xf numFmtId="0" fontId="27" fillId="0" borderId="70" xfId="0" applyFont="1" applyBorder="1" applyAlignment="1">
      <alignment horizontal="center"/>
    </xf>
    <xf numFmtId="0" fontId="27" fillId="8" borderId="19" xfId="0" applyFont="1" applyFill="1" applyBorder="1"/>
    <xf numFmtId="1" fontId="27" fillId="8" borderId="19" xfId="0" applyNumberFormat="1" applyFont="1" applyFill="1" applyBorder="1" applyAlignment="1">
      <alignment horizontal="center"/>
    </xf>
    <xf numFmtId="10" fontId="27" fillId="8" borderId="23" xfId="0" applyNumberFormat="1" applyFont="1" applyFill="1" applyBorder="1" applyAlignment="1">
      <alignment horizontal="left"/>
    </xf>
    <xf numFmtId="0" fontId="27" fillId="14" borderId="16" xfId="0" applyFont="1" applyFill="1" applyBorder="1"/>
    <xf numFmtId="4" fontId="27" fillId="14" borderId="42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5" borderId="72" xfId="0" applyFont="1" applyFill="1" applyBorder="1" applyAlignment="1">
      <alignment horizontal="center" vertical="center"/>
    </xf>
    <xf numFmtId="170" fontId="27" fillId="4" borderId="56" xfId="72" applyNumberFormat="1" applyFont="1" applyFill="1" applyBorder="1" applyAlignment="1">
      <alignment horizontal="center"/>
    </xf>
    <xf numFmtId="0" fontId="27" fillId="5" borderId="17" xfId="0" applyFont="1" applyFill="1" applyBorder="1" applyAlignment="1">
      <alignment horizontal="center" vertical="center"/>
    </xf>
    <xf numFmtId="0" fontId="27" fillId="0" borderId="71" xfId="0" applyFont="1" applyFill="1" applyBorder="1" applyAlignment="1">
      <alignment horizontal="center" vertical="center"/>
    </xf>
    <xf numFmtId="0" fontId="28" fillId="0" borderId="58" xfId="0" applyFont="1" applyFill="1" applyBorder="1" applyAlignment="1">
      <alignment vertical="center"/>
    </xf>
    <xf numFmtId="1" fontId="27" fillId="5" borderId="2" xfId="0" applyNumberFormat="1" applyFont="1" applyFill="1" applyBorder="1" applyAlignment="1">
      <alignment horizontal="center" vertical="center"/>
    </xf>
    <xf numFmtId="0" fontId="27" fillId="5" borderId="70" xfId="0" applyFont="1" applyFill="1" applyBorder="1" applyAlignment="1">
      <alignment vertical="center"/>
    </xf>
    <xf numFmtId="1" fontId="27" fillId="5" borderId="27" xfId="0" applyNumberFormat="1" applyFont="1" applyFill="1" applyBorder="1" applyAlignment="1">
      <alignment horizontal="center" vertical="center"/>
    </xf>
    <xf numFmtId="0" fontId="27" fillId="5" borderId="22" xfId="0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vertical="center"/>
    </xf>
    <xf numFmtId="0" fontId="27" fillId="5" borderId="49" xfId="0" applyFont="1" applyFill="1" applyBorder="1" applyAlignment="1">
      <alignment horizontal="center"/>
    </xf>
    <xf numFmtId="0" fontId="27" fillId="5" borderId="50" xfId="0" applyFont="1" applyFill="1" applyBorder="1"/>
    <xf numFmtId="172" fontId="27" fillId="18" borderId="27" xfId="0" applyNumberFormat="1" applyFont="1" applyFill="1" applyBorder="1" applyAlignment="1">
      <alignment horizontal="center"/>
    </xf>
    <xf numFmtId="174" fontId="25" fillId="4" borderId="17" xfId="72" applyNumberFormat="1" applyFont="1" applyFill="1" applyBorder="1"/>
    <xf numFmtId="0" fontId="27" fillId="0" borderId="0" xfId="0" applyFont="1" applyAlignment="1">
      <alignment horizontal="left"/>
    </xf>
    <xf numFmtId="0" fontId="27" fillId="5" borderId="49" xfId="0" applyFont="1" applyFill="1" applyBorder="1" applyAlignment="1">
      <alignment vertical="center"/>
    </xf>
    <xf numFmtId="0" fontId="27" fillId="5" borderId="51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8" xfId="0" applyFont="1" applyBorder="1"/>
    <xf numFmtId="0" fontId="27" fillId="5" borderId="30" xfId="0" applyFont="1" applyFill="1" applyBorder="1"/>
    <xf numFmtId="0" fontId="27" fillId="5" borderId="11" xfId="0" applyFont="1" applyFill="1" applyBorder="1" applyAlignment="1">
      <alignment horizontal="center"/>
    </xf>
    <xf numFmtId="0" fontId="16" fillId="0" borderId="53" xfId="0" applyFont="1" applyBorder="1" applyAlignment="1">
      <alignment vertical="center"/>
    </xf>
    <xf numFmtId="0" fontId="16" fillId="0" borderId="54" xfId="0" applyFont="1" applyBorder="1" applyAlignment="1">
      <alignment horizontal="center"/>
    </xf>
    <xf numFmtId="0" fontId="16" fillId="2" borderId="49" xfId="0" applyFont="1" applyFill="1" applyBorder="1"/>
    <xf numFmtId="0" fontId="16" fillId="2" borderId="5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1" fillId="8" borderId="51" xfId="0" applyFont="1" applyFill="1" applyBorder="1" applyAlignment="1">
      <alignment horizontal="center"/>
    </xf>
    <xf numFmtId="165" fontId="16" fillId="0" borderId="5" xfId="0" applyNumberFormat="1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4" fontId="16" fillId="0" borderId="14" xfId="0" applyNumberFormat="1" applyFont="1" applyBorder="1" applyAlignment="1">
      <alignment horizontal="center"/>
    </xf>
    <xf numFmtId="4" fontId="16" fillId="0" borderId="68" xfId="0" applyNumberFormat="1" applyFont="1" applyBorder="1" applyAlignment="1">
      <alignment horizontal="center"/>
    </xf>
    <xf numFmtId="3" fontId="16" fillId="0" borderId="45" xfId="0" applyNumberFormat="1" applyFont="1" applyBorder="1" applyAlignment="1">
      <alignment horizontal="center"/>
    </xf>
    <xf numFmtId="3" fontId="16" fillId="0" borderId="28" xfId="0" applyNumberFormat="1" applyFont="1" applyBorder="1" applyAlignment="1">
      <alignment horizontal="center"/>
    </xf>
    <xf numFmtId="4" fontId="16" fillId="0" borderId="33" xfId="0" applyNumberFormat="1" applyFont="1" applyBorder="1" applyAlignment="1">
      <alignment horizontal="center"/>
    </xf>
    <xf numFmtId="4" fontId="16" fillId="0" borderId="42" xfId="0" applyNumberFormat="1" applyFont="1" applyBorder="1" applyAlignment="1">
      <alignment horizontal="center"/>
    </xf>
    <xf numFmtId="0" fontId="16" fillId="0" borderId="55" xfId="0" applyFont="1" applyBorder="1"/>
    <xf numFmtId="0" fontId="16" fillId="0" borderId="38" xfId="0" applyFont="1" applyBorder="1"/>
    <xf numFmtId="0" fontId="21" fillId="0" borderId="0" xfId="0" applyFont="1" applyAlignment="1">
      <alignment horizontal="center"/>
    </xf>
    <xf numFmtId="0" fontId="27" fillId="0" borderId="46" xfId="0" applyFont="1" applyFill="1" applyBorder="1" applyAlignment="1">
      <alignment horizontal="center"/>
    </xf>
    <xf numFmtId="0" fontId="25" fillId="0" borderId="47" xfId="0" applyFont="1" applyFill="1" applyBorder="1"/>
    <xf numFmtId="1" fontId="21" fillId="5" borderId="39" xfId="0" applyNumberFormat="1" applyFont="1" applyFill="1" applyBorder="1" applyAlignment="1">
      <alignment horizontal="center"/>
    </xf>
    <xf numFmtId="0" fontId="16" fillId="5" borderId="81" xfId="0" applyFont="1" applyFill="1" applyBorder="1" applyAlignment="1">
      <alignment vertical="center"/>
    </xf>
    <xf numFmtId="0" fontId="27" fillId="5" borderId="45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6" fillId="5" borderId="34" xfId="0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19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2" fontId="32" fillId="0" borderId="4" xfId="0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21" fillId="0" borderId="1" xfId="0" applyFont="1" applyBorder="1" applyAlignment="1">
      <alignment horizontal="right" vertical="center"/>
    </xf>
    <xf numFmtId="2" fontId="32" fillId="0" borderId="1" xfId="0" applyNumberFormat="1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right" vertical="center" wrapText="1"/>
    </xf>
    <xf numFmtId="2" fontId="21" fillId="8" borderId="9" xfId="0" applyNumberFormat="1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/>
    </xf>
    <xf numFmtId="0" fontId="16" fillId="5" borderId="4" xfId="0" applyFont="1" applyFill="1" applyBorder="1" applyAlignment="1">
      <alignment horizontal="center" vertical="center"/>
    </xf>
    <xf numFmtId="166" fontId="16" fillId="5" borderId="1" xfId="0" applyNumberFormat="1" applyFont="1" applyFill="1" applyBorder="1" applyAlignment="1">
      <alignment horizontal="center" vertical="center"/>
    </xf>
    <xf numFmtId="166" fontId="16" fillId="5" borderId="9" xfId="0" applyNumberFormat="1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vertical="center"/>
    </xf>
    <xf numFmtId="0" fontId="16" fillId="5" borderId="50" xfId="0" applyFont="1" applyFill="1" applyBorder="1" applyAlignment="1">
      <alignment horizontal="center" vertical="center" wrapText="1"/>
    </xf>
    <xf numFmtId="0" fontId="16" fillId="5" borderId="50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66" fontId="16" fillId="5" borderId="4" xfId="0" applyNumberFormat="1" applyFont="1" applyFill="1" applyBorder="1" applyAlignment="1">
      <alignment horizontal="center" vertical="center"/>
    </xf>
    <xf numFmtId="166" fontId="16" fillId="5" borderId="7" xfId="0" applyNumberFormat="1" applyFont="1" applyFill="1" applyBorder="1" applyAlignment="1">
      <alignment horizontal="center" vertical="center"/>
    </xf>
    <xf numFmtId="166" fontId="16" fillId="5" borderId="10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66" fontId="21" fillId="0" borderId="0" xfId="0" applyNumberFormat="1" applyFont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4" fillId="0" borderId="82" xfId="0" applyFont="1" applyBorder="1" applyAlignment="1">
      <alignment horizontal="center" vertical="center" wrapText="1"/>
    </xf>
    <xf numFmtId="0" fontId="34" fillId="0" borderId="82" xfId="0" applyFont="1" applyBorder="1" applyAlignment="1">
      <alignment wrapText="1"/>
    </xf>
    <xf numFmtId="0" fontId="19" fillId="0" borderId="82" xfId="0" applyFont="1" applyBorder="1" applyAlignment="1">
      <alignment wrapText="1"/>
    </xf>
    <xf numFmtId="9" fontId="19" fillId="0" borderId="82" xfId="0" applyNumberFormat="1" applyFont="1" applyBorder="1" applyAlignment="1">
      <alignment wrapText="1"/>
    </xf>
    <xf numFmtId="0" fontId="0" fillId="0" borderId="82" xfId="0" applyBorder="1" applyAlignment="1">
      <alignment wrapText="1"/>
    </xf>
    <xf numFmtId="0" fontId="21" fillId="0" borderId="0" xfId="0" applyFont="1" applyAlignment="1">
      <alignment horizontal="center" vertical="center"/>
    </xf>
    <xf numFmtId="9" fontId="16" fillId="0" borderId="1" xfId="0" applyNumberFormat="1" applyFont="1" applyBorder="1" applyAlignment="1">
      <alignment horizontal="center"/>
    </xf>
    <xf numFmtId="0" fontId="16" fillId="0" borderId="6" xfId="0" applyFont="1" applyBorder="1" applyAlignment="1">
      <alignment horizontal="right"/>
    </xf>
    <xf numFmtId="9" fontId="16" fillId="0" borderId="7" xfId="0" applyNumberFormat="1" applyFont="1" applyBorder="1" applyAlignment="1">
      <alignment horizontal="center"/>
    </xf>
    <xf numFmtId="0" fontId="21" fillId="0" borderId="0" xfId="0" applyFont="1"/>
    <xf numFmtId="0" fontId="21" fillId="8" borderId="8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8" borderId="49" xfId="0" applyFont="1" applyFill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8" borderId="22" xfId="0" applyFont="1" applyFill="1" applyBorder="1" applyAlignment="1">
      <alignment horizontal="right"/>
    </xf>
    <xf numFmtId="2" fontId="4" fillId="8" borderId="19" xfId="0" applyNumberFormat="1" applyFont="1" applyFill="1" applyBorder="1" applyAlignment="1">
      <alignment horizontal="center"/>
    </xf>
    <xf numFmtId="0" fontId="21" fillId="8" borderId="4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6" fillId="0" borderId="45" xfId="0" applyFont="1" applyBorder="1"/>
    <xf numFmtId="0" fontId="0" fillId="0" borderId="1" xfId="0" applyFont="1" applyBorder="1" applyAlignment="1">
      <alignment horizontal="center"/>
    </xf>
    <xf numFmtId="0" fontId="35" fillId="0" borderId="45" xfId="0" applyFont="1" applyFill="1" applyBorder="1" applyAlignment="1">
      <alignment vertical="center" wrapText="1"/>
    </xf>
    <xf numFmtId="0" fontId="35" fillId="0" borderId="45" xfId="0" applyFont="1" applyBorder="1"/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2" fillId="0" borderId="51" xfId="0" applyFont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22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70" xfId="0" applyFont="1" applyFill="1" applyBorder="1" applyAlignment="1">
      <alignment horizontal="center" vertical="center" wrapText="1"/>
    </xf>
    <xf numFmtId="0" fontId="12" fillId="14" borderId="55" xfId="0" applyFont="1" applyFill="1" applyBorder="1" applyAlignment="1">
      <alignment horizontal="left" vertical="center"/>
    </xf>
    <xf numFmtId="3" fontId="12" fillId="14" borderId="84" xfId="0" applyNumberFormat="1" applyFont="1" applyFill="1" applyBorder="1" applyAlignment="1">
      <alignment horizontal="center" vertical="center"/>
    </xf>
    <xf numFmtId="0" fontId="12" fillId="0" borderId="85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0" fontId="16" fillId="0" borderId="77" xfId="0" applyFont="1" applyBorder="1"/>
    <xf numFmtId="0" fontId="0" fillId="0" borderId="3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2" fillId="5" borderId="54" xfId="0" applyFont="1" applyFill="1" applyBorder="1" applyAlignment="1">
      <alignment vertical="center"/>
    </xf>
    <xf numFmtId="0" fontId="35" fillId="0" borderId="28" xfId="0" applyFont="1" applyBorder="1"/>
    <xf numFmtId="0" fontId="12" fillId="5" borderId="86" xfId="0" applyFont="1" applyFill="1" applyBorder="1" applyAlignment="1">
      <alignment horizontal="center" vertical="center"/>
    </xf>
    <xf numFmtId="3" fontId="12" fillId="5" borderId="87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3" fontId="12" fillId="5" borderId="4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right" vertical="center"/>
    </xf>
    <xf numFmtId="3" fontId="12" fillId="5" borderId="9" xfId="0" applyNumberFormat="1" applyFont="1" applyFill="1" applyBorder="1" applyAlignment="1">
      <alignment horizontal="center" vertical="center"/>
    </xf>
    <xf numFmtId="3" fontId="12" fillId="2" borderId="55" xfId="0" applyNumberFormat="1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6" fillId="5" borderId="66" xfId="0" applyFont="1" applyFill="1" applyBorder="1"/>
    <xf numFmtId="0" fontId="16" fillId="5" borderId="77" xfId="0" applyFont="1" applyFill="1" applyBorder="1"/>
    <xf numFmtId="0" fontId="16" fillId="5" borderId="64" xfId="0" applyFont="1" applyFill="1" applyBorder="1"/>
    <xf numFmtId="0" fontId="16" fillId="5" borderId="3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21" fillId="8" borderId="69" xfId="0" applyFont="1" applyFill="1" applyBorder="1" applyAlignment="1">
      <alignment horizontal="right"/>
    </xf>
    <xf numFmtId="0" fontId="16" fillId="0" borderId="66" xfId="0" applyFont="1" applyBorder="1" applyAlignment="1">
      <alignment horizontal="center"/>
    </xf>
    <xf numFmtId="9" fontId="16" fillId="0" borderId="4" xfId="0" applyNumberFormat="1" applyFont="1" applyBorder="1" applyAlignment="1">
      <alignment horizontal="center"/>
    </xf>
    <xf numFmtId="0" fontId="16" fillId="0" borderId="77" xfId="0" applyFont="1" applyBorder="1" applyAlignment="1">
      <alignment horizontal="center"/>
    </xf>
    <xf numFmtId="9" fontId="16" fillId="0" borderId="77" xfId="1" applyFont="1" applyBorder="1" applyAlignment="1">
      <alignment horizontal="center"/>
    </xf>
    <xf numFmtId="0" fontId="21" fillId="8" borderId="64" xfId="0" applyFont="1" applyFill="1" applyBorder="1" applyAlignment="1">
      <alignment horizontal="center"/>
    </xf>
    <xf numFmtId="2" fontId="21" fillId="8" borderId="12" xfId="0" applyNumberFormat="1" applyFont="1" applyFill="1" applyBorder="1" applyAlignment="1">
      <alignment horizontal="center"/>
    </xf>
    <xf numFmtId="0" fontId="16" fillId="0" borderId="77" xfId="0" applyFont="1" applyBorder="1" applyAlignment="1">
      <alignment horizontal="right" indent="1"/>
    </xf>
    <xf numFmtId="0" fontId="16" fillId="0" borderId="77" xfId="0" applyFont="1" applyBorder="1" applyAlignment="1">
      <alignment horizontal="right"/>
    </xf>
    <xf numFmtId="166" fontId="21" fillId="8" borderId="64" xfId="0" applyNumberFormat="1" applyFont="1" applyFill="1" applyBorder="1" applyAlignment="1">
      <alignment horizontal="center"/>
    </xf>
    <xf numFmtId="0" fontId="21" fillId="8" borderId="64" xfId="0" applyFont="1" applyFill="1" applyBorder="1" applyAlignment="1">
      <alignment horizontal="right"/>
    </xf>
    <xf numFmtId="0" fontId="16" fillId="0" borderId="5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vertical="center" wrapText="1"/>
    </xf>
    <xf numFmtId="0" fontId="17" fillId="0" borderId="0" xfId="0" applyFont="1"/>
    <xf numFmtId="0" fontId="21" fillId="0" borderId="65" xfId="0" applyFont="1" applyBorder="1" applyAlignment="1">
      <alignment horizontal="center" vertical="center"/>
    </xf>
    <xf numFmtId="0" fontId="21" fillId="0" borderId="65" xfId="0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center"/>
    </xf>
    <xf numFmtId="0" fontId="4" fillId="8" borderId="50" xfId="0" applyFont="1" applyFill="1" applyBorder="1" applyAlignment="1">
      <alignment horizontal="left" vertical="center"/>
    </xf>
    <xf numFmtId="0" fontId="0" fillId="0" borderId="80" xfId="0" applyFill="1" applyBorder="1" applyAlignment="1">
      <alignment vertical="center" wrapText="1"/>
    </xf>
    <xf numFmtId="3" fontId="0" fillId="0" borderId="0" xfId="0" applyNumberFormat="1" applyBorder="1" applyAlignment="1">
      <alignment horizontal="center"/>
    </xf>
    <xf numFmtId="9" fontId="0" fillId="8" borderId="0" xfId="1" applyFont="1" applyFill="1" applyBorder="1" applyAlignment="1">
      <alignment horizontal="center"/>
    </xf>
    <xf numFmtId="0" fontId="21" fillId="8" borderId="62" xfId="0" applyFont="1" applyFill="1" applyBorder="1"/>
    <xf numFmtId="0" fontId="21" fillId="8" borderId="3" xfId="0" applyFont="1" applyFill="1" applyBorder="1"/>
    <xf numFmtId="0" fontId="21" fillId="8" borderId="66" xfId="0" applyFont="1" applyFill="1" applyBorder="1"/>
    <xf numFmtId="0" fontId="16" fillId="0" borderId="5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10" fillId="0" borderId="0" xfId="0" applyFont="1" applyFill="1"/>
    <xf numFmtId="0" fontId="18" fillId="0" borderId="1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 wrapText="1"/>
    </xf>
    <xf numFmtId="1" fontId="16" fillId="0" borderId="21" xfId="0" applyNumberFormat="1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7" fillId="8" borderId="49" xfId="0" applyFont="1" applyFill="1" applyBorder="1" applyAlignment="1">
      <alignment horizontal="center" vertical="center"/>
    </xf>
    <xf numFmtId="0" fontId="21" fillId="8" borderId="50" xfId="0" applyFont="1" applyFill="1" applyBorder="1" applyAlignment="1">
      <alignment horizontal="center" vertical="center"/>
    </xf>
    <xf numFmtId="9" fontId="16" fillId="0" borderId="5" xfId="0" applyNumberFormat="1" applyFont="1" applyBorder="1" applyAlignment="1">
      <alignment horizontal="center"/>
    </xf>
    <xf numFmtId="9" fontId="16" fillId="0" borderId="9" xfId="0" applyNumberFormat="1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9" fontId="21" fillId="0" borderId="0" xfId="0" applyNumberFormat="1" applyFont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right"/>
    </xf>
    <xf numFmtId="2" fontId="21" fillId="8" borderId="19" xfId="0" applyNumberFormat="1" applyFont="1" applyFill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9" fontId="16" fillId="0" borderId="21" xfId="1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2" borderId="5" xfId="0" applyFont="1" applyFill="1" applyBorder="1" applyAlignment="1">
      <alignment vertical="center"/>
    </xf>
    <xf numFmtId="0" fontId="16" fillId="0" borderId="46" xfId="0" applyFont="1" applyFill="1" applyBorder="1" applyAlignment="1">
      <alignment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6" fillId="2" borderId="6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3" fontId="16" fillId="0" borderId="0" xfId="0" applyNumberFormat="1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5" borderId="53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1" fontId="16" fillId="2" borderId="16" xfId="0" applyNumberFormat="1" applyFont="1" applyFill="1" applyBorder="1" applyAlignment="1">
      <alignment horizontal="center" vertical="center"/>
    </xf>
    <xf numFmtId="0" fontId="16" fillId="2" borderId="53" xfId="0" applyFont="1" applyFill="1" applyBorder="1" applyAlignment="1">
      <alignment vertical="center"/>
    </xf>
    <xf numFmtId="0" fontId="16" fillId="0" borderId="61" xfId="0" applyFont="1" applyFill="1" applyBorder="1" applyAlignment="1">
      <alignment vertical="center"/>
    </xf>
    <xf numFmtId="3" fontId="16" fillId="0" borderId="58" xfId="0" applyNumberFormat="1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vertical="center"/>
    </xf>
    <xf numFmtId="0" fontId="16" fillId="0" borderId="64" xfId="0" applyFont="1" applyBorder="1" applyAlignment="1">
      <alignment vertical="center"/>
    </xf>
    <xf numFmtId="0" fontId="16" fillId="2" borderId="50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52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67" xfId="0" applyFont="1" applyFill="1" applyBorder="1" applyAlignment="1">
      <alignment horizontal="center" vertical="center"/>
    </xf>
    <xf numFmtId="0" fontId="16" fillId="5" borderId="61" xfId="0" applyFont="1" applyFill="1" applyBorder="1" applyAlignment="1">
      <alignment horizontal="center" vertical="center"/>
    </xf>
    <xf numFmtId="0" fontId="16" fillId="5" borderId="56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16" fillId="0" borderId="27" xfId="0" applyFont="1" applyBorder="1" applyAlignment="1">
      <alignment horizontal="left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1" fontId="16" fillId="0" borderId="75" xfId="0" applyNumberFormat="1" applyFont="1" applyBorder="1" applyAlignment="1">
      <alignment horizontal="center" vertical="center"/>
    </xf>
    <xf numFmtId="1" fontId="16" fillId="0" borderId="33" xfId="0" applyNumberFormat="1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45" xfId="0" applyFont="1" applyBorder="1" applyAlignment="1">
      <alignment horizontal="left" vertical="center"/>
    </xf>
    <xf numFmtId="1" fontId="16" fillId="0" borderId="6" xfId="0" applyNumberFormat="1" applyFont="1" applyBorder="1" applyAlignment="1">
      <alignment horizontal="center" vertical="center"/>
    </xf>
    <xf numFmtId="1" fontId="16" fillId="0" borderId="73" xfId="0" applyNumberFormat="1" applyFont="1" applyBorder="1" applyAlignment="1">
      <alignment horizontal="center" vertical="center"/>
    </xf>
    <xf numFmtId="1" fontId="16" fillId="0" borderId="35" xfId="0" applyNumberFormat="1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76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/>
    </xf>
    <xf numFmtId="1" fontId="16" fillId="0" borderId="68" xfId="0" applyNumberFormat="1" applyFont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0" fontId="16" fillId="5" borderId="62" xfId="0" applyFont="1" applyFill="1" applyBorder="1" applyAlignment="1">
      <alignment vertical="center"/>
    </xf>
    <xf numFmtId="3" fontId="16" fillId="5" borderId="46" xfId="0" applyNumberFormat="1" applyFont="1" applyFill="1" applyBorder="1" applyAlignment="1">
      <alignment vertical="center"/>
    </xf>
    <xf numFmtId="3" fontId="16" fillId="5" borderId="47" xfId="0" applyNumberFormat="1" applyFont="1" applyFill="1" applyBorder="1" applyAlignment="1">
      <alignment vertical="center"/>
    </xf>
    <xf numFmtId="3" fontId="16" fillId="5" borderId="48" xfId="0" applyNumberFormat="1" applyFont="1" applyFill="1" applyBorder="1" applyAlignment="1">
      <alignment vertical="center"/>
    </xf>
    <xf numFmtId="3" fontId="16" fillId="7" borderId="63" xfId="0" applyNumberFormat="1" applyFont="1" applyFill="1" applyBorder="1" applyAlignment="1">
      <alignment vertical="center"/>
    </xf>
    <xf numFmtId="3" fontId="16" fillId="7" borderId="68" xfId="0" applyNumberFormat="1" applyFont="1" applyFill="1" applyBorder="1" applyAlignment="1">
      <alignment vertical="center"/>
    </xf>
    <xf numFmtId="3" fontId="16" fillId="5" borderId="6" xfId="0" applyNumberFormat="1" applyFont="1" applyFill="1" applyBorder="1" applyAlignment="1">
      <alignment vertical="center"/>
    </xf>
    <xf numFmtId="3" fontId="16" fillId="5" borderId="1" xfId="0" applyNumberFormat="1" applyFont="1" applyFill="1" applyBorder="1" applyAlignment="1">
      <alignment vertical="center"/>
    </xf>
    <xf numFmtId="3" fontId="16" fillId="5" borderId="7" xfId="0" applyNumberFormat="1" applyFont="1" applyFill="1" applyBorder="1" applyAlignment="1">
      <alignment vertical="center"/>
    </xf>
    <xf numFmtId="0" fontId="16" fillId="8" borderId="77" xfId="0" applyFont="1" applyFill="1" applyBorder="1" applyAlignment="1">
      <alignment vertical="center"/>
    </xf>
    <xf numFmtId="3" fontId="16" fillId="8" borderId="6" xfId="0" applyNumberFormat="1" applyFont="1" applyFill="1" applyBorder="1" applyAlignment="1">
      <alignment vertical="center"/>
    </xf>
    <xf numFmtId="3" fontId="16" fillId="8" borderId="1" xfId="0" applyNumberFormat="1" applyFont="1" applyFill="1" applyBorder="1" applyAlignment="1">
      <alignment vertical="center"/>
    </xf>
    <xf numFmtId="3" fontId="16" fillId="8" borderId="7" xfId="0" applyNumberFormat="1" applyFont="1" applyFill="1" applyBorder="1" applyAlignment="1">
      <alignment vertical="center"/>
    </xf>
    <xf numFmtId="3" fontId="16" fillId="7" borderId="73" xfId="0" applyNumberFormat="1" applyFont="1" applyFill="1" applyBorder="1" applyAlignment="1">
      <alignment vertical="center"/>
    </xf>
    <xf numFmtId="3" fontId="16" fillId="7" borderId="35" xfId="0" applyNumberFormat="1" applyFont="1" applyFill="1" applyBorder="1" applyAlignment="1">
      <alignment vertical="center"/>
    </xf>
    <xf numFmtId="3" fontId="16" fillId="7" borderId="74" xfId="0" applyNumberFormat="1" applyFont="1" applyFill="1" applyBorder="1" applyAlignment="1">
      <alignment vertical="center"/>
    </xf>
    <xf numFmtId="3" fontId="16" fillId="7" borderId="39" xfId="0" applyNumberFormat="1" applyFont="1" applyFill="1" applyBorder="1" applyAlignment="1">
      <alignment vertical="center"/>
    </xf>
    <xf numFmtId="0" fontId="16" fillId="5" borderId="66" xfId="0" applyFont="1" applyFill="1" applyBorder="1" applyAlignment="1">
      <alignment vertical="center"/>
    </xf>
    <xf numFmtId="3" fontId="16" fillId="5" borderId="3" xfId="0" applyNumberFormat="1" applyFont="1" applyFill="1" applyBorder="1" applyAlignment="1">
      <alignment vertical="center"/>
    </xf>
    <xf numFmtId="3" fontId="16" fillId="5" borderId="4" xfId="0" applyNumberFormat="1" applyFont="1" applyFill="1" applyBorder="1" applyAlignment="1">
      <alignment vertical="center"/>
    </xf>
    <xf numFmtId="3" fontId="16" fillId="5" borderId="5" xfId="0" applyNumberFormat="1" applyFont="1" applyFill="1" applyBorder="1" applyAlignment="1">
      <alignment vertical="center"/>
    </xf>
    <xf numFmtId="0" fontId="16" fillId="8" borderId="64" xfId="0" applyFont="1" applyFill="1" applyBorder="1" applyAlignment="1">
      <alignment vertical="center"/>
    </xf>
    <xf numFmtId="3" fontId="16" fillId="8" borderId="8" xfId="0" applyNumberFormat="1" applyFont="1" applyFill="1" applyBorder="1" applyAlignment="1">
      <alignment vertical="center"/>
    </xf>
    <xf numFmtId="3" fontId="16" fillId="8" borderId="9" xfId="0" applyNumberFormat="1" applyFont="1" applyFill="1" applyBorder="1" applyAlignment="1">
      <alignment vertical="center"/>
    </xf>
    <xf numFmtId="3" fontId="16" fillId="8" borderId="10" xfId="0" applyNumberFormat="1" applyFont="1" applyFill="1" applyBorder="1" applyAlignment="1">
      <alignment vertical="center"/>
    </xf>
    <xf numFmtId="3" fontId="16" fillId="7" borderId="75" xfId="0" applyNumberFormat="1" applyFont="1" applyFill="1" applyBorder="1" applyAlignment="1">
      <alignment vertical="center"/>
    </xf>
    <xf numFmtId="3" fontId="16" fillId="7" borderId="33" xfId="0" applyNumberFormat="1" applyFont="1" applyFill="1" applyBorder="1" applyAlignment="1">
      <alignment vertical="center"/>
    </xf>
    <xf numFmtId="3" fontId="16" fillId="7" borderId="76" xfId="0" applyNumberFormat="1" applyFont="1" applyFill="1" applyBorder="1" applyAlignment="1">
      <alignment vertical="center"/>
    </xf>
    <xf numFmtId="3" fontId="16" fillId="7" borderId="12" xfId="0" applyNumberFormat="1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6" fillId="14" borderId="0" xfId="0" applyFont="1" applyFill="1" applyAlignment="1">
      <alignment vertical="center"/>
    </xf>
    <xf numFmtId="0" fontId="33" fillId="0" borderId="8" xfId="0" applyFont="1" applyBorder="1" applyAlignment="1">
      <alignment horizontal="center"/>
    </xf>
    <xf numFmtId="0" fontId="33" fillId="8" borderId="4" xfId="0" applyFont="1" applyFill="1" applyBorder="1" applyAlignment="1">
      <alignment vertical="center" wrapText="1"/>
    </xf>
    <xf numFmtId="0" fontId="33" fillId="8" borderId="1" xfId="0" applyFont="1" applyFill="1" applyBorder="1" applyAlignment="1">
      <alignment vertical="center" wrapText="1"/>
    </xf>
    <xf numFmtId="0" fontId="33" fillId="8" borderId="9" xfId="0" applyFont="1" applyFill="1" applyBorder="1" applyAlignment="1">
      <alignment vertical="center" wrapText="1"/>
    </xf>
    <xf numFmtId="0" fontId="16" fillId="5" borderId="59" xfId="0" applyFont="1" applyFill="1" applyBorder="1" applyAlignment="1">
      <alignment horizontal="center" vertical="center"/>
    </xf>
    <xf numFmtId="166" fontId="16" fillId="5" borderId="33" xfId="0" applyNumberFormat="1" applyFont="1" applyFill="1" applyBorder="1" applyAlignment="1">
      <alignment horizontal="center" vertical="center"/>
    </xf>
    <xf numFmtId="166" fontId="16" fillId="2" borderId="3" xfId="0" applyNumberFormat="1" applyFont="1" applyFill="1" applyBorder="1" applyAlignment="1">
      <alignment horizontal="center" vertical="center"/>
    </xf>
    <xf numFmtId="166" fontId="16" fillId="5" borderId="35" xfId="0" applyNumberFormat="1" applyFont="1" applyFill="1" applyBorder="1" applyAlignment="1">
      <alignment horizontal="center" vertical="center"/>
    </xf>
    <xf numFmtId="166" fontId="16" fillId="2" borderId="6" xfId="0" applyNumberFormat="1" applyFont="1" applyFill="1" applyBorder="1" applyAlignment="1">
      <alignment horizontal="center" vertical="center"/>
    </xf>
    <xf numFmtId="166" fontId="16" fillId="2" borderId="7" xfId="0" applyNumberFormat="1" applyFont="1" applyFill="1" applyBorder="1" applyAlignment="1">
      <alignment horizontal="center" vertical="center"/>
    </xf>
    <xf numFmtId="166" fontId="16" fillId="0" borderId="6" xfId="0" applyNumberFormat="1" applyFont="1" applyFill="1" applyBorder="1" applyAlignment="1">
      <alignment horizontal="center" vertical="center"/>
    </xf>
    <xf numFmtId="166" fontId="16" fillId="5" borderId="12" xfId="0" applyNumberFormat="1" applyFont="1" applyFill="1" applyBorder="1" applyAlignment="1">
      <alignment horizontal="center" vertical="center"/>
    </xf>
    <xf numFmtId="166" fontId="16" fillId="0" borderId="8" xfId="0" applyNumberFormat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right"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42" xfId="0" applyFont="1" applyFill="1" applyBorder="1" applyAlignment="1">
      <alignment horizontal="center" vertical="center"/>
    </xf>
    <xf numFmtId="166" fontId="21" fillId="8" borderId="30" xfId="0" applyNumberFormat="1" applyFont="1" applyFill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6" fillId="8" borderId="25" xfId="0" applyFont="1" applyFill="1" applyBorder="1" applyAlignment="1">
      <alignment vertical="center"/>
    </xf>
    <xf numFmtId="0" fontId="16" fillId="8" borderId="55" xfId="0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right" vertical="center"/>
    </xf>
    <xf numFmtId="3" fontId="21" fillId="8" borderId="49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3" fontId="16" fillId="0" borderId="22" xfId="0" applyNumberFormat="1" applyFont="1" applyBorder="1" applyAlignment="1">
      <alignment horizontal="center"/>
    </xf>
    <xf numFmtId="0" fontId="26" fillId="5" borderId="19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27" fillId="20" borderId="69" xfId="0" applyFont="1" applyFill="1" applyBorder="1" applyAlignment="1">
      <alignment vertical="center"/>
    </xf>
    <xf numFmtId="3" fontId="27" fillId="20" borderId="20" xfId="0" applyNumberFormat="1" applyFont="1" applyFill="1" applyBorder="1" applyAlignment="1">
      <alignment vertical="center"/>
    </xf>
    <xf numFmtId="3" fontId="27" fillId="20" borderId="21" xfId="0" applyNumberFormat="1" applyFont="1" applyFill="1" applyBorder="1" applyAlignment="1">
      <alignment vertical="center"/>
    </xf>
    <xf numFmtId="3" fontId="27" fillId="20" borderId="13" xfId="0" applyNumberFormat="1" applyFont="1" applyFill="1" applyBorder="1" applyAlignment="1">
      <alignment vertical="center"/>
    </xf>
    <xf numFmtId="3" fontId="27" fillId="20" borderId="6" xfId="0" applyNumberFormat="1" applyFont="1" applyFill="1" applyBorder="1" applyAlignment="1">
      <alignment vertical="center"/>
    </xf>
    <xf numFmtId="3" fontId="27" fillId="20" borderId="1" xfId="0" applyNumberFormat="1" applyFont="1" applyFill="1" applyBorder="1" applyAlignment="1">
      <alignment vertical="center"/>
    </xf>
    <xf numFmtId="3" fontId="27" fillId="20" borderId="7" xfId="0" applyNumberFormat="1" applyFont="1" applyFill="1" applyBorder="1" applyAlignment="1">
      <alignment vertical="center"/>
    </xf>
    <xf numFmtId="3" fontId="29" fillId="5" borderId="75" xfId="0" applyNumberFormat="1" applyFont="1" applyFill="1" applyBorder="1" applyAlignment="1">
      <alignment vertical="center"/>
    </xf>
    <xf numFmtId="3" fontId="29" fillId="5" borderId="33" xfId="0" applyNumberFormat="1" applyFont="1" applyFill="1" applyBorder="1" applyAlignment="1">
      <alignment vertical="center"/>
    </xf>
    <xf numFmtId="3" fontId="29" fillId="8" borderId="76" xfId="0" applyNumberFormat="1" applyFont="1" applyFill="1" applyBorder="1" applyAlignment="1">
      <alignment vertical="center"/>
    </xf>
    <xf numFmtId="3" fontId="29" fillId="8" borderId="12" xfId="0" applyNumberFormat="1" applyFont="1" applyFill="1" applyBorder="1" applyAlignment="1">
      <alignment vertical="center"/>
    </xf>
    <xf numFmtId="0" fontId="27" fillId="5" borderId="66" xfId="0" applyFont="1" applyFill="1" applyBorder="1" applyAlignment="1">
      <alignment vertical="center"/>
    </xf>
    <xf numFmtId="3" fontId="27" fillId="5" borderId="3" xfId="0" applyNumberFormat="1" applyFont="1" applyFill="1" applyBorder="1" applyAlignment="1">
      <alignment horizontal="right" vertical="center"/>
    </xf>
    <xf numFmtId="3" fontId="27" fillId="5" borderId="4" xfId="0" applyNumberFormat="1" applyFont="1" applyFill="1" applyBorder="1" applyAlignment="1">
      <alignment vertical="center"/>
    </xf>
    <xf numFmtId="3" fontId="27" fillId="5" borderId="5" xfId="0" applyNumberFormat="1" applyFont="1" applyFill="1" applyBorder="1" applyAlignment="1">
      <alignment vertical="center"/>
    </xf>
    <xf numFmtId="3" fontId="27" fillId="5" borderId="6" xfId="0" applyNumberFormat="1" applyFont="1" applyFill="1" applyBorder="1" applyAlignment="1">
      <alignment vertical="center"/>
    </xf>
    <xf numFmtId="3" fontId="27" fillId="5" borderId="1" xfId="0" applyNumberFormat="1" applyFont="1" applyFill="1" applyBorder="1" applyAlignment="1">
      <alignment vertical="center"/>
    </xf>
    <xf numFmtId="3" fontId="27" fillId="5" borderId="7" xfId="0" applyNumberFormat="1" applyFont="1" applyFill="1" applyBorder="1" applyAlignment="1">
      <alignment vertical="center"/>
    </xf>
    <xf numFmtId="0" fontId="27" fillId="8" borderId="62" xfId="0" applyFont="1" applyFill="1" applyBorder="1" applyAlignment="1">
      <alignment vertical="center"/>
    </xf>
    <xf numFmtId="3" fontId="27" fillId="8" borderId="6" xfId="0" applyNumberFormat="1" applyFont="1" applyFill="1" applyBorder="1" applyAlignment="1">
      <alignment vertical="center"/>
    </xf>
    <xf numFmtId="3" fontId="27" fillId="8" borderId="1" xfId="0" applyNumberFormat="1" applyFont="1" applyFill="1" applyBorder="1" applyAlignment="1">
      <alignment vertical="center"/>
    </xf>
    <xf numFmtId="3" fontId="27" fillId="8" borderId="7" xfId="0" applyNumberFormat="1" applyFont="1" applyFill="1" applyBorder="1" applyAlignment="1">
      <alignment vertical="center"/>
    </xf>
    <xf numFmtId="0" fontId="27" fillId="20" borderId="64" xfId="0" applyFont="1" applyFill="1" applyBorder="1" applyAlignment="1">
      <alignment vertical="center"/>
    </xf>
    <xf numFmtId="3" fontId="27" fillId="20" borderId="8" xfId="0" applyNumberFormat="1" applyFont="1" applyFill="1" applyBorder="1" applyAlignment="1">
      <alignment horizontal="right" vertical="center"/>
    </xf>
    <xf numFmtId="3" fontId="27" fillId="20" borderId="9" xfId="0" applyNumberFormat="1" applyFont="1" applyFill="1" applyBorder="1" applyAlignment="1">
      <alignment vertical="center"/>
    </xf>
    <xf numFmtId="3" fontId="27" fillId="20" borderId="10" xfId="0" applyNumberFormat="1" applyFont="1" applyFill="1" applyBorder="1" applyAlignment="1">
      <alignment vertical="center"/>
    </xf>
    <xf numFmtId="3" fontId="27" fillId="20" borderId="8" xfId="0" applyNumberFormat="1" applyFont="1" applyFill="1" applyBorder="1" applyAlignment="1">
      <alignment vertical="center"/>
    </xf>
    <xf numFmtId="0" fontId="27" fillId="14" borderId="0" xfId="0" applyFont="1" applyFill="1" applyAlignment="1">
      <alignment horizontal="right" vertical="center"/>
    </xf>
    <xf numFmtId="3" fontId="27" fillId="14" borderId="0" xfId="0" applyNumberFormat="1" applyFont="1" applyFill="1" applyAlignment="1">
      <alignment vertical="center"/>
    </xf>
    <xf numFmtId="3" fontId="16" fillId="0" borderId="69" xfId="0" applyNumberFormat="1" applyFont="1" applyBorder="1" applyAlignment="1">
      <alignment horizontal="center"/>
    </xf>
    <xf numFmtId="3" fontId="16" fillId="0" borderId="66" xfId="0" applyNumberFormat="1" applyFont="1" applyBorder="1" applyAlignment="1">
      <alignment horizontal="center"/>
    </xf>
    <xf numFmtId="3" fontId="16" fillId="0" borderId="77" xfId="0" applyNumberFormat="1" applyFont="1" applyBorder="1" applyAlignment="1">
      <alignment horizontal="center"/>
    </xf>
    <xf numFmtId="3" fontId="16" fillId="0" borderId="64" xfId="0" applyNumberFormat="1" applyFont="1" applyBorder="1" applyAlignment="1">
      <alignment horizontal="center"/>
    </xf>
    <xf numFmtId="4" fontId="16" fillId="0" borderId="6" xfId="0" applyNumberFormat="1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4" fontId="16" fillId="0" borderId="8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/>
    </xf>
    <xf numFmtId="4" fontId="16" fillId="0" borderId="20" xfId="0" applyNumberFormat="1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4" fontId="16" fillId="0" borderId="46" xfId="0" applyNumberFormat="1" applyFont="1" applyBorder="1" applyAlignment="1">
      <alignment horizontal="center"/>
    </xf>
    <xf numFmtId="0" fontId="0" fillId="7" borderId="48" xfId="0" applyFill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4" fontId="16" fillId="0" borderId="22" xfId="0" applyNumberFormat="1" applyFont="1" applyBorder="1" applyAlignment="1">
      <alignment horizontal="center"/>
    </xf>
    <xf numFmtId="0" fontId="0" fillId="7" borderId="23" xfId="0" applyFill="1" applyBorder="1" applyAlignment="1">
      <alignment horizontal="center"/>
    </xf>
    <xf numFmtId="176" fontId="25" fillId="7" borderId="48" xfId="72" applyNumberFormat="1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174" fontId="25" fillId="7" borderId="10" xfId="72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65" xfId="0" applyFont="1" applyFill="1" applyBorder="1"/>
    <xf numFmtId="4" fontId="16" fillId="0" borderId="24" xfId="0" applyNumberFormat="1" applyFont="1" applyBorder="1" applyAlignment="1">
      <alignment horizontal="center"/>
    </xf>
    <xf numFmtId="3" fontId="16" fillId="0" borderId="18" xfId="0" applyNumberFormat="1" applyFont="1" applyBorder="1" applyAlignment="1">
      <alignment horizontal="center"/>
    </xf>
    <xf numFmtId="0" fontId="0" fillId="5" borderId="83" xfId="0" applyFill="1" applyBorder="1" applyAlignment="1">
      <alignment horizontal="center" vertical="center" wrapText="1"/>
    </xf>
    <xf numFmtId="0" fontId="0" fillId="5" borderId="88" xfId="0" applyFill="1" applyBorder="1" applyAlignment="1">
      <alignment horizontal="center" vertical="center" wrapText="1"/>
    </xf>
    <xf numFmtId="0" fontId="16" fillId="5" borderId="88" xfId="0" applyFont="1" applyFill="1" applyBorder="1" applyAlignment="1">
      <alignment vertical="center" wrapText="1"/>
    </xf>
    <xf numFmtId="0" fontId="36" fillId="5" borderId="89" xfId="0" applyFont="1" applyFill="1" applyBorder="1" applyAlignment="1">
      <alignment horizontal="center" vertical="center" wrapText="1"/>
    </xf>
    <xf numFmtId="0" fontId="36" fillId="5" borderId="9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5" borderId="78" xfId="0" applyFill="1" applyBorder="1" applyAlignment="1">
      <alignment horizontal="center" vertical="center" wrapText="1"/>
    </xf>
    <xf numFmtId="0" fontId="0" fillId="15" borderId="50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5" borderId="91" xfId="0" applyFont="1" applyFill="1" applyBorder="1" applyAlignment="1">
      <alignment horizontal="center"/>
    </xf>
    <xf numFmtId="0" fontId="0" fillId="5" borderId="9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9" borderId="92" xfId="0" applyFont="1" applyFill="1" applyBorder="1" applyAlignment="1">
      <alignment horizontal="center"/>
    </xf>
    <xf numFmtId="0" fontId="0" fillId="0" borderId="92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0" fontId="0" fillId="13" borderId="1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/>
    <xf numFmtId="0" fontId="35" fillId="0" borderId="1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0" borderId="1" xfId="0" applyFont="1" applyBorder="1" applyAlignment="1">
      <alignment horizontal="center"/>
    </xf>
    <xf numFmtId="0" fontId="22" fillId="8" borderId="1" xfId="0" applyFont="1" applyFill="1" applyBorder="1"/>
    <xf numFmtId="0" fontId="0" fillId="6" borderId="1" xfId="0" applyFont="1" applyFill="1" applyBorder="1"/>
    <xf numFmtId="0" fontId="22" fillId="0" borderId="1" xfId="0" applyFont="1" applyBorder="1"/>
    <xf numFmtId="0" fontId="0" fillId="0" borderId="1" xfId="0" applyFont="1" applyBorder="1" applyAlignment="1">
      <alignment wrapText="1"/>
    </xf>
    <xf numFmtId="0" fontId="0" fillId="21" borderId="1" xfId="0" applyFont="1" applyFill="1" applyBorder="1"/>
    <xf numFmtId="0" fontId="0" fillId="8" borderId="6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73" xfId="0" applyFont="1" applyBorder="1"/>
    <xf numFmtId="0" fontId="0" fillId="12" borderId="1" xfId="0" applyFont="1" applyFill="1" applyBorder="1"/>
    <xf numFmtId="0" fontId="37" fillId="22" borderId="1" xfId="0" applyFont="1" applyFill="1" applyBorder="1"/>
    <xf numFmtId="0" fontId="12" fillId="0" borderId="73" xfId="0" applyFont="1" applyBorder="1"/>
    <xf numFmtId="0" fontId="35" fillId="0" borderId="1" xfId="0" applyFont="1" applyBorder="1"/>
    <xf numFmtId="0" fontId="22" fillId="23" borderId="1" xfId="326" applyFill="1" applyBorder="1"/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9" borderId="1" xfId="0" applyFont="1" applyFill="1" applyBorder="1"/>
    <xf numFmtId="0" fontId="16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0" fillId="0" borderId="21" xfId="0" applyFont="1" applyBorder="1" applyAlignment="1">
      <alignment horizontal="center"/>
    </xf>
    <xf numFmtId="0" fontId="16" fillId="0" borderId="1" xfId="0" applyFont="1" applyFill="1" applyBorder="1" applyAlignment="1">
      <alignment horizontal="left" wrapText="1"/>
    </xf>
    <xf numFmtId="0" fontId="0" fillId="5" borderId="20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74" xfId="0" applyFont="1" applyBorder="1"/>
    <xf numFmtId="0" fontId="0" fillId="0" borderId="21" xfId="0" applyFont="1" applyBorder="1" applyAlignment="1">
      <alignment horizontal="center" vertical="center"/>
    </xf>
    <xf numFmtId="0" fontId="15" fillId="23" borderId="1" xfId="327" applyFill="1" applyBorder="1" applyAlignment="1">
      <alignment horizontal="center"/>
    </xf>
    <xf numFmtId="0" fontId="15" fillId="23" borderId="1" xfId="327" applyFill="1" applyBorder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0" borderId="76" xfId="0" applyFont="1" applyBorder="1"/>
    <xf numFmtId="0" fontId="0" fillId="0" borderId="9" xfId="0" applyFont="1" applyBorder="1" applyAlignment="1">
      <alignment horizontal="center" vertical="center"/>
    </xf>
    <xf numFmtId="0" fontId="0" fillId="5" borderId="89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26" borderId="1" xfId="0" applyFont="1" applyFill="1" applyBorder="1"/>
    <xf numFmtId="0" fontId="0" fillId="0" borderId="7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22" fillId="0" borderId="6" xfId="0" applyFont="1" applyBorder="1"/>
    <xf numFmtId="0" fontId="0" fillId="0" borderId="73" xfId="0" applyFont="1" applyBorder="1" applyAlignment="1">
      <alignment horizontal="center"/>
    </xf>
    <xf numFmtId="0" fontId="0" fillId="25" borderId="6" xfId="0" applyFont="1" applyFill="1" applyBorder="1"/>
    <xf numFmtId="0" fontId="0" fillId="4" borderId="45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5" borderId="1" xfId="0" applyFont="1" applyFill="1" applyBorder="1"/>
    <xf numFmtId="0" fontId="0" fillId="27" borderId="1" xfId="0" applyFont="1" applyFill="1" applyBorder="1"/>
    <xf numFmtId="0" fontId="0" fillId="27" borderId="6" xfId="0" applyFont="1" applyFill="1" applyBorder="1"/>
    <xf numFmtId="0" fontId="1" fillId="0" borderId="1" xfId="328" applyBorder="1"/>
    <xf numFmtId="0" fontId="0" fillId="12" borderId="6" xfId="0" applyFont="1" applyFill="1" applyBorder="1"/>
    <xf numFmtId="0" fontId="0" fillId="28" borderId="6" xfId="0" applyFont="1" applyFill="1" applyBorder="1"/>
    <xf numFmtId="0" fontId="3" fillId="0" borderId="7" xfId="0" applyFont="1" applyBorder="1" applyAlignment="1">
      <alignment horizontal="center"/>
    </xf>
    <xf numFmtId="0" fontId="0" fillId="15" borderId="1" xfId="0" applyFont="1" applyFill="1" applyBorder="1"/>
    <xf numFmtId="0" fontId="22" fillId="9" borderId="1" xfId="0" applyFont="1" applyFill="1" applyBorder="1"/>
    <xf numFmtId="0" fontId="0" fillId="23" borderId="1" xfId="0" applyFill="1" applyBorder="1"/>
    <xf numFmtId="0" fontId="33" fillId="0" borderId="45" xfId="0" applyFont="1" applyBorder="1"/>
    <xf numFmtId="0" fontId="22" fillId="0" borderId="1" xfId="326" applyBorder="1"/>
    <xf numFmtId="0" fontId="0" fillId="0" borderId="6" xfId="0" applyFont="1" applyBorder="1" applyAlignment="1">
      <alignment horizontal="left"/>
    </xf>
    <xf numFmtId="0" fontId="0" fillId="0" borderId="8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6" fillId="0" borderId="80" xfId="0" applyFont="1" applyBorder="1"/>
    <xf numFmtId="0" fontId="36" fillId="5" borderId="1" xfId="0" applyFont="1" applyFill="1" applyBorder="1" applyAlignment="1">
      <alignment horizontal="center" vertical="center" wrapText="1"/>
    </xf>
    <xf numFmtId="0" fontId="0" fillId="0" borderId="35" xfId="0" applyFont="1" applyBorder="1"/>
    <xf numFmtId="0" fontId="0" fillId="29" borderId="28" xfId="0" applyFont="1" applyFill="1" applyBorder="1" applyAlignment="1">
      <alignment horizontal="center"/>
    </xf>
    <xf numFmtId="0" fontId="0" fillId="29" borderId="32" xfId="0" applyFont="1" applyFill="1" applyBorder="1" applyAlignment="1">
      <alignment horizontal="center"/>
    </xf>
    <xf numFmtId="0" fontId="38" fillId="29" borderId="28" xfId="0" applyFont="1" applyFill="1" applyBorder="1"/>
    <xf numFmtId="0" fontId="0" fillId="29" borderId="8" xfId="0" applyFont="1" applyFill="1" applyBorder="1" applyAlignment="1">
      <alignment horizontal="center"/>
    </xf>
    <xf numFmtId="0" fontId="0" fillId="29" borderId="9" xfId="0" applyFont="1" applyFill="1" applyBorder="1" applyAlignment="1">
      <alignment horizontal="center"/>
    </xf>
    <xf numFmtId="0" fontId="0" fillId="29" borderId="10" xfId="0" applyFont="1" applyFill="1" applyBorder="1" applyAlignment="1">
      <alignment horizontal="center"/>
    </xf>
    <xf numFmtId="0" fontId="0" fillId="29" borderId="6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/>
    </xf>
    <xf numFmtId="0" fontId="0" fillId="29" borderId="7" xfId="0" applyFont="1" applyFill="1" applyBorder="1" applyAlignment="1">
      <alignment horizontal="center"/>
    </xf>
    <xf numFmtId="0" fontId="0" fillId="29" borderId="6" xfId="0" applyFont="1" applyFill="1" applyBorder="1"/>
    <xf numFmtId="0" fontId="0" fillId="29" borderId="35" xfId="0" applyFont="1" applyFill="1" applyBorder="1"/>
    <xf numFmtId="0" fontId="0" fillId="29" borderId="73" xfId="0" applyFont="1" applyFill="1" applyBorder="1"/>
    <xf numFmtId="0" fontId="0" fillId="29" borderId="1" xfId="0" applyFont="1" applyFill="1" applyBorder="1"/>
    <xf numFmtId="0" fontId="0" fillId="29" borderId="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5" borderId="77" xfId="0" applyFont="1" applyFill="1" applyBorder="1" applyAlignment="1">
      <alignment vertical="center"/>
    </xf>
    <xf numFmtId="1" fontId="28" fillId="0" borderId="5" xfId="0" applyNumberFormat="1" applyFont="1" applyBorder="1" applyAlignment="1">
      <alignment horizontal="center" vertical="center"/>
    </xf>
    <xf numFmtId="1" fontId="28" fillId="0" borderId="7" xfId="0" applyNumberFormat="1" applyFont="1" applyBorder="1" applyAlignment="1">
      <alignment horizontal="center" vertical="center"/>
    </xf>
    <xf numFmtId="1" fontId="28" fillId="0" borderId="10" xfId="0" applyNumberFormat="1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33" fillId="0" borderId="1" xfId="0" applyFont="1" applyBorder="1"/>
    <xf numFmtId="1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4" fontId="33" fillId="0" borderId="1" xfId="0" applyNumberFormat="1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8" borderId="1" xfId="0" applyFont="1" applyFill="1" applyBorder="1"/>
    <xf numFmtId="0" fontId="33" fillId="8" borderId="1" xfId="0" applyFont="1" applyFill="1" applyBorder="1" applyAlignment="1">
      <alignment horizontal="center"/>
    </xf>
    <xf numFmtId="0" fontId="30" fillId="8" borderId="9" xfId="0" applyFont="1" applyFill="1" applyBorder="1"/>
    <xf numFmtId="3" fontId="30" fillId="8" borderId="9" xfId="0" applyNumberFormat="1" applyFont="1" applyFill="1" applyBorder="1" applyAlignment="1">
      <alignment horizontal="center"/>
    </xf>
    <xf numFmtId="0" fontId="16" fillId="5" borderId="69" xfId="0" applyFont="1" applyFill="1" applyBorder="1" applyAlignment="1">
      <alignment vertical="center"/>
    </xf>
    <xf numFmtId="3" fontId="16" fillId="5" borderId="20" xfId="0" applyNumberFormat="1" applyFont="1" applyFill="1" applyBorder="1" applyAlignment="1">
      <alignment vertical="center"/>
    </xf>
    <xf numFmtId="0" fontId="16" fillId="8" borderId="69" xfId="0" applyFont="1" applyFill="1" applyBorder="1" applyAlignment="1">
      <alignment vertical="center"/>
    </xf>
    <xf numFmtId="3" fontId="16" fillId="8" borderId="20" xfId="0" applyNumberFormat="1" applyFont="1" applyFill="1" applyBorder="1" applyAlignment="1">
      <alignment vertical="center"/>
    </xf>
    <xf numFmtId="3" fontId="16" fillId="8" borderId="21" xfId="0" applyNumberFormat="1" applyFont="1" applyFill="1" applyBorder="1" applyAlignment="1">
      <alignment vertical="center"/>
    </xf>
    <xf numFmtId="0" fontId="27" fillId="4" borderId="64" xfId="0" applyFont="1" applyFill="1" applyBorder="1" applyAlignment="1">
      <alignment vertical="center"/>
    </xf>
    <xf numFmtId="3" fontId="27" fillId="4" borderId="8" xfId="0" applyNumberFormat="1" applyFont="1" applyFill="1" applyBorder="1" applyAlignment="1">
      <alignment horizontal="right" vertical="center"/>
    </xf>
    <xf numFmtId="0" fontId="33" fillId="5" borderId="6" xfId="0" applyFont="1" applyFill="1" applyBorder="1" applyAlignment="1">
      <alignment horizontal="center"/>
    </xf>
    <xf numFmtId="0" fontId="33" fillId="5" borderId="1" xfId="0" applyFont="1" applyFill="1" applyBorder="1"/>
    <xf numFmtId="0" fontId="33" fillId="5" borderId="1" xfId="0" applyFont="1" applyFill="1" applyBorder="1" applyAlignment="1">
      <alignment horizontal="center"/>
    </xf>
    <xf numFmtId="0" fontId="4" fillId="5" borderId="18" xfId="0" applyFont="1" applyFill="1" applyBorder="1" applyAlignment="1">
      <alignment vertical="center"/>
    </xf>
    <xf numFmtId="0" fontId="4" fillId="5" borderId="65" xfId="0" applyFont="1" applyFill="1" applyBorder="1" applyAlignment="1">
      <alignment vertical="center"/>
    </xf>
    <xf numFmtId="0" fontId="4" fillId="5" borderId="6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6" fillId="0" borderId="49" xfId="0" applyFont="1" applyBorder="1" applyAlignment="1">
      <alignment horizontal="center"/>
    </xf>
    <xf numFmtId="4" fontId="16" fillId="0" borderId="59" xfId="0" applyNumberFormat="1" applyFont="1" applyBorder="1" applyAlignment="1">
      <alignment horizontal="center"/>
    </xf>
    <xf numFmtId="3" fontId="16" fillId="0" borderId="61" xfId="0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8" fillId="0" borderId="55" xfId="0" applyFont="1" applyFill="1" applyBorder="1"/>
    <xf numFmtId="0" fontId="33" fillId="5" borderId="35" xfId="0" applyFont="1" applyFill="1" applyBorder="1" applyAlignment="1">
      <alignment horizontal="center"/>
    </xf>
    <xf numFmtId="1" fontId="33" fillId="0" borderId="35" xfId="0" applyNumberFormat="1" applyFont="1" applyBorder="1" applyAlignment="1">
      <alignment horizontal="center"/>
    </xf>
    <xf numFmtId="0" fontId="33" fillId="8" borderId="35" xfId="0" applyFont="1" applyFill="1" applyBorder="1" applyAlignment="1">
      <alignment horizontal="center"/>
    </xf>
    <xf numFmtId="4" fontId="33" fillId="0" borderId="35" xfId="0" applyNumberFormat="1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3" fontId="30" fillId="8" borderId="12" xfId="0" applyNumberFormat="1" applyFont="1" applyFill="1" applyBorder="1" applyAlignment="1">
      <alignment horizontal="center"/>
    </xf>
    <xf numFmtId="3" fontId="0" fillId="0" borderId="45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5" borderId="77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4" fillId="8" borderId="77" xfId="0" applyNumberFormat="1" applyFont="1" applyFill="1" applyBorder="1" applyAlignment="1">
      <alignment horizontal="center"/>
    </xf>
    <xf numFmtId="3" fontId="4" fillId="8" borderId="64" xfId="0" applyNumberFormat="1" applyFont="1" applyFill="1" applyBorder="1" applyAlignment="1">
      <alignment horizontal="center"/>
    </xf>
    <xf numFmtId="0" fontId="4" fillId="5" borderId="25" xfId="0" applyFont="1" applyFill="1" applyBorder="1" applyAlignment="1">
      <alignment vertical="center"/>
    </xf>
    <xf numFmtId="0" fontId="4" fillId="5" borderId="55" xfId="0" applyFont="1" applyFill="1" applyBorder="1" applyAlignment="1">
      <alignment vertical="center"/>
    </xf>
    <xf numFmtId="0" fontId="4" fillId="5" borderId="52" xfId="0" applyFont="1" applyFill="1" applyBorder="1" applyAlignment="1">
      <alignment vertical="center"/>
    </xf>
    <xf numFmtId="0" fontId="33" fillId="0" borderId="11" xfId="0" applyFont="1" applyFill="1" applyBorder="1"/>
    <xf numFmtId="3" fontId="16" fillId="5" borderId="68" xfId="0" applyNumberFormat="1" applyFont="1" applyFill="1" applyBorder="1" applyAlignment="1">
      <alignment vertical="center"/>
    </xf>
    <xf numFmtId="3" fontId="16" fillId="5" borderId="35" xfId="0" applyNumberFormat="1" applyFont="1" applyFill="1" applyBorder="1" applyAlignment="1">
      <alignment vertical="center"/>
    </xf>
    <xf numFmtId="3" fontId="16" fillId="8" borderId="35" xfId="0" applyNumberFormat="1" applyFont="1" applyFill="1" applyBorder="1" applyAlignment="1">
      <alignment vertical="center"/>
    </xf>
    <xf numFmtId="3" fontId="27" fillId="4" borderId="64" xfId="0" applyNumberFormat="1" applyFont="1" applyFill="1" applyBorder="1" applyAlignment="1">
      <alignment horizontal="right" vertical="center"/>
    </xf>
    <xf numFmtId="0" fontId="0" fillId="5" borderId="77" xfId="0" applyFill="1" applyBorder="1"/>
    <xf numFmtId="0" fontId="0" fillId="0" borderId="77" xfId="0" applyBorder="1"/>
    <xf numFmtId="0" fontId="0" fillId="0" borderId="36" xfId="0" applyBorder="1"/>
    <xf numFmtId="0" fontId="0" fillId="0" borderId="37" xfId="0" applyBorder="1"/>
    <xf numFmtId="0" fontId="0" fillId="8" borderId="77" xfId="0" applyFill="1" applyBorder="1"/>
    <xf numFmtId="0" fontId="0" fillId="8" borderId="36" xfId="0" applyFill="1" applyBorder="1"/>
    <xf numFmtId="0" fontId="0" fillId="8" borderId="37" xfId="0" applyFill="1" applyBorder="1"/>
    <xf numFmtId="0" fontId="0" fillId="8" borderId="64" xfId="0" applyFill="1" applyBorder="1"/>
    <xf numFmtId="0" fontId="0" fillId="8" borderId="38" xfId="0" applyFill="1" applyBorder="1"/>
    <xf numFmtId="0" fontId="0" fillId="8" borderId="32" xfId="0" applyFill="1" applyBorder="1"/>
    <xf numFmtId="0" fontId="16" fillId="0" borderId="64" xfId="0" applyFont="1" applyBorder="1" applyAlignment="1">
      <alignment horizontal="left"/>
    </xf>
    <xf numFmtId="0" fontId="16" fillId="0" borderId="38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5" borderId="66" xfId="0" applyFont="1" applyFill="1" applyBorder="1" applyAlignment="1">
      <alignment horizontal="left"/>
    </xf>
    <xf numFmtId="0" fontId="16" fillId="5" borderId="31" xfId="0" applyFont="1" applyFill="1" applyBorder="1" applyAlignment="1">
      <alignment horizontal="center"/>
    </xf>
    <xf numFmtId="0" fontId="16" fillId="5" borderId="77" xfId="0" applyFont="1" applyFill="1" applyBorder="1" applyAlignment="1">
      <alignment horizontal="left"/>
    </xf>
    <xf numFmtId="0" fontId="16" fillId="5" borderId="37" xfId="0" applyFont="1" applyFill="1" applyBorder="1" applyAlignment="1">
      <alignment horizontal="center"/>
    </xf>
    <xf numFmtId="0" fontId="16" fillId="8" borderId="77" xfId="0" applyFont="1" applyFill="1" applyBorder="1" applyAlignment="1">
      <alignment horizontal="left"/>
    </xf>
    <xf numFmtId="0" fontId="16" fillId="8" borderId="36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33" fillId="5" borderId="46" xfId="0" applyFont="1" applyFill="1" applyBorder="1" applyAlignment="1">
      <alignment horizontal="center"/>
    </xf>
    <xf numFmtId="0" fontId="33" fillId="5" borderId="47" xfId="0" applyFont="1" applyFill="1" applyBorder="1"/>
    <xf numFmtId="1" fontId="33" fillId="5" borderId="47" xfId="0" applyNumberFormat="1" applyFont="1" applyFill="1" applyBorder="1" applyAlignment="1">
      <alignment horizontal="center"/>
    </xf>
    <xf numFmtId="0" fontId="33" fillId="5" borderId="68" xfId="0" applyFont="1" applyFill="1" applyBorder="1" applyAlignment="1">
      <alignment horizontal="center"/>
    </xf>
    <xf numFmtId="3" fontId="0" fillId="5" borderId="62" xfId="0" applyNumberFormat="1" applyFill="1" applyBorder="1" applyAlignment="1">
      <alignment horizontal="center"/>
    </xf>
    <xf numFmtId="0" fontId="0" fillId="5" borderId="62" xfId="0" applyFill="1" applyBorder="1"/>
    <xf numFmtId="0" fontId="0" fillId="5" borderId="79" xfId="0" applyFill="1" applyBorder="1"/>
    <xf numFmtId="0" fontId="0" fillId="5" borderId="71" xfId="0" applyFill="1" applyBorder="1"/>
    <xf numFmtId="0" fontId="30" fillId="5" borderId="22" xfId="0" applyFont="1" applyFill="1" applyBorder="1" applyAlignment="1">
      <alignment vertical="center"/>
    </xf>
    <xf numFmtId="0" fontId="30" fillId="5" borderId="19" xfId="0" applyFont="1" applyFill="1" applyBorder="1" applyAlignment="1">
      <alignment vertical="center"/>
    </xf>
    <xf numFmtId="0" fontId="16" fillId="4" borderId="54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20" fillId="4" borderId="61" xfId="0" applyFont="1" applyFill="1" applyBorder="1" applyAlignment="1">
      <alignment horizontal="center"/>
    </xf>
    <xf numFmtId="4" fontId="0" fillId="0" borderId="77" xfId="0" applyNumberFormat="1" applyBorder="1" applyAlignment="1">
      <alignment horizontal="center"/>
    </xf>
    <xf numFmtId="0" fontId="33" fillId="0" borderId="1" xfId="0" applyFont="1" applyFill="1" applyBorder="1"/>
    <xf numFmtId="0" fontId="0" fillId="0" borderId="77" xfId="0" applyFill="1" applyBorder="1"/>
    <xf numFmtId="0" fontId="0" fillId="0" borderId="36" xfId="0" applyFill="1" applyBorder="1"/>
    <xf numFmtId="0" fontId="0" fillId="0" borderId="37" xfId="0" applyFill="1" applyBorder="1"/>
    <xf numFmtId="0" fontId="33" fillId="0" borderId="58" xfId="0" applyFont="1" applyFill="1" applyBorder="1" applyAlignment="1">
      <alignment horizontal="center"/>
    </xf>
    <xf numFmtId="0" fontId="33" fillId="0" borderId="14" xfId="0" applyFont="1" applyFill="1" applyBorder="1"/>
    <xf numFmtId="0" fontId="33" fillId="0" borderId="14" xfId="0" applyFont="1" applyFill="1" applyBorder="1" applyAlignment="1">
      <alignment horizontal="left"/>
    </xf>
    <xf numFmtId="1" fontId="33" fillId="15" borderId="1" xfId="0" applyNumberFormat="1" applyFont="1" applyFill="1" applyBorder="1" applyAlignment="1">
      <alignment horizontal="center"/>
    </xf>
    <xf numFmtId="3" fontId="4" fillId="15" borderId="77" xfId="0" applyNumberFormat="1" applyFont="1" applyFill="1" applyBorder="1" applyAlignment="1">
      <alignment horizontal="center"/>
    </xf>
    <xf numFmtId="3" fontId="0" fillId="0" borderId="0" xfId="0" applyNumberFormat="1"/>
    <xf numFmtId="0" fontId="37" fillId="0" borderId="0" xfId="0" applyFont="1"/>
    <xf numFmtId="0" fontId="37" fillId="0" borderId="71" xfId="0" applyFont="1" applyBorder="1"/>
    <xf numFmtId="0" fontId="37" fillId="0" borderId="71" xfId="0" applyFont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6" fillId="0" borderId="53" xfId="0" applyFont="1" applyFill="1" applyBorder="1" applyAlignment="1">
      <alignment vertical="center"/>
    </xf>
    <xf numFmtId="0" fontId="37" fillId="0" borderId="3" xfId="0" applyFont="1" applyBorder="1"/>
    <xf numFmtId="0" fontId="37" fillId="0" borderId="31" xfId="0" applyFont="1" applyBorder="1"/>
    <xf numFmtId="0" fontId="37" fillId="0" borderId="46" xfId="0" applyFont="1" applyBorder="1"/>
    <xf numFmtId="0" fontId="37" fillId="0" borderId="46" xfId="0" applyFont="1" applyBorder="1" applyAlignment="1">
      <alignment horizontal="right"/>
    </xf>
    <xf numFmtId="0" fontId="31" fillId="30" borderId="46" xfId="0" applyFont="1" applyFill="1" applyBorder="1"/>
    <xf numFmtId="0" fontId="31" fillId="30" borderId="71" xfId="0" applyFont="1" applyFill="1" applyBorder="1"/>
    <xf numFmtId="0" fontId="31" fillId="30" borderId="15" xfId="0" applyFont="1" applyFill="1" applyBorder="1"/>
    <xf numFmtId="0" fontId="31" fillId="30" borderId="44" xfId="0" applyFont="1" applyFill="1" applyBorder="1"/>
    <xf numFmtId="0" fontId="28" fillId="0" borderId="21" xfId="0" applyFont="1" applyFill="1" applyBorder="1"/>
    <xf numFmtId="2" fontId="21" fillId="0" borderId="13" xfId="1" applyNumberFormat="1" applyFont="1" applyFill="1" applyBorder="1" applyAlignment="1">
      <alignment horizontal="center"/>
    </xf>
    <xf numFmtId="0" fontId="27" fillId="5" borderId="29" xfId="0" applyFont="1" applyFill="1" applyBorder="1" applyAlignment="1">
      <alignment horizontal="center"/>
    </xf>
    <xf numFmtId="1" fontId="27" fillId="5" borderId="49" xfId="0" applyNumberFormat="1" applyFont="1" applyFill="1" applyBorder="1" applyAlignment="1">
      <alignment horizontal="center"/>
    </xf>
    <xf numFmtId="0" fontId="21" fillId="5" borderId="51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6" fillId="5" borderId="70" xfId="0" applyFont="1" applyFill="1" applyBorder="1" applyAlignment="1">
      <alignment horizontal="center" vertical="center"/>
    </xf>
    <xf numFmtId="0" fontId="16" fillId="5" borderId="50" xfId="0" applyFont="1" applyFill="1" applyBorder="1" applyAlignment="1">
      <alignment horizontal="left" vertical="center" wrapText="1"/>
    </xf>
    <xf numFmtId="0" fontId="27" fillId="2" borderId="25" xfId="0" applyFont="1" applyFill="1" applyBorder="1" applyAlignment="1">
      <alignment vertical="center"/>
    </xf>
    <xf numFmtId="3" fontId="27" fillId="2" borderId="55" xfId="0" applyNumberFormat="1" applyFont="1" applyFill="1" applyBorder="1" applyAlignment="1">
      <alignment horizontal="center" vertical="center"/>
    </xf>
    <xf numFmtId="0" fontId="27" fillId="2" borderId="55" xfId="0" applyFont="1" applyFill="1" applyBorder="1" applyAlignment="1">
      <alignment horizontal="center" vertical="center"/>
    </xf>
    <xf numFmtId="0" fontId="27" fillId="2" borderId="55" xfId="0" applyFont="1" applyFill="1" applyBorder="1" applyAlignment="1">
      <alignment horizontal="left" vertical="center"/>
    </xf>
    <xf numFmtId="0" fontId="27" fillId="2" borderId="55" xfId="0" applyFont="1" applyFill="1" applyBorder="1" applyAlignment="1">
      <alignment vertical="center"/>
    </xf>
    <xf numFmtId="0" fontId="27" fillId="5" borderId="3" xfId="0" applyFont="1" applyFill="1" applyBorder="1" applyAlignment="1">
      <alignment horizontal="center" vertical="center"/>
    </xf>
    <xf numFmtId="3" fontId="27" fillId="5" borderId="4" xfId="0" applyNumberFormat="1" applyFont="1" applyFill="1" applyBorder="1" applyAlignment="1">
      <alignment horizontal="center" vertical="center"/>
    </xf>
    <xf numFmtId="3" fontId="27" fillId="5" borderId="5" xfId="0" applyNumberFormat="1" applyFont="1" applyFill="1" applyBorder="1" applyAlignment="1">
      <alignment horizontal="center" vertical="center"/>
    </xf>
    <xf numFmtId="0" fontId="27" fillId="5" borderId="8" xfId="0" applyFont="1" applyFill="1" applyBorder="1" applyAlignment="1">
      <alignment horizontal="right" vertical="center"/>
    </xf>
    <xf numFmtId="3" fontId="27" fillId="5" borderId="9" xfId="0" applyNumberFormat="1" applyFont="1" applyFill="1" applyBorder="1" applyAlignment="1">
      <alignment horizontal="center" vertical="center"/>
    </xf>
    <xf numFmtId="3" fontId="27" fillId="5" borderId="10" xfId="0" applyNumberFormat="1" applyFont="1" applyFill="1" applyBorder="1" applyAlignment="1">
      <alignment horizontal="center" vertical="center"/>
    </xf>
    <xf numFmtId="3" fontId="27" fillId="5" borderId="87" xfId="0" applyNumberFormat="1" applyFont="1" applyFill="1" applyBorder="1" applyAlignment="1">
      <alignment horizontal="center" vertical="center"/>
    </xf>
    <xf numFmtId="0" fontId="27" fillId="5" borderId="29" xfId="0" applyFont="1" applyFill="1" applyBorder="1" applyAlignment="1">
      <alignment horizontal="center" vertical="center"/>
    </xf>
    <xf numFmtId="3" fontId="27" fillId="5" borderId="7" xfId="0" applyNumberFormat="1" applyFont="1" applyFill="1" applyBorder="1" applyAlignment="1">
      <alignment horizontal="center" vertical="center"/>
    </xf>
    <xf numFmtId="3" fontId="27" fillId="5" borderId="48" xfId="0" applyNumberFormat="1" applyFont="1" applyFill="1" applyBorder="1" applyAlignment="1">
      <alignment horizontal="center" vertical="center"/>
    </xf>
    <xf numFmtId="9" fontId="16" fillId="5" borderId="30" xfId="1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82" xfId="0" applyFont="1" applyBorder="1" applyAlignment="1">
      <alignment horizontal="center" vertical="center" wrapText="1"/>
    </xf>
    <xf numFmtId="0" fontId="39" fillId="0" borderId="82" xfId="0" applyFont="1" applyBorder="1" applyAlignment="1">
      <alignment wrapText="1"/>
    </xf>
    <xf numFmtId="9" fontId="0" fillId="0" borderId="82" xfId="0" applyNumberFormat="1" applyBorder="1" applyAlignment="1">
      <alignment wrapText="1"/>
    </xf>
    <xf numFmtId="10" fontId="0" fillId="0" borderId="82" xfId="0" applyNumberFormat="1" applyBorder="1" applyAlignment="1">
      <alignment wrapText="1"/>
    </xf>
    <xf numFmtId="9" fontId="16" fillId="0" borderId="77" xfId="1" applyNumberFormat="1" applyFont="1" applyBorder="1" applyAlignment="1">
      <alignment horizontal="center"/>
    </xf>
    <xf numFmtId="9" fontId="16" fillId="0" borderId="35" xfId="1" applyNumberFormat="1" applyFont="1" applyBorder="1" applyAlignment="1">
      <alignment horizontal="center"/>
    </xf>
    <xf numFmtId="3" fontId="16" fillId="4" borderId="21" xfId="0" applyNumberFormat="1" applyFont="1" applyFill="1" applyBorder="1" applyAlignment="1">
      <alignment horizontal="center"/>
    </xf>
    <xf numFmtId="3" fontId="16" fillId="4" borderId="47" xfId="0" applyNumberFormat="1" applyFont="1" applyFill="1" applyBorder="1" applyAlignment="1">
      <alignment horizontal="center"/>
    </xf>
    <xf numFmtId="3" fontId="16" fillId="16" borderId="48" xfId="0" applyNumberFormat="1" applyFont="1" applyFill="1" applyBorder="1" applyAlignment="1">
      <alignment horizontal="center"/>
    </xf>
    <xf numFmtId="3" fontId="16" fillId="0" borderId="7" xfId="0" applyNumberFormat="1" applyFont="1" applyBorder="1" applyAlignment="1">
      <alignment horizontal="center"/>
    </xf>
    <xf numFmtId="3" fontId="16" fillId="0" borderId="10" xfId="0" applyNumberFormat="1" applyFont="1" applyBorder="1"/>
    <xf numFmtId="3" fontId="12" fillId="0" borderId="0" xfId="0" applyNumberFormat="1" applyFont="1" applyFill="1" applyBorder="1" applyAlignment="1">
      <alignment horizontal="center"/>
    </xf>
    <xf numFmtId="3" fontId="25" fillId="7" borderId="9" xfId="72" applyNumberFormat="1" applyFont="1" applyFill="1" applyBorder="1" applyAlignment="1">
      <alignment horizontal="center"/>
    </xf>
    <xf numFmtId="3" fontId="25" fillId="7" borderId="47" xfId="72" applyNumberFormat="1" applyFont="1" applyFill="1" applyBorder="1" applyAlignment="1">
      <alignment horizontal="center"/>
    </xf>
    <xf numFmtId="3" fontId="25" fillId="7" borderId="21" xfId="72" applyNumberFormat="1" applyFont="1" applyFill="1" applyBorder="1" applyAlignment="1">
      <alignment horizontal="center"/>
    </xf>
    <xf numFmtId="3" fontId="25" fillId="7" borderId="4" xfId="72" applyNumberFormat="1" applyFont="1" applyFill="1" applyBorder="1" applyAlignment="1">
      <alignment horizontal="center"/>
    </xf>
    <xf numFmtId="3" fontId="25" fillId="7" borderId="1" xfId="72" applyNumberFormat="1" applyFont="1" applyFill="1" applyBorder="1" applyAlignment="1">
      <alignment horizontal="center"/>
    </xf>
    <xf numFmtId="3" fontId="25" fillId="7" borderId="19" xfId="72" applyNumberFormat="1" applyFont="1" applyFill="1" applyBorder="1" applyAlignment="1">
      <alignment horizontal="center"/>
    </xf>
    <xf numFmtId="3" fontId="25" fillId="7" borderId="0" xfId="72" applyNumberFormat="1" applyFont="1" applyFill="1" applyBorder="1" applyAlignment="1">
      <alignment horizontal="center"/>
    </xf>
    <xf numFmtId="3" fontId="22" fillId="7" borderId="0" xfId="0" applyNumberFormat="1" applyFont="1" applyFill="1" applyBorder="1" applyAlignment="1">
      <alignment horizontal="center"/>
    </xf>
    <xf numFmtId="3" fontId="12" fillId="7" borderId="0" xfId="0" applyNumberFormat="1" applyFont="1" applyFill="1" applyBorder="1" applyAlignment="1">
      <alignment horizontal="center"/>
    </xf>
    <xf numFmtId="4" fontId="16" fillId="0" borderId="45" xfId="0" applyNumberFormat="1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4" fontId="21" fillId="0" borderId="45" xfId="0" applyNumberFormat="1" applyFont="1" applyFill="1" applyBorder="1" applyAlignment="1">
      <alignment horizontal="center"/>
    </xf>
    <xf numFmtId="9" fontId="12" fillId="0" borderId="65" xfId="0" applyNumberFormat="1" applyFont="1" applyFill="1" applyBorder="1" applyAlignment="1">
      <alignment horizontal="center"/>
    </xf>
    <xf numFmtId="3" fontId="16" fillId="0" borderId="66" xfId="0" applyNumberFormat="1" applyFont="1" applyFill="1" applyBorder="1" applyAlignment="1">
      <alignment horizontal="center"/>
    </xf>
    <xf numFmtId="4" fontId="16" fillId="0" borderId="77" xfId="0" applyNumberFormat="1" applyFont="1" applyFill="1" applyBorder="1" applyAlignment="1">
      <alignment horizontal="center"/>
    </xf>
    <xf numFmtId="4" fontId="16" fillId="0" borderId="64" xfId="0" applyNumberFormat="1" applyFont="1" applyFill="1" applyBorder="1" applyAlignment="1">
      <alignment horizontal="center"/>
    </xf>
    <xf numFmtId="2" fontId="16" fillId="0" borderId="27" xfId="0" applyNumberFormat="1" applyFont="1" applyBorder="1"/>
    <xf numFmtId="2" fontId="16" fillId="0" borderId="45" xfId="0" applyNumberFormat="1" applyFont="1" applyBorder="1"/>
    <xf numFmtId="2" fontId="16" fillId="0" borderId="28" xfId="0" applyNumberFormat="1" applyFont="1" applyBorder="1"/>
    <xf numFmtId="3" fontId="16" fillId="0" borderId="45" xfId="0" applyNumberFormat="1" applyFont="1" applyFill="1" applyBorder="1" applyAlignment="1">
      <alignment horizontal="center"/>
    </xf>
    <xf numFmtId="3" fontId="21" fillId="0" borderId="45" xfId="0" applyNumberFormat="1" applyFont="1" applyFill="1" applyBorder="1" applyAlignment="1">
      <alignment horizontal="center"/>
    </xf>
    <xf numFmtId="3" fontId="21" fillId="0" borderId="2" xfId="0" applyNumberFormat="1" applyFont="1" applyFill="1" applyBorder="1" applyAlignment="1">
      <alignment horizontal="center"/>
    </xf>
    <xf numFmtId="3" fontId="21" fillId="5" borderId="2" xfId="0" applyNumberFormat="1" applyFont="1" applyFill="1" applyBorder="1" applyAlignment="1">
      <alignment horizontal="center"/>
    </xf>
    <xf numFmtId="3" fontId="21" fillId="5" borderId="72" xfId="0" applyNumberFormat="1" applyFont="1" applyFill="1" applyBorder="1" applyAlignment="1">
      <alignment horizontal="center"/>
    </xf>
    <xf numFmtId="3" fontId="21" fillId="5" borderId="27" xfId="0" applyNumberFormat="1" applyFont="1" applyFill="1" applyBorder="1" applyAlignment="1">
      <alignment horizontal="center"/>
    </xf>
    <xf numFmtId="3" fontId="27" fillId="0" borderId="27" xfId="0" applyNumberFormat="1" applyFont="1" applyFill="1" applyBorder="1" applyAlignment="1">
      <alignment horizontal="center"/>
    </xf>
    <xf numFmtId="3" fontId="25" fillId="0" borderId="45" xfId="0" applyNumberFormat="1" applyFont="1" applyFill="1" applyBorder="1" applyAlignment="1">
      <alignment horizontal="center"/>
    </xf>
    <xf numFmtId="3" fontId="25" fillId="0" borderId="28" xfId="0" applyNumberFormat="1" applyFont="1" applyFill="1" applyBorder="1" applyAlignment="1">
      <alignment horizontal="center"/>
    </xf>
    <xf numFmtId="4" fontId="25" fillId="0" borderId="45" xfId="0" applyNumberFormat="1" applyFont="1" applyFill="1" applyBorder="1" applyAlignment="1">
      <alignment horizontal="center"/>
    </xf>
    <xf numFmtId="4" fontId="25" fillId="0" borderId="28" xfId="0" applyNumberFormat="1" applyFont="1" applyFill="1" applyBorder="1" applyAlignment="1">
      <alignment horizontal="center"/>
    </xf>
    <xf numFmtId="0" fontId="16" fillId="4" borderId="66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3" fontId="25" fillId="7" borderId="16" xfId="72" applyNumberFormat="1" applyFont="1" applyFill="1" applyBorder="1" applyAlignment="1">
      <alignment horizontal="center"/>
    </xf>
    <xf numFmtId="3" fontId="4" fillId="5" borderId="27" xfId="0" applyNumberFormat="1" applyFont="1" applyFill="1" applyBorder="1" applyAlignment="1">
      <alignment horizontal="center"/>
    </xf>
    <xf numFmtId="3" fontId="21" fillId="8" borderId="27" xfId="0" applyNumberFormat="1" applyFont="1" applyFill="1" applyBorder="1" applyAlignment="1">
      <alignment horizontal="center"/>
    </xf>
    <xf numFmtId="4" fontId="16" fillId="0" borderId="45" xfId="0" applyNumberFormat="1" applyFont="1" applyBorder="1" applyAlignment="1">
      <alignment horizontal="center"/>
    </xf>
    <xf numFmtId="4" fontId="16" fillId="0" borderId="28" xfId="0" applyNumberFormat="1" applyFont="1" applyBorder="1" applyAlignment="1">
      <alignment horizontal="center"/>
    </xf>
    <xf numFmtId="176" fontId="27" fillId="0" borderId="0" xfId="72" applyNumberFormat="1" applyFont="1" applyFill="1" applyBorder="1" applyAlignment="1">
      <alignment horizontal="center" wrapText="1"/>
    </xf>
    <xf numFmtId="3" fontId="27" fillId="8" borderId="27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 wrapText="1"/>
    </xf>
    <xf numFmtId="1" fontId="27" fillId="0" borderId="0" xfId="72" applyNumberFormat="1" applyFont="1" applyFill="1" applyBorder="1" applyAlignment="1">
      <alignment horizontal="center" wrapText="1"/>
    </xf>
    <xf numFmtId="1" fontId="12" fillId="0" borderId="0" xfId="0" applyNumberFormat="1" applyFont="1" applyFill="1" applyBorder="1" applyAlignment="1">
      <alignment horizontal="center" wrapText="1"/>
    </xf>
    <xf numFmtId="1" fontId="21" fillId="4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3" fontId="21" fillId="8" borderId="27" xfId="72" applyNumberFormat="1" applyFont="1" applyFill="1" applyBorder="1" applyAlignment="1">
      <alignment horizontal="center"/>
    </xf>
    <xf numFmtId="4" fontId="16" fillId="32" borderId="45" xfId="72" applyNumberFormat="1" applyFont="1" applyFill="1" applyBorder="1" applyAlignment="1">
      <alignment horizontal="center"/>
    </xf>
    <xf numFmtId="4" fontId="12" fillId="32" borderId="45" xfId="0" applyNumberFormat="1" applyFont="1" applyFill="1" applyBorder="1" applyAlignment="1">
      <alignment horizontal="center"/>
    </xf>
    <xf numFmtId="4" fontId="12" fillId="32" borderId="28" xfId="0" applyNumberFormat="1" applyFont="1" applyFill="1" applyBorder="1" applyAlignment="1">
      <alignment horizontal="center"/>
    </xf>
    <xf numFmtId="4" fontId="16" fillId="32" borderId="28" xfId="0" applyNumberFormat="1" applyFont="1" applyFill="1" applyBorder="1" applyAlignment="1">
      <alignment horizontal="center"/>
    </xf>
    <xf numFmtId="3" fontId="21" fillId="8" borderId="2" xfId="0" applyNumberFormat="1" applyFont="1" applyFill="1" applyBorder="1" applyAlignment="1">
      <alignment horizontal="center"/>
    </xf>
    <xf numFmtId="3" fontId="27" fillId="5" borderId="27" xfId="0" applyNumberFormat="1" applyFont="1" applyFill="1" applyBorder="1" applyAlignment="1">
      <alignment horizontal="center"/>
    </xf>
    <xf numFmtId="3" fontId="12" fillId="7" borderId="45" xfId="0" applyNumberFormat="1" applyFont="1" applyFill="1" applyBorder="1" applyAlignment="1">
      <alignment horizontal="center"/>
    </xf>
    <xf numFmtId="3" fontId="16" fillId="7" borderId="28" xfId="0" applyNumberFormat="1" applyFont="1" applyFill="1" applyBorder="1" applyAlignment="1">
      <alignment horizontal="center"/>
    </xf>
    <xf numFmtId="0" fontId="0" fillId="0" borderId="35" xfId="0" applyBorder="1" applyAlignment="1">
      <alignment vertical="center"/>
    </xf>
    <xf numFmtId="0" fontId="21" fillId="8" borderId="69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8" borderId="11" xfId="0" applyFont="1" applyFill="1" applyBorder="1"/>
    <xf numFmtId="2" fontId="5" fillId="8" borderId="29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21" fillId="0" borderId="4" xfId="0" applyFont="1" applyFill="1" applyBorder="1" applyAlignment="1">
      <alignment horizontal="left"/>
    </xf>
    <xf numFmtId="0" fontId="21" fillId="0" borderId="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>
      <alignment horizontal="center"/>
    </xf>
    <xf numFmtId="3" fontId="16" fillId="0" borderId="7" xfId="0" applyNumberFormat="1" applyFont="1" applyFill="1" applyBorder="1" applyAlignment="1">
      <alignment horizontal="center"/>
    </xf>
    <xf numFmtId="0" fontId="21" fillId="0" borderId="4" xfId="0" applyFont="1" applyFill="1" applyBorder="1"/>
    <xf numFmtId="4" fontId="16" fillId="0" borderId="5" xfId="0" applyNumberFormat="1" applyFont="1" applyBorder="1" applyAlignment="1">
      <alignment horizontal="center"/>
    </xf>
    <xf numFmtId="3" fontId="16" fillId="0" borderId="10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2" fillId="5" borderId="25" xfId="0" applyFont="1" applyFill="1" applyBorder="1" applyAlignment="1">
      <alignment vertical="center"/>
    </xf>
    <xf numFmtId="0" fontId="12" fillId="5" borderId="2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7" fillId="0" borderId="0" xfId="0" applyFont="1" applyAlignment="1">
      <alignment vertical="center"/>
    </xf>
    <xf numFmtId="0" fontId="12" fillId="0" borderId="75" xfId="0" applyFont="1" applyBorder="1" applyAlignment="1">
      <alignment horizontal="left" vertical="center"/>
    </xf>
    <xf numFmtId="0" fontId="12" fillId="0" borderId="31" xfId="0" applyFont="1" applyBorder="1" applyAlignment="1">
      <alignment vertical="center"/>
    </xf>
    <xf numFmtId="0" fontId="37" fillId="0" borderId="0" xfId="0" applyFont="1" applyAlignment="1">
      <alignment horizontal="right" vertical="center"/>
    </xf>
    <xf numFmtId="0" fontId="0" fillId="0" borderId="46" xfId="0" applyBorder="1" applyAlignment="1">
      <alignment vertical="center"/>
    </xf>
    <xf numFmtId="0" fontId="37" fillId="0" borderId="46" xfId="0" applyFont="1" applyBorder="1" applyAlignment="1">
      <alignment vertical="center"/>
    </xf>
    <xf numFmtId="0" fontId="37" fillId="0" borderId="63" xfId="0" applyFont="1" applyBorder="1" applyAlignment="1">
      <alignment vertical="center"/>
    </xf>
    <xf numFmtId="0" fontId="37" fillId="0" borderId="15" xfId="0" applyFont="1" applyBorder="1" applyAlignment="1">
      <alignment vertical="center"/>
    </xf>
    <xf numFmtId="0" fontId="37" fillId="0" borderId="81" xfId="0" applyFont="1" applyBorder="1" applyAlignment="1">
      <alignment horizontal="center" vertical="center"/>
    </xf>
    <xf numFmtId="0" fontId="37" fillId="0" borderId="44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33" borderId="15" xfId="0" applyFont="1" applyFill="1" applyBorder="1" applyAlignment="1">
      <alignment vertical="center"/>
    </xf>
    <xf numFmtId="1" fontId="37" fillId="33" borderId="81" xfId="0" applyNumberFormat="1" applyFont="1" applyFill="1" applyBorder="1" applyAlignment="1">
      <alignment horizontal="center" vertical="center"/>
    </xf>
    <xf numFmtId="0" fontId="37" fillId="33" borderId="44" xfId="0" applyFont="1" applyFill="1" applyBorder="1" applyAlignment="1">
      <alignment vertical="center"/>
    </xf>
    <xf numFmtId="0" fontId="12" fillId="19" borderId="61" xfId="0" applyFont="1" applyFill="1" applyBorder="1" applyAlignment="1">
      <alignment vertical="center"/>
    </xf>
    <xf numFmtId="0" fontId="12" fillId="19" borderId="61" xfId="0" applyFont="1" applyFill="1" applyBorder="1" applyAlignment="1">
      <alignment horizontal="center" vertical="center"/>
    </xf>
    <xf numFmtId="0" fontId="37" fillId="19" borderId="0" xfId="0" applyFont="1" applyFill="1" applyAlignment="1">
      <alignment horizontal="center" vertical="center"/>
    </xf>
    <xf numFmtId="0" fontId="37" fillId="19" borderId="52" xfId="0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5" xfId="0" applyFont="1" applyBorder="1" applyAlignment="1">
      <alignment horizontal="center" vertical="center"/>
    </xf>
    <xf numFmtId="0" fontId="37" fillId="19" borderId="49" xfId="0" applyFont="1" applyFill="1" applyBorder="1" applyAlignment="1">
      <alignment horizontal="center" vertical="center"/>
    </xf>
    <xf numFmtId="0" fontId="37" fillId="19" borderId="78" xfId="0" applyFont="1" applyFill="1" applyBorder="1" applyAlignment="1">
      <alignment horizontal="center" vertical="center"/>
    </xf>
    <xf numFmtId="0" fontId="12" fillId="19" borderId="78" xfId="0" applyFont="1" applyFill="1" applyBorder="1" applyAlignment="1">
      <alignment horizontal="center" vertical="center"/>
    </xf>
    <xf numFmtId="0" fontId="12" fillId="19" borderId="52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75" xfId="0" applyFont="1" applyBorder="1" applyAlignment="1">
      <alignment vertical="center"/>
    </xf>
    <xf numFmtId="0" fontId="0" fillId="0" borderId="75" xfId="0" applyBorder="1" applyAlignment="1">
      <alignment horizontal="center" vertical="center"/>
    </xf>
    <xf numFmtId="0" fontId="37" fillId="0" borderId="75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3" fontId="12" fillId="19" borderId="31" xfId="0" applyNumberFormat="1" applyFont="1" applyFill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37" fillId="0" borderId="63" xfId="0" applyFont="1" applyBorder="1" applyAlignment="1">
      <alignment horizontal="center" vertical="center"/>
    </xf>
    <xf numFmtId="0" fontId="37" fillId="0" borderId="79" xfId="0" applyFont="1" applyBorder="1" applyAlignment="1">
      <alignment horizontal="center" vertical="center"/>
    </xf>
    <xf numFmtId="0" fontId="12" fillId="19" borderId="63" xfId="0" applyFont="1" applyFill="1" applyBorder="1" applyAlignment="1">
      <alignment horizontal="center" vertical="center"/>
    </xf>
    <xf numFmtId="3" fontId="12" fillId="19" borderId="71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81" xfId="0" applyFont="1" applyBorder="1" applyAlignment="1">
      <alignment vertical="center"/>
    </xf>
    <xf numFmtId="0" fontId="37" fillId="0" borderId="43" xfId="0" applyFont="1" applyBorder="1" applyAlignment="1">
      <alignment horizontal="center" vertical="center"/>
    </xf>
    <xf numFmtId="0" fontId="12" fillId="19" borderId="81" xfId="0" applyFont="1" applyFill="1" applyBorder="1" applyAlignment="1">
      <alignment horizontal="center" vertical="center"/>
    </xf>
    <xf numFmtId="3" fontId="12" fillId="19" borderId="44" xfId="0" applyNumberFormat="1" applyFont="1" applyFill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58" xfId="0" applyFont="1" applyBorder="1" applyAlignment="1">
      <alignment vertical="center"/>
    </xf>
    <xf numFmtId="0" fontId="37" fillId="0" borderId="58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76" xfId="0" applyFont="1" applyBorder="1" applyAlignment="1">
      <alignment vertical="center"/>
    </xf>
    <xf numFmtId="0" fontId="37" fillId="0" borderId="76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3" fontId="37" fillId="0" borderId="0" xfId="0" applyNumberFormat="1" applyFont="1" applyAlignment="1">
      <alignment horizontal="center" vertical="center"/>
    </xf>
    <xf numFmtId="0" fontId="12" fillId="19" borderId="25" xfId="0" applyFont="1" applyFill="1" applyBorder="1" applyAlignment="1">
      <alignment vertical="center"/>
    </xf>
    <xf numFmtId="0" fontId="12" fillId="19" borderId="55" xfId="0" applyFont="1" applyFill="1" applyBorder="1" applyAlignment="1">
      <alignment horizontal="center" vertical="center"/>
    </xf>
    <xf numFmtId="0" fontId="37" fillId="19" borderId="3" xfId="0" applyFont="1" applyFill="1" applyBorder="1" applyAlignment="1">
      <alignment vertical="center"/>
    </xf>
    <xf numFmtId="3" fontId="37" fillId="19" borderId="75" xfId="0" applyNumberFormat="1" applyFont="1" applyFill="1" applyBorder="1" applyAlignment="1">
      <alignment vertical="center"/>
    </xf>
    <xf numFmtId="3" fontId="37" fillId="19" borderId="31" xfId="0" applyNumberFormat="1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3" fontId="12" fillId="0" borderId="75" xfId="0" applyNumberFormat="1" applyFont="1" applyBorder="1" applyAlignment="1">
      <alignment vertical="center"/>
    </xf>
    <xf numFmtId="3" fontId="12" fillId="0" borderId="31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3" fontId="40" fillId="0" borderId="81" xfId="0" applyNumberFormat="1" applyFont="1" applyBorder="1" applyAlignment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0" fontId="0" fillId="0" borderId="33" xfId="0" applyBorder="1" applyAlignment="1">
      <alignment vertical="center"/>
    </xf>
    <xf numFmtId="0" fontId="0" fillId="0" borderId="68" xfId="0" applyBorder="1" applyAlignment="1">
      <alignment vertical="center"/>
    </xf>
    <xf numFmtId="0" fontId="12" fillId="14" borderId="94" xfId="0" applyFont="1" applyFill="1" applyBorder="1" applyAlignment="1">
      <alignment horizontal="center" vertical="center"/>
    </xf>
    <xf numFmtId="0" fontId="0" fillId="0" borderId="95" xfId="0" applyBorder="1" applyAlignment="1">
      <alignment vertical="center"/>
    </xf>
    <xf numFmtId="0" fontId="0" fillId="0" borderId="96" xfId="0" applyBorder="1" applyAlignment="1">
      <alignment vertical="center"/>
    </xf>
    <xf numFmtId="0" fontId="0" fillId="0" borderId="97" xfId="0" applyBorder="1" applyAlignment="1">
      <alignment vertical="center"/>
    </xf>
    <xf numFmtId="0" fontId="0" fillId="0" borderId="91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99" xfId="0" applyBorder="1" applyAlignment="1">
      <alignment horizontal="center" vertical="center"/>
    </xf>
    <xf numFmtId="0" fontId="0" fillId="0" borderId="86" xfId="0" applyBorder="1" applyAlignment="1">
      <alignment vertical="center"/>
    </xf>
    <xf numFmtId="0" fontId="0" fillId="0" borderId="100" xfId="0" applyFill="1" applyBorder="1" applyAlignment="1">
      <alignment horizontal="center" vertical="center"/>
    </xf>
    <xf numFmtId="0" fontId="0" fillId="0" borderId="101" xfId="0" applyBorder="1" applyAlignment="1">
      <alignment vertical="center"/>
    </xf>
    <xf numFmtId="0" fontId="0" fillId="0" borderId="102" xfId="0" applyBorder="1" applyAlignment="1">
      <alignment vertical="center"/>
    </xf>
    <xf numFmtId="0" fontId="0" fillId="5" borderId="58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103" xfId="0" applyFill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23" fillId="5" borderId="3" xfId="0" applyFon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3" fontId="0" fillId="8" borderId="5" xfId="0" applyNumberForma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8" borderId="105" xfId="0" applyNumberForma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3" fontId="0" fillId="5" borderId="6" xfId="0" applyNumberFormat="1" applyFill="1" applyBorder="1" applyAlignment="1">
      <alignment horizontal="center" vertical="center"/>
    </xf>
    <xf numFmtId="3" fontId="0" fillId="8" borderId="7" xfId="0" applyNumberFormat="1" applyFill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8" borderId="10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23" fillId="5" borderId="15" xfId="0" applyFont="1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3" fontId="0" fillId="5" borderId="107" xfId="0" applyNumberFormat="1" applyFill="1" applyBorder="1" applyAlignment="1">
      <alignment horizontal="center" vertical="center"/>
    </xf>
    <xf numFmtId="3" fontId="0" fillId="8" borderId="108" xfId="0" applyNumberForma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3" fontId="0" fillId="6" borderId="107" xfId="0" applyNumberFormat="1" applyFill="1" applyBorder="1" applyAlignment="1">
      <alignment horizontal="center" vertical="center"/>
    </xf>
    <xf numFmtId="3" fontId="0" fillId="8" borderId="110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3" fontId="12" fillId="6" borderId="0" xfId="0" applyNumberFormat="1" applyFont="1" applyFill="1" applyAlignment="1">
      <alignment horizontal="center" vertical="center"/>
    </xf>
    <xf numFmtId="3" fontId="12" fillId="8" borderId="0" xfId="0" applyNumberFormat="1" applyFont="1" applyFill="1" applyAlignment="1">
      <alignment horizontal="center" vertical="center"/>
    </xf>
    <xf numFmtId="0" fontId="0" fillId="0" borderId="111" xfId="0" applyBorder="1" applyAlignment="1">
      <alignment vertical="center"/>
    </xf>
    <xf numFmtId="0" fontId="0" fillId="0" borderId="112" xfId="0" applyBorder="1" applyAlignment="1">
      <alignment horizontal="center" vertical="center"/>
    </xf>
    <xf numFmtId="0" fontId="0" fillId="0" borderId="113" xfId="0" applyBorder="1" applyAlignment="1">
      <alignment vertical="center"/>
    </xf>
    <xf numFmtId="0" fontId="0" fillId="0" borderId="114" xfId="0" applyBorder="1" applyAlignment="1">
      <alignment vertical="center"/>
    </xf>
    <xf numFmtId="0" fontId="0" fillId="0" borderId="56" xfId="0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5" borderId="81" xfId="0" applyFont="1" applyFill="1" applyBorder="1" applyAlignment="1">
      <alignment horizontal="center" vertical="center"/>
    </xf>
    <xf numFmtId="0" fontId="0" fillId="31" borderId="42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1" borderId="115" xfId="0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31" borderId="68" xfId="0" applyFill="1" applyBorder="1" applyAlignment="1">
      <alignment horizontal="center" vertical="center"/>
    </xf>
    <xf numFmtId="3" fontId="0" fillId="5" borderId="46" xfId="0" applyNumberFormat="1" applyFill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3" fontId="0" fillId="6" borderId="63" xfId="0" applyNumberFormat="1" applyFill="1" applyBorder="1" applyAlignment="1">
      <alignment horizontal="center" vertical="center"/>
    </xf>
    <xf numFmtId="3" fontId="0" fillId="31" borderId="117" xfId="0" applyNumberForma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1" borderId="35" xfId="0" applyFill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3" fontId="0" fillId="6" borderId="73" xfId="0" applyNumberFormat="1" applyFill="1" applyBorder="1" applyAlignment="1">
      <alignment horizontal="center" vertical="center"/>
    </xf>
    <xf numFmtId="3" fontId="0" fillId="31" borderId="101" xfId="0" applyNumberFormat="1" applyFill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08" xfId="0" applyBorder="1" applyAlignment="1">
      <alignment vertical="center"/>
    </xf>
    <xf numFmtId="0" fontId="0" fillId="5" borderId="119" xfId="0" applyFill="1" applyBorder="1" applyAlignment="1">
      <alignment horizontal="center" vertical="center"/>
    </xf>
    <xf numFmtId="0" fontId="0" fillId="31" borderId="120" xfId="0" applyFill="1" applyBorder="1" applyAlignment="1">
      <alignment horizontal="center" vertical="center"/>
    </xf>
    <xf numFmtId="0" fontId="23" fillId="0" borderId="121" xfId="0" applyFont="1" applyBorder="1" applyAlignment="1">
      <alignment horizontal="center" vertical="center"/>
    </xf>
    <xf numFmtId="3" fontId="0" fillId="6" borderId="122" xfId="0" applyNumberFormat="1" applyFill="1" applyBorder="1" applyAlignment="1">
      <alignment horizontal="center" vertical="center"/>
    </xf>
    <xf numFmtId="3" fontId="0" fillId="31" borderId="123" xfId="0" applyNumberFormat="1" applyFill="1" applyBorder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7" xfId="0" applyFill="1" applyBorder="1" applyAlignment="1">
      <alignment horizontal="center" vertical="center"/>
    </xf>
    <xf numFmtId="0" fontId="37" fillId="19" borderId="54" xfId="0" applyFont="1" applyFill="1" applyBorder="1" applyAlignment="1">
      <alignment horizontal="center" vertical="center"/>
    </xf>
    <xf numFmtId="0" fontId="37" fillId="19" borderId="17" xfId="0" applyFont="1" applyFill="1" applyBorder="1" applyAlignment="1">
      <alignment horizontal="center" vertical="center"/>
    </xf>
    <xf numFmtId="0" fontId="37" fillId="5" borderId="17" xfId="0" applyFont="1" applyFill="1" applyBorder="1" applyAlignment="1">
      <alignment horizontal="center" vertical="center"/>
    </xf>
    <xf numFmtId="0" fontId="35" fillId="0" borderId="16" xfId="0" applyFont="1" applyBorder="1"/>
    <xf numFmtId="0" fontId="35" fillId="0" borderId="1" xfId="0" applyFont="1" applyFill="1" applyBorder="1"/>
    <xf numFmtId="0" fontId="16" fillId="0" borderId="1" xfId="0" applyFont="1" applyFill="1" applyBorder="1" applyAlignment="1">
      <alignment horizontal="left" vertical="center" wrapText="1"/>
    </xf>
    <xf numFmtId="0" fontId="16" fillId="0" borderId="27" xfId="0" applyFont="1" applyBorder="1"/>
    <xf numFmtId="0" fontId="18" fillId="0" borderId="0" xfId="0" applyFont="1" applyFill="1" applyBorder="1" applyAlignment="1">
      <alignment horizontal="center" vertical="center" wrapText="1"/>
    </xf>
    <xf numFmtId="0" fontId="0" fillId="8" borderId="6" xfId="0" applyFont="1" applyFill="1" applyBorder="1"/>
    <xf numFmtId="0" fontId="22" fillId="0" borderId="6" xfId="0" applyFont="1" applyFill="1" applyBorder="1"/>
    <xf numFmtId="0" fontId="0" fillId="13" borderId="6" xfId="0" applyFont="1" applyFill="1" applyBorder="1"/>
    <xf numFmtId="0" fontId="0" fillId="8" borderId="6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22" fillId="0" borderId="0" xfId="0" applyFont="1" applyBorder="1"/>
    <xf numFmtId="0" fontId="0" fillId="25" borderId="73" xfId="0" applyFont="1" applyFill="1" applyBorder="1"/>
    <xf numFmtId="0" fontId="13" fillId="24" borderId="1" xfId="73" applyFont="1" applyFill="1" applyBorder="1"/>
    <xf numFmtId="0" fontId="0" fillId="21" borderId="0" xfId="0" applyFont="1" applyFill="1" applyBorder="1"/>
    <xf numFmtId="0" fontId="0" fillId="21" borderId="4" xfId="0" applyFont="1" applyFill="1" applyBorder="1"/>
    <xf numFmtId="0" fontId="1" fillId="0" borderId="1" xfId="0" applyFont="1" applyBorder="1"/>
    <xf numFmtId="0" fontId="0" fillId="3" borderId="0" xfId="0" applyFont="1" applyFill="1" applyBorder="1"/>
    <xf numFmtId="0" fontId="0" fillId="0" borderId="73" xfId="0" applyFont="1" applyFill="1" applyBorder="1"/>
    <xf numFmtId="0" fontId="0" fillId="23" borderId="8" xfId="0" applyFont="1" applyFill="1" applyBorder="1"/>
    <xf numFmtId="0" fontId="22" fillId="23" borderId="74" xfId="0" applyFont="1" applyFill="1" applyBorder="1"/>
    <xf numFmtId="3" fontId="0" fillId="0" borderId="3" xfId="0" applyNumberFormat="1" applyFont="1" applyBorder="1" applyAlignment="1">
      <alignment horizontal="center"/>
    </xf>
    <xf numFmtId="3" fontId="12" fillId="0" borderId="4" xfId="0" applyNumberFormat="1" applyFont="1" applyBorder="1" applyAlignment="1">
      <alignment horizontal="center" vertical="center"/>
    </xf>
    <xf numFmtId="3" fontId="0" fillId="5" borderId="0" xfId="0" applyNumberFormat="1" applyFont="1" applyFill="1" applyBorder="1" applyAlignment="1">
      <alignment horizontal="center"/>
    </xf>
    <xf numFmtId="3" fontId="0" fillId="8" borderId="0" xfId="0" applyNumberFormat="1" applyFont="1" applyFill="1" applyBorder="1" applyAlignment="1">
      <alignment horizontal="center"/>
    </xf>
    <xf numFmtId="0" fontId="28" fillId="0" borderId="16" xfId="0" applyFont="1" applyFill="1" applyBorder="1"/>
    <xf numFmtId="3" fontId="16" fillId="0" borderId="42" xfId="0" applyNumberFormat="1" applyFont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3" fontId="16" fillId="0" borderId="48" xfId="0" applyNumberFormat="1" applyFont="1" applyFill="1" applyBorder="1" applyAlignment="1">
      <alignment horizontal="center"/>
    </xf>
    <xf numFmtId="3" fontId="16" fillId="0" borderId="10" xfId="0" applyNumberFormat="1" applyFont="1" applyFill="1" applyBorder="1" applyAlignment="1">
      <alignment horizontal="center"/>
    </xf>
    <xf numFmtId="3" fontId="16" fillId="0" borderId="13" xfId="0" applyNumberFormat="1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6" xfId="0" applyFont="1" applyFill="1" applyBorder="1"/>
    <xf numFmtId="0" fontId="21" fillId="8" borderId="59" xfId="0" applyFont="1" applyFill="1" applyBorder="1" applyAlignment="1">
      <alignment horizontal="center" vertical="center"/>
    </xf>
    <xf numFmtId="0" fontId="18" fillId="0" borderId="33" xfId="0" applyFont="1" applyBorder="1"/>
    <xf numFmtId="0" fontId="18" fillId="0" borderId="35" xfId="0" applyFont="1" applyBorder="1"/>
    <xf numFmtId="0" fontId="18" fillId="0" borderId="12" xfId="0" applyFont="1" applyBorder="1"/>
    <xf numFmtId="0" fontId="21" fillId="8" borderId="18" xfId="0" applyFont="1" applyFill="1" applyBorder="1" applyAlignment="1">
      <alignment horizontal="right"/>
    </xf>
    <xf numFmtId="9" fontId="16" fillId="0" borderId="3" xfId="0" applyNumberFormat="1" applyFont="1" applyBorder="1" applyAlignment="1">
      <alignment horizontal="center"/>
    </xf>
    <xf numFmtId="9" fontId="16" fillId="0" borderId="6" xfId="0" applyNumberFormat="1" applyFont="1" applyBorder="1" applyAlignment="1">
      <alignment horizontal="center"/>
    </xf>
    <xf numFmtId="9" fontId="16" fillId="0" borderId="8" xfId="0" applyNumberFormat="1" applyFont="1" applyBorder="1" applyAlignment="1">
      <alignment horizontal="center"/>
    </xf>
    <xf numFmtId="0" fontId="21" fillId="8" borderId="33" xfId="0" applyFont="1" applyFill="1" applyBorder="1" applyAlignment="1">
      <alignment horizontal="center"/>
    </xf>
    <xf numFmtId="0" fontId="18" fillId="0" borderId="35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21" fillId="0" borderId="33" xfId="0" applyFont="1" applyBorder="1" applyAlignment="1">
      <alignment horizontal="right" vertical="center"/>
    </xf>
    <xf numFmtId="0" fontId="21" fillId="0" borderId="35" xfId="0" applyFont="1" applyBorder="1" applyAlignment="1">
      <alignment horizontal="right" vertical="center"/>
    </xf>
    <xf numFmtId="0" fontId="21" fillId="8" borderId="12" xfId="0" applyFont="1" applyFill="1" applyBorder="1" applyAlignment="1">
      <alignment horizontal="right" vertical="center" wrapText="1"/>
    </xf>
    <xf numFmtId="1" fontId="16" fillId="0" borderId="7" xfId="0" applyNumberFormat="1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16" fillId="8" borderId="35" xfId="0" applyFont="1" applyFill="1" applyBorder="1" applyAlignment="1">
      <alignment vertical="center" wrapText="1"/>
    </xf>
    <xf numFmtId="0" fontId="16" fillId="8" borderId="12" xfId="0" applyFont="1" applyFill="1" applyBorder="1" applyAlignment="1">
      <alignment vertical="center" wrapText="1"/>
    </xf>
    <xf numFmtId="166" fontId="21" fillId="0" borderId="26" xfId="0" applyNumberFormat="1" applyFont="1" applyBorder="1" applyAlignment="1">
      <alignment horizontal="center" vertical="center"/>
    </xf>
    <xf numFmtId="0" fontId="17" fillId="8" borderId="14" xfId="0" applyFont="1" applyFill="1" applyBorder="1"/>
    <xf numFmtId="2" fontId="16" fillId="0" borderId="13" xfId="0" applyNumberFormat="1" applyFont="1" applyFill="1" applyBorder="1" applyAlignment="1">
      <alignment horizontal="center"/>
    </xf>
    <xf numFmtId="3" fontId="21" fillId="0" borderId="18" xfId="0" applyNumberFormat="1" applyFont="1" applyFill="1" applyBorder="1" applyAlignment="1">
      <alignment horizontal="center"/>
    </xf>
    <xf numFmtId="172" fontId="27" fillId="0" borderId="60" xfId="0" applyNumberFormat="1" applyFont="1" applyFill="1" applyBorder="1" applyAlignment="1">
      <alignment horizontal="center" vertical="center" wrapText="1"/>
    </xf>
    <xf numFmtId="166" fontId="29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6" fontId="21" fillId="8" borderId="51" xfId="0" applyNumberFormat="1" applyFont="1" applyFill="1" applyBorder="1" applyAlignment="1">
      <alignment horizontal="center"/>
    </xf>
    <xf numFmtId="166" fontId="28" fillId="0" borderId="5" xfId="0" applyNumberFormat="1" applyFont="1" applyBorder="1" applyAlignment="1">
      <alignment horizontal="center"/>
    </xf>
    <xf numFmtId="166" fontId="16" fillId="0" borderId="7" xfId="0" applyNumberFormat="1" applyFont="1" applyBorder="1" applyAlignment="1">
      <alignment horizontal="center"/>
    </xf>
    <xf numFmtId="166" fontId="16" fillId="0" borderId="10" xfId="0" applyNumberFormat="1" applyFont="1" applyBorder="1" applyAlignment="1">
      <alignment horizontal="center"/>
    </xf>
    <xf numFmtId="166" fontId="16" fillId="0" borderId="5" xfId="0" applyNumberFormat="1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166" fontId="16" fillId="0" borderId="7" xfId="0" applyNumberFormat="1" applyFont="1" applyFill="1" applyBorder="1" applyAlignment="1">
      <alignment horizontal="center" vertical="center"/>
    </xf>
    <xf numFmtId="166" fontId="16" fillId="0" borderId="10" xfId="0" applyNumberFormat="1" applyFont="1" applyFill="1" applyBorder="1" applyAlignment="1">
      <alignment horizontal="center" vertical="center"/>
    </xf>
    <xf numFmtId="166" fontId="21" fillId="8" borderId="60" xfId="0" applyNumberFormat="1" applyFont="1" applyFill="1" applyBorder="1" applyAlignment="1">
      <alignment horizontal="center"/>
    </xf>
    <xf numFmtId="166" fontId="16" fillId="0" borderId="48" xfId="0" applyNumberFormat="1" applyFont="1" applyFill="1" applyBorder="1" applyAlignment="1">
      <alignment horizontal="center"/>
    </xf>
    <xf numFmtId="166" fontId="21" fillId="8" borderId="52" xfId="0" applyNumberFormat="1" applyFont="1" applyFill="1" applyBorder="1" applyAlignment="1">
      <alignment horizontal="center"/>
    </xf>
    <xf numFmtId="166" fontId="28" fillId="0" borderId="10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66" fontId="25" fillId="0" borderId="5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1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4" fillId="5" borderId="4" xfId="0" applyNumberFormat="1" applyFont="1" applyFill="1" applyBorder="1" applyAlignment="1">
      <alignment horizontal="center" vertical="center"/>
    </xf>
    <xf numFmtId="0" fontId="12" fillId="19" borderId="75" xfId="0" applyFont="1" applyFill="1" applyBorder="1" applyAlignment="1">
      <alignment horizontal="center" vertical="center"/>
    </xf>
    <xf numFmtId="0" fontId="27" fillId="5" borderId="22" xfId="0" applyFont="1" applyFill="1" applyBorder="1" applyAlignment="1">
      <alignment horizontal="center"/>
    </xf>
    <xf numFmtId="0" fontId="27" fillId="5" borderId="19" xfId="0" applyFont="1" applyFill="1" applyBorder="1"/>
    <xf numFmtId="0" fontId="27" fillId="5" borderId="3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right" vertical="center"/>
    </xf>
    <xf numFmtId="1" fontId="29" fillId="5" borderId="68" xfId="0" applyNumberFormat="1" applyFont="1" applyFill="1" applyBorder="1" applyAlignment="1">
      <alignment horizontal="center"/>
    </xf>
    <xf numFmtId="2" fontId="29" fillId="5" borderId="7" xfId="0" applyNumberFormat="1" applyFont="1" applyFill="1" applyBorder="1" applyAlignment="1">
      <alignment horizontal="center"/>
    </xf>
    <xf numFmtId="1" fontId="16" fillId="4" borderId="0" xfId="72" applyNumberFormat="1" applyFont="1" applyFill="1" applyBorder="1" applyAlignment="1">
      <alignment horizontal="center"/>
    </xf>
    <xf numFmtId="1" fontId="21" fillId="0" borderId="20" xfId="0" applyNumberFormat="1" applyFont="1" applyFill="1" applyBorder="1" applyAlignment="1">
      <alignment horizontal="center"/>
    </xf>
    <xf numFmtId="0" fontId="0" fillId="0" borderId="35" xfId="0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3" fontId="12" fillId="5" borderId="5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0" xfId="0" applyFont="1" applyFill="1"/>
    <xf numFmtId="0" fontId="16" fillId="0" borderId="65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16" fillId="0" borderId="43" xfId="0" applyFont="1" applyBorder="1" applyAlignment="1">
      <alignment vertical="center"/>
    </xf>
    <xf numFmtId="0" fontId="0" fillId="0" borderId="43" xfId="0" applyBorder="1"/>
    <xf numFmtId="0" fontId="16" fillId="0" borderId="65" xfId="0" applyFont="1" applyBorder="1"/>
    <xf numFmtId="0" fontId="16" fillId="0" borderId="60" xfId="0" applyFont="1" applyBorder="1"/>
    <xf numFmtId="0" fontId="16" fillId="0" borderId="11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81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6" fillId="0" borderId="7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65" xfId="0" applyFont="1" applyBorder="1" applyAlignment="1">
      <alignment horizontal="center"/>
    </xf>
    <xf numFmtId="0" fontId="43" fillId="0" borderId="43" xfId="0" applyFont="1" applyBorder="1" applyAlignment="1">
      <alignment horizontal="center"/>
    </xf>
    <xf numFmtId="0" fontId="42" fillId="0" borderId="43" xfId="0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9" fontId="16" fillId="5" borderId="58" xfId="1" applyNumberFormat="1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65" xfId="0" applyFont="1" applyFill="1" applyBorder="1" applyAlignment="1">
      <alignment horizontal="center" vertical="center"/>
    </xf>
    <xf numFmtId="0" fontId="16" fillId="0" borderId="61" xfId="0" applyFont="1" applyBorder="1"/>
    <xf numFmtId="0" fontId="16" fillId="0" borderId="2" xfId="0" applyFont="1" applyBorder="1" applyAlignment="1">
      <alignment horizontal="center"/>
    </xf>
    <xf numFmtId="0" fontId="16" fillId="0" borderId="43" xfId="0" applyFont="1" applyBorder="1"/>
    <xf numFmtId="0" fontId="18" fillId="0" borderId="43" xfId="0" applyFont="1" applyBorder="1" applyAlignment="1">
      <alignment horizontal="center"/>
    </xf>
    <xf numFmtId="9" fontId="16" fillId="5" borderId="19" xfId="1" applyNumberFormat="1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3" fontId="16" fillId="0" borderId="2" xfId="0" applyNumberFormat="1" applyFont="1" applyBorder="1" applyAlignment="1">
      <alignment horizontal="center" vertical="center"/>
    </xf>
    <xf numFmtId="166" fontId="16" fillId="34" borderId="75" xfId="0" applyNumberFormat="1" applyFont="1" applyFill="1" applyBorder="1" applyAlignment="1">
      <alignment horizontal="center" vertical="center"/>
    </xf>
    <xf numFmtId="166" fontId="16" fillId="34" borderId="1" xfId="0" applyNumberFormat="1" applyFont="1" applyFill="1" applyBorder="1" applyAlignment="1">
      <alignment horizontal="center" vertical="center"/>
    </xf>
    <xf numFmtId="166" fontId="16" fillId="34" borderId="37" xfId="0" applyNumberFormat="1" applyFont="1" applyFill="1" applyBorder="1" applyAlignment="1">
      <alignment horizontal="center" vertical="center"/>
    </xf>
    <xf numFmtId="166" fontId="33" fillId="34" borderId="1" xfId="0" applyNumberFormat="1" applyFont="1" applyFill="1" applyBorder="1" applyAlignment="1">
      <alignment vertical="center" wrapText="1"/>
    </xf>
    <xf numFmtId="9" fontId="16" fillId="5" borderId="54" xfId="1" applyNumberFormat="1" applyFont="1" applyFill="1" applyBorder="1" applyAlignment="1">
      <alignment horizontal="center" vertical="center"/>
    </xf>
    <xf numFmtId="0" fontId="21" fillId="5" borderId="42" xfId="0" applyFont="1" applyFill="1" applyBorder="1" applyAlignment="1">
      <alignment horizontal="right" vertical="center"/>
    </xf>
    <xf numFmtId="2" fontId="33" fillId="34" borderId="21" xfId="0" applyNumberFormat="1" applyFont="1" applyFill="1" applyBorder="1" applyAlignment="1">
      <alignment vertical="center" wrapText="1"/>
    </xf>
    <xf numFmtId="0" fontId="21" fillId="8" borderId="49" xfId="0" applyFont="1" applyFill="1" applyBorder="1" applyAlignment="1">
      <alignment horizontal="right" vertical="center"/>
    </xf>
    <xf numFmtId="0" fontId="16" fillId="0" borderId="17" xfId="0" applyFont="1" applyBorder="1" applyAlignment="1">
      <alignment horizontal="right" vertical="center"/>
    </xf>
    <xf numFmtId="0" fontId="16" fillId="8" borderId="54" xfId="0" applyFont="1" applyFill="1" applyBorder="1" applyAlignment="1">
      <alignment horizontal="right" vertical="center"/>
    </xf>
    <xf numFmtId="0" fontId="16" fillId="0" borderId="2" xfId="0" applyFont="1" applyBorder="1"/>
    <xf numFmtId="166" fontId="16" fillId="34" borderId="31" xfId="0" applyNumberFormat="1" applyFont="1" applyFill="1" applyBorder="1" applyAlignment="1">
      <alignment horizontal="center" vertical="center"/>
    </xf>
    <xf numFmtId="166" fontId="16" fillId="34" borderId="47" xfId="0" applyNumberFormat="1" applyFont="1" applyFill="1" applyBorder="1" applyAlignment="1">
      <alignment horizontal="center" vertical="center"/>
    </xf>
    <xf numFmtId="9" fontId="16" fillId="5" borderId="60" xfId="1" applyNumberFormat="1" applyFont="1" applyFill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9" fontId="16" fillId="0" borderId="34" xfId="0" applyNumberFormat="1" applyFont="1" applyBorder="1" applyAlignment="1">
      <alignment horizontal="center"/>
    </xf>
    <xf numFmtId="9" fontId="16" fillId="0" borderId="36" xfId="0" applyNumberFormat="1" applyFont="1" applyBorder="1" applyAlignment="1">
      <alignment horizontal="center"/>
    </xf>
    <xf numFmtId="9" fontId="16" fillId="0" borderId="38" xfId="0" applyNumberFormat="1" applyFont="1" applyBorder="1" applyAlignment="1">
      <alignment horizontal="center"/>
    </xf>
    <xf numFmtId="2" fontId="21" fillId="8" borderId="65" xfId="0" applyNumberFormat="1" applyFont="1" applyFill="1" applyBorder="1" applyAlignment="1">
      <alignment horizontal="center"/>
    </xf>
    <xf numFmtId="0" fontId="21" fillId="0" borderId="25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9" fontId="16" fillId="0" borderId="75" xfId="0" applyNumberFormat="1" applyFont="1" applyBorder="1" applyAlignment="1">
      <alignment horizontal="center"/>
    </xf>
    <xf numFmtId="9" fontId="16" fillId="0" borderId="73" xfId="0" applyNumberFormat="1" applyFont="1" applyBorder="1" applyAlignment="1">
      <alignment horizontal="center"/>
    </xf>
    <xf numFmtId="9" fontId="21" fillId="0" borderId="18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 vertical="center"/>
    </xf>
    <xf numFmtId="9" fontId="21" fillId="0" borderId="2" xfId="0" applyNumberFormat="1" applyFont="1" applyBorder="1" applyAlignment="1">
      <alignment horizontal="center"/>
    </xf>
    <xf numFmtId="2" fontId="21" fillId="8" borderId="124" xfId="0" applyNumberFormat="1" applyFont="1" applyFill="1" applyBorder="1" applyAlignment="1">
      <alignment horizontal="center"/>
    </xf>
    <xf numFmtId="0" fontId="16" fillId="0" borderId="124" xfId="0" applyFont="1" applyBorder="1" applyAlignment="1">
      <alignment horizontal="center"/>
    </xf>
    <xf numFmtId="0" fontId="21" fillId="0" borderId="125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1" fontId="16" fillId="0" borderId="77" xfId="0" applyNumberFormat="1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21" fillId="8" borderId="2" xfId="0" applyNumberFormat="1" applyFont="1" applyFill="1" applyBorder="1" applyAlignment="1">
      <alignment horizontal="center" vertical="center" wrapText="1"/>
    </xf>
    <xf numFmtId="0" fontId="16" fillId="0" borderId="55" xfId="0" applyFont="1" applyBorder="1" applyAlignment="1">
      <alignment vertical="center"/>
    </xf>
    <xf numFmtId="1" fontId="16" fillId="0" borderId="62" xfId="0" applyNumberFormat="1" applyFont="1" applyBorder="1" applyAlignment="1">
      <alignment horizontal="center" vertic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69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2" fontId="32" fillId="0" borderId="18" xfId="0" applyNumberFormat="1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1" fontId="16" fillId="0" borderId="73" xfId="0" applyNumberFormat="1" applyFont="1" applyBorder="1" applyAlignment="1">
      <alignment horizontal="center" vertical="center" wrapText="1"/>
    </xf>
    <xf numFmtId="1" fontId="16" fillId="0" borderId="74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1" fontId="16" fillId="0" borderId="63" xfId="0" applyNumberFormat="1" applyFont="1" applyBorder="1" applyAlignment="1">
      <alignment horizontal="center" vertical="center"/>
    </xf>
    <xf numFmtId="1" fontId="16" fillId="0" borderId="74" xfId="0" applyNumberFormat="1" applyFont="1" applyBorder="1" applyAlignment="1">
      <alignment horizontal="center" vertical="center"/>
    </xf>
    <xf numFmtId="2" fontId="21" fillId="8" borderId="26" xfId="0" applyNumberFormat="1" applyFont="1" applyFill="1" applyBorder="1" applyAlignment="1">
      <alignment horizontal="center" vertical="center" wrapText="1"/>
    </xf>
    <xf numFmtId="2" fontId="32" fillId="0" borderId="61" xfId="0" applyNumberFormat="1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/>
    </xf>
    <xf numFmtId="166" fontId="21" fillId="0" borderId="2" xfId="0" applyNumberFormat="1" applyFont="1" applyBorder="1" applyAlignment="1">
      <alignment horizontal="center" vertical="center"/>
    </xf>
    <xf numFmtId="166" fontId="16" fillId="0" borderId="35" xfId="0" applyNumberFormat="1" applyFont="1" applyBorder="1" applyAlignment="1">
      <alignment horizontal="center" vertical="center"/>
    </xf>
    <xf numFmtId="166" fontId="16" fillId="0" borderId="12" xfId="0" applyNumberFormat="1" applyFont="1" applyBorder="1" applyAlignment="1">
      <alignment horizontal="center" vertical="center"/>
    </xf>
    <xf numFmtId="166" fontId="16" fillId="5" borderId="37" xfId="0" applyNumberFormat="1" applyFont="1" applyFill="1" applyBorder="1" applyAlignment="1">
      <alignment horizontal="center" vertical="center"/>
    </xf>
    <xf numFmtId="166" fontId="16" fillId="5" borderId="32" xfId="0" applyNumberFormat="1" applyFont="1" applyFill="1" applyBorder="1" applyAlignment="1">
      <alignment horizontal="center" vertical="center"/>
    </xf>
    <xf numFmtId="166" fontId="16" fillId="5" borderId="6" xfId="0" applyNumberFormat="1" applyFont="1" applyFill="1" applyBorder="1" applyAlignment="1">
      <alignment horizontal="center" vertical="center"/>
    </xf>
    <xf numFmtId="166" fontId="16" fillId="5" borderId="8" xfId="0" applyNumberFormat="1" applyFont="1" applyFill="1" applyBorder="1" applyAlignment="1">
      <alignment horizontal="center" vertical="center"/>
    </xf>
    <xf numFmtId="166" fontId="16" fillId="5" borderId="46" xfId="0" applyNumberFormat="1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166" fontId="21" fillId="0" borderId="18" xfId="0" applyNumberFormat="1" applyFont="1" applyBorder="1" applyAlignment="1">
      <alignment horizontal="center" vertical="center"/>
    </xf>
    <xf numFmtId="0" fontId="16" fillId="5" borderId="45" xfId="0" applyFont="1" applyFill="1" applyBorder="1" applyAlignment="1">
      <alignment horizontal="center"/>
    </xf>
    <xf numFmtId="0" fontId="16" fillId="5" borderId="73" xfId="0" applyFont="1" applyFill="1" applyBorder="1" applyAlignment="1">
      <alignment horizontal="center"/>
    </xf>
    <xf numFmtId="0" fontId="16" fillId="5" borderId="27" xfId="0" applyFont="1" applyFill="1" applyBorder="1" applyAlignment="1">
      <alignment horizontal="center"/>
    </xf>
    <xf numFmtId="0" fontId="16" fillId="5" borderId="28" xfId="0" applyFont="1" applyFill="1" applyBorder="1" applyAlignment="1">
      <alignment horizontal="center"/>
    </xf>
    <xf numFmtId="0" fontId="16" fillId="5" borderId="32" xfId="0" applyFont="1" applyFill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21" fillId="8" borderId="26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16" fillId="0" borderId="74" xfId="0" applyFont="1" applyBorder="1" applyAlignment="1">
      <alignment horizontal="center"/>
    </xf>
    <xf numFmtId="9" fontId="16" fillId="0" borderId="26" xfId="1" applyNumberFormat="1" applyFont="1" applyBorder="1" applyAlignment="1">
      <alignment horizontal="center"/>
    </xf>
    <xf numFmtId="9" fontId="16" fillId="0" borderId="17" xfId="1" applyNumberFormat="1" applyFont="1" applyBorder="1" applyAlignment="1">
      <alignment horizontal="center"/>
    </xf>
    <xf numFmtId="0" fontId="16" fillId="0" borderId="73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2" fontId="21" fillId="8" borderId="26" xfId="0" applyNumberFormat="1" applyFont="1" applyFill="1" applyBorder="1" applyAlignment="1">
      <alignment horizontal="center"/>
    </xf>
    <xf numFmtId="2" fontId="21" fillId="8" borderId="17" xfId="0" applyNumberFormat="1" applyFont="1" applyFill="1" applyBorder="1" applyAlignment="1">
      <alignment horizontal="center"/>
    </xf>
    <xf numFmtId="9" fontId="16" fillId="0" borderId="18" xfId="1" applyNumberFormat="1" applyFont="1" applyBorder="1" applyAlignment="1">
      <alignment horizontal="center"/>
    </xf>
    <xf numFmtId="9" fontId="16" fillId="0" borderId="2" xfId="1" applyNumberFormat="1" applyFont="1" applyBorder="1" applyAlignment="1">
      <alignment horizontal="center"/>
    </xf>
    <xf numFmtId="166" fontId="21" fillId="8" borderId="26" xfId="0" applyNumberFormat="1" applyFont="1" applyFill="1" applyBorder="1" applyAlignment="1">
      <alignment horizontal="center"/>
    </xf>
    <xf numFmtId="166" fontId="21" fillId="8" borderId="17" xfId="0" applyNumberFormat="1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vertical="center"/>
    </xf>
    <xf numFmtId="0" fontId="16" fillId="5" borderId="2" xfId="0" applyFont="1" applyFill="1" applyBorder="1" applyAlignment="1">
      <alignment horizontal="left" vertical="center" wrapText="1"/>
    </xf>
    <xf numFmtId="0" fontId="16" fillId="0" borderId="35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2" fillId="0" borderId="66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8" fillId="4" borderId="18" xfId="0" applyFont="1" applyFill="1" applyBorder="1" applyAlignment="1">
      <alignment horizontal="center" wrapText="1"/>
    </xf>
    <xf numFmtId="0" fontId="18" fillId="4" borderId="60" xfId="0" applyFont="1" applyFill="1" applyBorder="1" applyAlignment="1">
      <alignment horizontal="center" wrapText="1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</cellXfs>
  <cellStyles count="2809">
    <cellStyle name="Bad" xfId="73" builtinId="27"/>
    <cellStyle name="Check Cell 3" xfId="327"/>
    <cellStyle name="Comma [0]" xfId="72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Normal" xfId="0" builtinId="0"/>
    <cellStyle name="Normal 10" xfId="326"/>
    <cellStyle name="Normal 2" xfId="328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sijski%20plan%202016-17%20v0.9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soft%20User%20Data/Office%202011%20AutoRecovery/Finansijski%20plan%202015-16%20v1.2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/FIT%20Finansije/Finansijsko%20planiranje/Planiranje%20za%202015-16/Finansijski%20plan%202015-16%20v2.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. plan"/>
      <sheetName val="Ostvaren prihod od upisa"/>
      <sheetName val="Nast-sar"/>
      <sheetName val="Nas-sar-Nis"/>
      <sheetName val="Liste"/>
      <sheetName val="Cenovnik"/>
      <sheetName val="Zarade na MAS i DS"/>
      <sheetName val="Formular-hon"/>
      <sheetName val="Formular-Demonstratori"/>
      <sheetName val="Formular-RO"/>
      <sheetName val="Formular-RO-Ni"/>
      <sheetName val="Predmeti FIT"/>
      <sheetName val="Predmeti FAM"/>
      <sheetName val="Predmeti FDU"/>
      <sheetName val="Ostali predmeti"/>
      <sheetName val="MAS predmeti"/>
      <sheetName val="DS predmeti"/>
      <sheetName val="Saradnici"/>
      <sheetName val="Nastavnici"/>
      <sheetName val="Nastavnici i saradnici"/>
      <sheetName val="Zar.nast-sar"/>
      <sheetName val="Zar.admin."/>
      <sheetName val="Zar.hon.nast-sar"/>
      <sheetName val="ZAPOSLENI"/>
      <sheetName val="Domazet"/>
      <sheetName val="Jovanovic"/>
      <sheetName val="Stojic"/>
      <sheetName val="Lazic"/>
      <sheetName val="Raspopovic"/>
      <sheetName val="Cvetanovic"/>
      <sheetName val="Franc"/>
      <sheetName val="Milicevic"/>
      <sheetName val="S.Vasic"/>
      <sheetName val="Miljan Milosevic"/>
      <sheetName val="Aleksic"/>
      <sheetName val="Jovic"/>
      <sheetName val="Gavrilovic"/>
      <sheetName val="G.Stamenkovic"/>
      <sheetName val="Dimiitrijevic"/>
      <sheetName val="Paunovic"/>
      <sheetName val="Kojic"/>
      <sheetName val="Erceg"/>
      <sheetName val="Gađanski"/>
      <sheetName val="Džunić"/>
      <sheetName val="Ilić"/>
      <sheetName val="Sibalija"/>
      <sheetName val="Jankulovic"/>
      <sheetName val="Peric"/>
      <sheetName val="Salic"/>
      <sheetName val="Radun"/>
      <sheetName val="Mihajlovic"/>
      <sheetName val="Bovan"/>
      <sheetName val="Kutlaca"/>
      <sheetName val="Radosavljevic"/>
      <sheetName val="Slijepčević"/>
      <sheetName val="Mamula"/>
      <sheetName val="Saksida"/>
      <sheetName val="Percic"/>
      <sheetName val="Radojevic"/>
      <sheetName val="Vasić"/>
      <sheetName val="prazno3"/>
      <sheetName val="Pavlovic"/>
      <sheetName val="Todorovic"/>
      <sheetName val="Smolcic"/>
      <sheetName val="M.Domazet"/>
      <sheetName val="M.Licina"/>
      <sheetName val="Stevanic"/>
      <sheetName val="Stamenkovic"/>
      <sheetName val="Vasiljevic"/>
      <sheetName val="Cvorovic"/>
      <sheetName val="Kostic"/>
      <sheetName val="Miličić"/>
      <sheetName val="Kuzmanovic"/>
      <sheetName val="Miletic"/>
      <sheetName val="Đurđević"/>
      <sheetName val="Kaplarski"/>
      <sheetName val="Katanovic"/>
      <sheetName val="Kukic"/>
      <sheetName val="Marinovic"/>
      <sheetName val="Ćeranić"/>
      <sheetName val="Kocev"/>
      <sheetName val="Bojovic"/>
      <sheetName val="I.Mancic"/>
      <sheetName val="Nikolic"/>
      <sheetName val="S.Stamenkovic"/>
      <sheetName val="Tanasijevic"/>
      <sheetName val="Ljubojevic"/>
      <sheetName val="Vlahovic"/>
      <sheetName val="HONORARCI"/>
      <sheetName val="Z.Đunic"/>
      <sheetName val="Stamenovic"/>
      <sheetName val="Blagojevic"/>
      <sheetName val="Grkovic"/>
      <sheetName val="prazno5"/>
      <sheetName val="prazno6"/>
      <sheetName val="prazno7"/>
      <sheetName val="prazno8"/>
      <sheetName val="prazno9"/>
      <sheetName val="MESEČNI HONORARCI"/>
      <sheetName val="A.Arsic"/>
      <sheetName val="Mancic"/>
      <sheetName val="prazno10"/>
      <sheetName val="Stanojevic 2"/>
      <sheetName val="Stanojevic"/>
      <sheetName val="ARHIVA"/>
      <sheetName val="N.Dimitrijevic"/>
      <sheetName val="V.Paunovic"/>
      <sheetName val="Marković"/>
      <sheetName val="prazno11"/>
      <sheetName val="S.Domazet"/>
      <sheetName val="prazno12"/>
      <sheetName val="Prazno13"/>
      <sheetName val="Stefanovic"/>
      <sheetName val="Mladenovic"/>
      <sheetName val="Milojic"/>
      <sheetName val="prazno14"/>
      <sheetName val="Komarcevic"/>
      <sheetName val="Ljubic"/>
      <sheetName val="prazno15"/>
      <sheetName val="prazno16"/>
      <sheetName val="prazno17"/>
      <sheetName val="prazno18"/>
      <sheetName val="prazno19"/>
      <sheetName val="Radic"/>
      <sheetName val="Micunovic"/>
      <sheetName val="Rakocija"/>
      <sheetName val="Radosavljević"/>
      <sheetName val="Vasovic"/>
      <sheetName val="prazno20"/>
      <sheetName val="Adamov"/>
      <sheetName val="A.Mikić"/>
      <sheetName val="M.Mihajlovic"/>
      <sheetName val="Lj.Mihajlović"/>
      <sheetName val="prazno21"/>
      <sheetName val="prazno22"/>
      <sheetName val="prazno23"/>
      <sheetName val="prazno24"/>
      <sheetName val="Sheet6"/>
      <sheetName val="Sheet101"/>
      <sheetName val="KOMPENZACIJE"/>
      <sheetName val="Sabo"/>
      <sheetName val="s"/>
      <sheetName val="DEMONSTRATORI-Plećeni"/>
      <sheetName val="Tanic"/>
      <sheetName val="DOMONSTRATORI-Kompenzacija-stip"/>
      <sheetName val="Rodic"/>
      <sheetName val="Strainovic"/>
      <sheetName val="Stanisev"/>
      <sheetName val="Bradic"/>
      <sheetName val="Hakaj"/>
      <sheetName val="Pavlicevic"/>
      <sheetName val="Stevovic"/>
      <sheetName val="Sheet40"/>
      <sheetName val="Sheet97"/>
      <sheetName val="PRIMERI"/>
      <sheetName val="Saradnik"/>
      <sheetName val="Asistent"/>
      <sheetName val="Predavac"/>
      <sheetName val="Docent"/>
      <sheetName val="V.Prof."/>
      <sheetName val="R.Prof."/>
      <sheetName val="HDem-BG"/>
      <sheetName val="HAs-BG"/>
      <sheetName val="HDoc-BG"/>
      <sheetName val="HVProf-BG"/>
      <sheetName val="HRProf-BG"/>
      <sheetName val="HDem-NI"/>
      <sheetName val="HAs-NI"/>
      <sheetName val="HDoc-NI"/>
      <sheetName val="Red.prof.-staro"/>
      <sheetName val="Vanr.prof.-staro"/>
      <sheetName val="Docent-staro"/>
      <sheetName val="Dem-ITNis"/>
      <sheetName val="As-ITNis"/>
      <sheetName val="Doc-ITNis"/>
      <sheetName val="Simulacije"/>
      <sheetName val="I.Ferenc"/>
      <sheetName val="I.Ferenc2"/>
      <sheetName val="Mamula-Sim"/>
      <sheetName val="Mamula-Sim2"/>
      <sheetName val="V.Milicevic"/>
      <sheetName val="Asistent-staro"/>
      <sheetName val="Sheet2"/>
      <sheetName val="Sheet3"/>
      <sheetName val="Sheet4"/>
      <sheetName val="Sheet5"/>
      <sheetName val="Compatibility Report"/>
      <sheetName val="Master"/>
      <sheetName val="Doktorske studi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D7">
            <v>100</v>
          </cell>
        </row>
        <row r="20">
          <cell r="D20">
            <v>0.5</v>
          </cell>
        </row>
        <row r="21">
          <cell r="D21">
            <v>0.75</v>
          </cell>
        </row>
        <row r="22">
          <cell r="D22">
            <v>1</v>
          </cell>
        </row>
        <row r="34">
          <cell r="D34">
            <v>0.9</v>
          </cell>
        </row>
        <row r="35">
          <cell r="D35">
            <v>1</v>
          </cell>
        </row>
        <row r="36">
          <cell r="D36">
            <v>1.1000000000000001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B2" t="str">
            <v>Aleksandar Jankulović</v>
          </cell>
        </row>
        <row r="3">
          <cell r="B3" t="str">
            <v>Ana Miletić</v>
          </cell>
        </row>
        <row r="4">
          <cell r="B4" t="str">
            <v>Ana Vasiljević</v>
          </cell>
        </row>
        <row r="5">
          <cell r="B5" t="str">
            <v>Bojan Stevanić</v>
          </cell>
        </row>
        <row r="6">
          <cell r="B6" t="str">
            <v>Boris Kuzmanović</v>
          </cell>
        </row>
        <row r="7">
          <cell r="B7" t="str">
            <v>Branko Katanović</v>
          </cell>
        </row>
        <row r="8">
          <cell r="B8" t="str">
            <v>Dragan Čović</v>
          </cell>
        </row>
        <row r="9">
          <cell r="B9" t="str">
            <v>Dragan Domazet</v>
          </cell>
        </row>
        <row r="10">
          <cell r="B10" t="str">
            <v>Igor Franc</v>
          </cell>
        </row>
        <row r="11">
          <cell r="B11" t="str">
            <v>Katarina Kaplarski</v>
          </cell>
        </row>
        <row r="12">
          <cell r="B12" t="str">
            <v>Ljubomir Lazić</v>
          </cell>
        </row>
        <row r="13">
          <cell r="B13" t="str">
            <v>Madlena Domazet</v>
          </cell>
        </row>
        <row r="14">
          <cell r="B14" t="str">
            <v>Milan Ličina</v>
          </cell>
        </row>
        <row r="15">
          <cell r="B15" t="str">
            <v>Milan Mihajlović</v>
          </cell>
        </row>
        <row r="16">
          <cell r="B16" t="str">
            <v>Milan Stamatović</v>
          </cell>
        </row>
        <row r="17">
          <cell r="B17" t="str">
            <v>Milena Tanasijević</v>
          </cell>
        </row>
        <row r="18">
          <cell r="B18" t="str">
            <v>Milovan Ilić</v>
          </cell>
        </row>
        <row r="19">
          <cell r="B19" t="str">
            <v>Miroslava Raspopović</v>
          </cell>
        </row>
        <row r="20">
          <cell r="B20" t="str">
            <v>Mitar Marinović</v>
          </cell>
        </row>
        <row r="21">
          <cell r="B21" t="str">
            <v>Neda Todorović</v>
          </cell>
        </row>
        <row r="22">
          <cell r="B22" t="str">
            <v>Nenad Perić</v>
          </cell>
        </row>
        <row r="23">
          <cell r="B23" t="str">
            <v>Petar Stamenković</v>
          </cell>
        </row>
        <row r="24">
          <cell r="B24" t="str">
            <v>Radoslav Stojić</v>
          </cell>
        </row>
        <row r="25">
          <cell r="B25" t="str">
            <v>Rale Nikolić</v>
          </cell>
        </row>
        <row r="26">
          <cell r="B26" t="str">
            <v>Rastko Kukić</v>
          </cell>
        </row>
        <row r="27">
          <cell r="B27" t="str">
            <v>Slaven Erceg</v>
          </cell>
        </row>
        <row r="28">
          <cell r="B28" t="str">
            <v>Slobodan Jovanović</v>
          </cell>
        </row>
        <row r="29">
          <cell r="B29" t="str">
            <v>Svetlana Cvetanović</v>
          </cell>
        </row>
        <row r="30">
          <cell r="B30" t="str">
            <v>Svetlana Smolčić</v>
          </cell>
        </row>
        <row r="31">
          <cell r="B31" t="str">
            <v>Tatjana Šibalija</v>
          </cell>
        </row>
        <row r="32">
          <cell r="B32" t="str">
            <v>Vesna Pavlović</v>
          </cell>
        </row>
        <row r="33">
          <cell r="B33" t="str">
            <v>Vojko Saksida</v>
          </cell>
        </row>
        <row r="34">
          <cell r="B34" t="str">
            <v>Danijela Ljubojevuć</v>
          </cell>
        </row>
        <row r="35">
          <cell r="B35" t="str">
            <v>Milica Vasiljević</v>
          </cell>
        </row>
        <row r="36">
          <cell r="B36" t="str">
            <v>Nenad Ćeranić</v>
          </cell>
        </row>
        <row r="37">
          <cell r="B37" t="str">
            <v>Nikola Kojić</v>
          </cell>
        </row>
        <row r="38">
          <cell r="B38" t="str">
            <v>Tatjana Mamula</v>
          </cell>
        </row>
        <row r="39">
          <cell r="B39" t="str">
            <v>A. Barajević</v>
          </cell>
        </row>
        <row r="40">
          <cell r="B40" t="str">
            <v>Marina Kostić</v>
          </cell>
        </row>
        <row r="41">
          <cell r="B41" t="str">
            <v>Mile Kocev</v>
          </cell>
        </row>
        <row r="42">
          <cell r="B42" t="str">
            <v>Milena Čvorović</v>
          </cell>
        </row>
        <row r="43">
          <cell r="B43" t="str">
            <v>Selena Vasić</v>
          </cell>
        </row>
        <row r="44">
          <cell r="B44" t="str">
            <v>Vladimir Đurđević</v>
          </cell>
        </row>
        <row r="45">
          <cell r="B45" t="str">
            <v>Ana Bovan</v>
          </cell>
        </row>
        <row r="46">
          <cell r="B46" t="str">
            <v>Aca Alaksić</v>
          </cell>
        </row>
        <row r="47">
          <cell r="B47" t="str">
            <v>Dragutin Radosavljević</v>
          </cell>
        </row>
        <row r="48">
          <cell r="B48" t="str">
            <v>Đuro Kutlača</v>
          </cell>
        </row>
        <row r="49">
          <cell r="B49" t="str">
            <v>Filip Mikić</v>
          </cell>
        </row>
        <row r="50">
          <cell r="B50" t="str">
            <v>Ivana Gađanski</v>
          </cell>
        </row>
        <row r="51">
          <cell r="B51" t="str">
            <v>Ivo Vlastelica</v>
          </cell>
        </row>
        <row r="52">
          <cell r="B52" t="str">
            <v>Milica Slijepćević</v>
          </cell>
        </row>
        <row r="53">
          <cell r="B53" t="str">
            <v>Miljan Milošević</v>
          </cell>
        </row>
        <row r="54">
          <cell r="B54" t="str">
            <v>Petar Bojović</v>
          </cell>
        </row>
        <row r="55">
          <cell r="B55" t="str">
            <v>Aleksandar Čelar</v>
          </cell>
        </row>
        <row r="56">
          <cell r="B56" t="str">
            <v>Anđela Mikić</v>
          </cell>
        </row>
        <row r="57">
          <cell r="B57" t="str">
            <v>Dragan Đokić</v>
          </cell>
        </row>
        <row r="58">
          <cell r="B58" t="str">
            <v>Milan Milošević</v>
          </cell>
        </row>
        <row r="59">
          <cell r="B59" t="str">
            <v>Mirko Stojković</v>
          </cell>
        </row>
        <row r="60">
          <cell r="B60" t="str">
            <v>Rajka Bošković</v>
          </cell>
        </row>
        <row r="61">
          <cell r="B61" t="str">
            <v>Viktor Radun</v>
          </cell>
        </row>
        <row r="62">
          <cell r="B62" t="str">
            <v>Željko Đunić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. plan"/>
      <sheetName val="Ostvaren prihod od upisa"/>
      <sheetName val="Nast-sar"/>
      <sheetName val="Nas-sar-Nis"/>
      <sheetName val="Liste"/>
      <sheetName val="Cenovnik"/>
      <sheetName val="Zarade na MAS i DS"/>
      <sheetName val="Formular-hon"/>
      <sheetName val="Formular-Demonstratori"/>
      <sheetName val="Formular-RO"/>
      <sheetName val="Formular-RO-Ni"/>
      <sheetName val="Predmeti FIT"/>
      <sheetName val="Predmeti FAM"/>
      <sheetName val="Predmeti FDU"/>
      <sheetName val="Ostali predmeti"/>
      <sheetName val="MAS predmeti"/>
      <sheetName val="Saradnici"/>
      <sheetName val="Nastavnici"/>
      <sheetName val="Zap.nast-sar"/>
      <sheetName val="Hon.nast-sar"/>
      <sheetName val="Zap.admin."/>
      <sheetName val="ZAPOSLENI"/>
      <sheetName val="Domazet"/>
      <sheetName val="Jovanovic"/>
      <sheetName val="Stojic"/>
      <sheetName val="Lazic"/>
      <sheetName val="Raspopovic"/>
      <sheetName val="Cvetanovic"/>
      <sheetName val="Franc"/>
      <sheetName val="S.Vasic"/>
      <sheetName val="Miljan Milosevic"/>
      <sheetName val="Aleksic"/>
      <sheetName val="Arsic"/>
      <sheetName val="Vuk Vasic"/>
      <sheetName val="Gavrilovic"/>
      <sheetName val="Jovic"/>
      <sheetName val="Dimiitrijevic"/>
      <sheetName val="Paunovic"/>
      <sheetName val="Ilić"/>
      <sheetName val="Sibalija"/>
      <sheetName val="Jankulovic"/>
      <sheetName val="Stamatovic"/>
      <sheetName val="Saksida"/>
      <sheetName val="Radun"/>
      <sheetName val="Peric"/>
      <sheetName val="Mamula"/>
      <sheetName val="Mihajlovic"/>
      <sheetName val="Blagojevic"/>
      <sheetName val="Bovan"/>
      <sheetName val="Kutlaca"/>
      <sheetName val="Radosavljevic"/>
      <sheetName val="Percic"/>
      <sheetName val="Radojevic"/>
      <sheetName val="Pavlovic"/>
      <sheetName val="Todorovic"/>
      <sheetName val="Smolcic"/>
      <sheetName val="M.Domazet"/>
      <sheetName val="M.Licina"/>
      <sheetName val="Stevanic"/>
      <sheetName val="Stamenkovic"/>
      <sheetName val="Vasiljevic"/>
      <sheetName val="Cvorovic"/>
      <sheetName val="Kuzmanovic"/>
      <sheetName val="Miletic"/>
      <sheetName val="Đurđević"/>
      <sheetName val="Kaplarski"/>
      <sheetName val="Katanovic"/>
      <sheetName val="Kukic"/>
      <sheetName val="Marinovic"/>
      <sheetName val="Ćeranić"/>
      <sheetName val="Kostic"/>
      <sheetName val="Kocev"/>
      <sheetName val="Bojovic"/>
      <sheetName val="Nikolic"/>
      <sheetName val="Tanasijevic"/>
      <sheetName val="Ljubojevic"/>
      <sheetName val="Sheet96"/>
      <sheetName val="HONORARCI"/>
      <sheetName val="Đokić"/>
      <sheetName val="Đunić"/>
      <sheetName val="Marković"/>
      <sheetName val="T. Obradovic"/>
      <sheetName val="P. Obradovic"/>
      <sheetName val="Stamenovic"/>
      <sheetName val="Sekulovic"/>
      <sheetName val="Tomic"/>
      <sheetName val="Đurđić"/>
      <sheetName val="Covic"/>
      <sheetName val="Vasic"/>
      <sheetName val="Samardžić"/>
      <sheetName val="Erakovic"/>
      <sheetName val="Stefanovic"/>
      <sheetName val="Mladenovic"/>
      <sheetName val="Milojic"/>
      <sheetName val="Stojkovic"/>
      <sheetName val="Komarcevic"/>
      <sheetName val="Ljubic"/>
      <sheetName val="Čelar"/>
      <sheetName val="Barajević"/>
      <sheetName val="Stojković"/>
      <sheetName val="Radic"/>
      <sheetName val="Rakocija"/>
      <sheetName val="Radosavljević"/>
      <sheetName val="Mikić"/>
      <sheetName val="Medan"/>
      <sheetName val="Lj.Mihajlović"/>
      <sheetName val="Dambaeran"/>
      <sheetName val="Sheet101"/>
      <sheetName val="DEMONSTRATORI"/>
      <sheetName val="Pavlicevic"/>
      <sheetName val="Strainovic"/>
      <sheetName val="Stanisev"/>
      <sheetName val="Bradic"/>
      <sheetName val="Sabo"/>
      <sheetName val="Tanic"/>
      <sheetName val="Radusinovic"/>
      <sheetName val="Hakaj"/>
      <sheetName val="Stevovic"/>
      <sheetName val="Stanojevic"/>
      <sheetName val="Sheet40"/>
      <sheetName val="Sheet97"/>
      <sheetName val="PRIMERI"/>
      <sheetName val="Asistent"/>
      <sheetName val="Predavac"/>
      <sheetName val="Docent"/>
      <sheetName val="V.Prof."/>
      <sheetName val="R.Prof."/>
      <sheetName val="HAs-BG"/>
      <sheetName val="HDem-BG"/>
      <sheetName val="HDoc-BG"/>
      <sheetName val="HVProf-BG"/>
      <sheetName val="HRProf-BG"/>
      <sheetName val="HDem-NI"/>
      <sheetName val="HAs-NI"/>
      <sheetName val="HDoc-NI"/>
      <sheetName val="Red.prof.-staro"/>
      <sheetName val="Vanr.prof.-staro"/>
      <sheetName val="Docent-staro"/>
      <sheetName val="Dem-ITNis"/>
      <sheetName val="As-ITNis"/>
      <sheetName val="Doc-ITNis"/>
      <sheetName val="Simulacije"/>
      <sheetName val="I.Ferenc"/>
      <sheetName val="I.Ferenc2"/>
      <sheetName val="Mamula-Sim"/>
      <sheetName val="Mamula-Sim2"/>
      <sheetName val="V.Milicevic"/>
      <sheetName val="Asistent-staro"/>
      <sheetName val="Sheet2"/>
      <sheetName val="Sheet3"/>
      <sheetName val="Sheet4"/>
      <sheetName val="Sheet5"/>
      <sheetName val="Compatibility Report"/>
      <sheetName val="Master"/>
      <sheetName val="Doktorske studije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A2" t="str">
            <v>J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B3" t="str">
            <v>Jovana Jović</v>
          </cell>
        </row>
        <row r="4">
          <cell r="B4" t="str">
            <v>Karolina Perčić</v>
          </cell>
        </row>
        <row r="5">
          <cell r="B5" t="str">
            <v>Nikola Dimitrijević</v>
          </cell>
        </row>
        <row r="6">
          <cell r="B6" t="str">
            <v>Valentina Paunović</v>
          </cell>
        </row>
        <row r="7">
          <cell r="B7" t="str">
            <v>Vuk Vasić</v>
          </cell>
        </row>
        <row r="8">
          <cell r="B8" t="str">
            <v>Miljan Marković</v>
          </cell>
        </row>
        <row r="9">
          <cell r="B9" t="str">
            <v>Mladen Radić</v>
          </cell>
        </row>
        <row r="10">
          <cell r="B10" t="str">
            <v>Petar Cvetković</v>
          </cell>
        </row>
        <row r="11">
          <cell r="B11" t="str">
            <v>Aleksandra Arsić</v>
          </cell>
        </row>
        <row r="12">
          <cell r="B12" t="str">
            <v>Aleksandra Ljubić</v>
          </cell>
        </row>
        <row r="13">
          <cell r="B13" t="str">
            <v>Aleksandra Rosić</v>
          </cell>
        </row>
        <row r="14">
          <cell r="B14" t="str">
            <v>Andrej Stanišev</v>
          </cell>
        </row>
        <row r="15">
          <cell r="B15" t="str">
            <v>Andrijana Vasić</v>
          </cell>
        </row>
        <row r="16">
          <cell r="B16" t="str">
            <v>Đorđe Komarčević</v>
          </cell>
        </row>
        <row r="17">
          <cell r="B17" t="str">
            <v>Dušan Stanojević</v>
          </cell>
        </row>
        <row r="18">
          <cell r="B18" t="str">
            <v>Goran Stamenović</v>
          </cell>
        </row>
        <row r="19">
          <cell r="B19" t="str">
            <v>Igor Sabo</v>
          </cell>
        </row>
        <row r="20">
          <cell r="B20" t="str">
            <v>Janko Radusinović</v>
          </cell>
        </row>
        <row r="21">
          <cell r="B21" t="str">
            <v>Jelana Samardžić</v>
          </cell>
        </row>
        <row r="22">
          <cell r="B22" t="str">
            <v>Jelena Marina Bradić</v>
          </cell>
        </row>
        <row r="23">
          <cell r="B23" t="str">
            <v>M. Radosavljević</v>
          </cell>
        </row>
        <row r="24">
          <cell r="B24" t="str">
            <v>Marko Tanić</v>
          </cell>
        </row>
        <row r="25">
          <cell r="B25" t="str">
            <v>Milan Hakaj</v>
          </cell>
        </row>
        <row r="26">
          <cell r="B26" t="str">
            <v>Milan Sekulović</v>
          </cell>
        </row>
        <row r="27">
          <cell r="B27" t="str">
            <v>Miša Rakocija</v>
          </cell>
        </row>
        <row r="28">
          <cell r="B28" t="str">
            <v>Nebojša Gavrilović</v>
          </cell>
        </row>
        <row r="29">
          <cell r="B29" t="str">
            <v>Nenad Strainović</v>
          </cell>
        </row>
        <row r="30">
          <cell r="B30" t="str">
            <v>Nikola Tomić</v>
          </cell>
        </row>
        <row r="31">
          <cell r="B31" t="str">
            <v>Pavle Đurđić</v>
          </cell>
        </row>
        <row r="32">
          <cell r="B32" t="str">
            <v>Pavle Obradović</v>
          </cell>
        </row>
        <row r="33">
          <cell r="B33" t="str">
            <v>Radoš Pavličević</v>
          </cell>
        </row>
        <row r="34">
          <cell r="B34" t="str">
            <v>Stefan Šušnjar</v>
          </cell>
        </row>
        <row r="35">
          <cell r="B35" t="str">
            <v>Tatjana Obradović</v>
          </cell>
        </row>
        <row r="36">
          <cell r="B36" t="str">
            <v>Zoran Stevović</v>
          </cell>
        </row>
      </sheetData>
      <sheetData sheetId="17">
        <row r="2">
          <cell r="B2" t="str">
            <v>Aleksandar Jankulović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. plan"/>
      <sheetName val="Ostvaren prihod od upisa"/>
      <sheetName val="Nast-sar"/>
      <sheetName val="Nas-sar-Nis"/>
      <sheetName val="Liste"/>
      <sheetName val="Cenovnik"/>
      <sheetName val="Zarade na MAS i DS"/>
      <sheetName val="Formular-hon"/>
      <sheetName val="Formular-Demonstratori"/>
      <sheetName val="Formular-RO"/>
      <sheetName val="Formular-RO-Ni"/>
      <sheetName val="Predmeti FIT"/>
      <sheetName val="Predmeti FAM"/>
      <sheetName val="Predmeti FDU"/>
      <sheetName val="Ostali predmeti"/>
      <sheetName val="MAS predmeti"/>
      <sheetName val="DS predmeti"/>
      <sheetName val="Saradnici"/>
      <sheetName val="Nastavnici"/>
      <sheetName val="Zar.nast-sar"/>
      <sheetName val="Zar.admin."/>
      <sheetName val="Zar.hon.nast-sar"/>
      <sheetName val="ZAPOSLENI"/>
      <sheetName val="Domazet"/>
      <sheetName val="Jovanovic"/>
      <sheetName val="Stojic"/>
      <sheetName val="Lazic"/>
      <sheetName val="Raspopovic"/>
      <sheetName val="Cvetanovic"/>
      <sheetName val="Franc"/>
      <sheetName val="Milicevic"/>
      <sheetName val="S.Vasic"/>
      <sheetName val="Miljan Milosevic"/>
      <sheetName val="Aleksic"/>
      <sheetName val="Kojic"/>
      <sheetName val="Erceg"/>
      <sheetName val="Vlastelica"/>
      <sheetName val="Gađanski"/>
      <sheetName val="Vuk Vasic"/>
      <sheetName val="Dimiitrijevic"/>
      <sheetName val="Paunovic"/>
      <sheetName val="Džunić"/>
      <sheetName val="Arsic"/>
      <sheetName val="Gavrilovic"/>
      <sheetName val="Jovic"/>
      <sheetName val="Ilić"/>
      <sheetName val="Sibalija"/>
      <sheetName val="Jankulovic"/>
      <sheetName val="Peric"/>
      <sheetName val="Stamatovic"/>
      <sheetName val="Saksida"/>
      <sheetName val="Salic"/>
      <sheetName val="Radun"/>
      <sheetName val="Mamula"/>
      <sheetName val="Mihajlovic"/>
      <sheetName val="Slijepčević"/>
      <sheetName val="Bovan"/>
      <sheetName val="Kutlaca"/>
      <sheetName val="Radosavljevic"/>
      <sheetName val="Percic"/>
      <sheetName val="Radojevic"/>
      <sheetName val="Vasić"/>
      <sheetName val="Pavlovic"/>
      <sheetName val="Todorovic"/>
      <sheetName val="Smolcic"/>
      <sheetName val="M.Domazet"/>
      <sheetName val="M.Licina"/>
      <sheetName val="Stevanic"/>
      <sheetName val="Stamenkovic"/>
      <sheetName val="Vasiljevic"/>
      <sheetName val="Cvorovic"/>
      <sheetName val="Kostic"/>
      <sheetName val="Miličić"/>
      <sheetName val="Kuzmanovic"/>
      <sheetName val="Miletic"/>
      <sheetName val="Đurđević"/>
      <sheetName val="Kaplarski"/>
      <sheetName val="Katanovic"/>
      <sheetName val="Kukic"/>
      <sheetName val="Marinovic"/>
      <sheetName val="Ćeranić"/>
      <sheetName val="Kocev"/>
      <sheetName val="Bojovic"/>
      <sheetName val="Nikolic"/>
      <sheetName val="Tanasijevic"/>
      <sheetName val="Ljubojevic"/>
      <sheetName val="S.Stamenkovic"/>
      <sheetName val="HONORARCI"/>
      <sheetName val="Đokic"/>
      <sheetName val="Aleksandrov"/>
      <sheetName val="Đurđić"/>
      <sheetName val="Z.Đunic"/>
      <sheetName val="Stamenovic"/>
      <sheetName val="Blagojevic"/>
      <sheetName val="T. Obradovic"/>
      <sheetName val="P. Obradovic"/>
      <sheetName val="Sekulovic"/>
      <sheetName val="MESEČNI HONORARCI"/>
      <sheetName val="A.Arsic"/>
      <sheetName val="N.Gavrilovic"/>
      <sheetName val="J.Jovic"/>
      <sheetName val="Stanojevic 2"/>
      <sheetName val="Stanojevic"/>
      <sheetName val="ARHIVA"/>
      <sheetName val="N.Dimitrijevic"/>
      <sheetName val="V.Paunovic"/>
      <sheetName val="Marković"/>
      <sheetName val="Covic"/>
      <sheetName val="S.Domazet"/>
      <sheetName val="Samardžić"/>
      <sheetName val="Erakovic"/>
      <sheetName val="Stefanovic"/>
      <sheetName val="Mladenovic"/>
      <sheetName val="Milojic"/>
      <sheetName val="Stojkovic"/>
      <sheetName val="Komarcevic"/>
      <sheetName val="Ljubic"/>
      <sheetName val="T.Šibalija"/>
      <sheetName val="Čelar"/>
      <sheetName val="Boskovic"/>
      <sheetName val="Barajević"/>
      <sheetName val="Stojković"/>
      <sheetName val="Radic"/>
      <sheetName val="Micunovic"/>
      <sheetName val="Rakocija"/>
      <sheetName val="Radosavljević"/>
      <sheetName val="Vasovic"/>
      <sheetName val="A.Vasiljevic"/>
      <sheetName val="Adamov"/>
      <sheetName val="Mikić"/>
      <sheetName val="Rosic"/>
      <sheetName val="Sl.Stamenkovic"/>
      <sheetName val="M.Mihajlovic"/>
      <sheetName val="Medan"/>
      <sheetName val="Lj.Mihajlović"/>
      <sheetName val="Dambaeran"/>
      <sheetName val="Sheet6"/>
      <sheetName val="Sheet101"/>
      <sheetName val="KOMPENZACIJE"/>
      <sheetName val="Sabo"/>
      <sheetName val="s"/>
      <sheetName val="DEMONSTRATORI-Plećeni"/>
      <sheetName val="Tanic"/>
      <sheetName val="DOMONSTRATORI-Kompenzacija-stip"/>
      <sheetName val="Rodic"/>
      <sheetName val="Strainovic"/>
      <sheetName val="Stanisev"/>
      <sheetName val="Bradic"/>
      <sheetName val="Hakaj"/>
      <sheetName val="Pavlicevic"/>
      <sheetName val="Stevovic"/>
      <sheetName val="Sheet40"/>
      <sheetName val="Sheet97"/>
      <sheetName val="PRIMERI"/>
      <sheetName val="Saradnik"/>
      <sheetName val="Asistent"/>
      <sheetName val="Predavac"/>
      <sheetName val="Docent"/>
      <sheetName val="V.Prof."/>
      <sheetName val="R.Prof."/>
      <sheetName val="HDem-BG"/>
      <sheetName val="HAs-BG"/>
      <sheetName val="HDoc-BG"/>
      <sheetName val="HVProf-BG"/>
      <sheetName val="HRProf-BG"/>
      <sheetName val="HDem-NI"/>
      <sheetName val="HAs-NI"/>
      <sheetName val="HDoc-NI"/>
      <sheetName val="Red.prof.-staro"/>
      <sheetName val="Vanr.prof.-staro"/>
      <sheetName val="Docent-staro"/>
      <sheetName val="Dem-ITNis"/>
      <sheetName val="As-ITNis"/>
      <sheetName val="Doc-ITNis"/>
      <sheetName val="Simulacije"/>
      <sheetName val="I.Ferenc"/>
      <sheetName val="I.Ferenc2"/>
      <sheetName val="Mamula-Sim"/>
      <sheetName val="Mamula-Sim2"/>
      <sheetName val="V.Milicevic"/>
      <sheetName val="Asistent-staro"/>
      <sheetName val="Sheet2"/>
      <sheetName val="Sheet3"/>
      <sheetName val="Sheet4"/>
      <sheetName val="Sheet5"/>
      <sheetName val="Compatibility Report"/>
      <sheetName val="Master"/>
      <sheetName val="Doktorske studi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F3">
            <v>1.6452</v>
          </cell>
        </row>
        <row r="70">
          <cell r="C70" t="str">
            <v>&gt;90%</v>
          </cell>
        </row>
        <row r="71">
          <cell r="C71" t="str">
            <v>&gt;30%</v>
          </cell>
        </row>
        <row r="72">
          <cell r="C72" t="str">
            <v>&lt;30%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AN60"/>
  <sheetViews>
    <sheetView topLeftCell="A24" workbookViewId="0">
      <selection activeCell="A28" sqref="A28:XFD28"/>
    </sheetView>
  </sheetViews>
  <sheetFormatPr defaultColWidth="11" defaultRowHeight="15.75"/>
  <cols>
    <col min="1" max="1" width="5" customWidth="1"/>
    <col min="2" max="2" width="5.875" customWidth="1"/>
    <col min="3" max="3" width="44" customWidth="1"/>
    <col min="4" max="7" width="8" customWidth="1"/>
    <col min="8" max="18" width="2.875" customWidth="1"/>
    <col min="19" max="23" width="6.625" customWidth="1"/>
    <col min="24" max="25" width="18.875" customWidth="1"/>
    <col min="26" max="26" width="6.625" customWidth="1"/>
    <col min="27" max="27" width="18.875" customWidth="1"/>
    <col min="28" max="28" width="6.625" customWidth="1"/>
    <col min="29" max="30" width="18.875" customWidth="1"/>
    <col min="31" max="31" width="6.625" customWidth="1"/>
    <col min="32" max="32" width="18.875" customWidth="1"/>
    <col min="33" max="33" width="6.625" customWidth="1"/>
    <col min="34" max="34" width="18.875" customWidth="1"/>
    <col min="35" max="35" width="6.625" customWidth="1"/>
  </cols>
  <sheetData>
    <row r="1" spans="1:40" ht="16.5" thickBot="1">
      <c r="A1" s="4"/>
      <c r="B1" s="4"/>
      <c r="C1" s="100"/>
      <c r="D1" s="4"/>
      <c r="E1" s="4"/>
      <c r="F1" s="4"/>
      <c r="G1" s="4"/>
      <c r="H1" s="99" t="s">
        <v>527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Z1" s="4"/>
      <c r="AB1" s="4"/>
      <c r="AE1" s="4"/>
      <c r="AI1" s="4"/>
      <c r="AJ1" s="21"/>
    </row>
    <row r="2" spans="1:40" ht="96" thickTop="1" thickBot="1">
      <c r="A2" s="865" t="s">
        <v>528</v>
      </c>
      <c r="B2" s="866" t="s">
        <v>158</v>
      </c>
      <c r="C2" s="867" t="s">
        <v>529</v>
      </c>
      <c r="D2" s="866" t="s">
        <v>401</v>
      </c>
      <c r="E2" s="866" t="s">
        <v>530</v>
      </c>
      <c r="F2" s="866" t="s">
        <v>531</v>
      </c>
      <c r="G2" s="866" t="s">
        <v>154</v>
      </c>
      <c r="H2" s="868" t="s">
        <v>532</v>
      </c>
      <c r="I2" s="868" t="s">
        <v>533</v>
      </c>
      <c r="J2" s="868" t="s">
        <v>534</v>
      </c>
      <c r="K2" s="868" t="s">
        <v>535</v>
      </c>
      <c r="L2" s="868" t="s">
        <v>536</v>
      </c>
      <c r="M2" s="868" t="s">
        <v>537</v>
      </c>
      <c r="N2" s="868" t="s">
        <v>538</v>
      </c>
      <c r="O2" s="868" t="s">
        <v>539</v>
      </c>
      <c r="P2" s="868" t="s">
        <v>540</v>
      </c>
      <c r="Q2" s="868" t="s">
        <v>541</v>
      </c>
      <c r="R2" s="869" t="s">
        <v>542</v>
      </c>
      <c r="S2" s="870" t="s">
        <v>543</v>
      </c>
      <c r="T2" s="871" t="s">
        <v>544</v>
      </c>
      <c r="U2" s="871" t="s">
        <v>545</v>
      </c>
      <c r="V2" s="871" t="s">
        <v>546</v>
      </c>
      <c r="W2" s="872" t="s">
        <v>547</v>
      </c>
      <c r="X2" s="873" t="s">
        <v>548</v>
      </c>
      <c r="Y2" s="874" t="s">
        <v>549</v>
      </c>
      <c r="Z2" s="874" t="s">
        <v>550</v>
      </c>
      <c r="AA2" s="875" t="s">
        <v>551</v>
      </c>
      <c r="AB2" s="875" t="s">
        <v>552</v>
      </c>
      <c r="AC2" s="875" t="s">
        <v>553</v>
      </c>
      <c r="AD2" s="875" t="s">
        <v>554</v>
      </c>
      <c r="AE2" s="875" t="s">
        <v>555</v>
      </c>
      <c r="AF2" s="875" t="s">
        <v>556</v>
      </c>
      <c r="AG2" s="875" t="s">
        <v>557</v>
      </c>
      <c r="AH2" s="875" t="s">
        <v>558</v>
      </c>
      <c r="AI2" s="876" t="s">
        <v>559</v>
      </c>
      <c r="AJ2" s="876" t="s">
        <v>560</v>
      </c>
      <c r="AK2" s="877" t="s">
        <v>561</v>
      </c>
      <c r="AL2" s="878" t="s">
        <v>562</v>
      </c>
      <c r="AM2" s="878" t="s">
        <v>563</v>
      </c>
      <c r="AN2" s="871" t="s">
        <v>564</v>
      </c>
    </row>
    <row r="3" spans="1:40" ht="38.25" customHeight="1" thickTop="1">
      <c r="A3" s="589">
        <v>1</v>
      </c>
      <c r="B3" s="879" t="s">
        <v>167</v>
      </c>
      <c r="C3" s="301" t="s">
        <v>168</v>
      </c>
      <c r="D3" s="879">
        <v>3</v>
      </c>
      <c r="E3" s="879">
        <v>1</v>
      </c>
      <c r="F3" s="879">
        <v>3</v>
      </c>
      <c r="G3" s="157">
        <v>10</v>
      </c>
      <c r="H3" s="880">
        <v>1</v>
      </c>
      <c r="I3" s="881">
        <v>1</v>
      </c>
      <c r="J3" s="881">
        <v>1</v>
      </c>
      <c r="K3" s="881">
        <v>1</v>
      </c>
      <c r="L3" s="891">
        <v>7</v>
      </c>
      <c r="M3" s="883"/>
      <c r="N3" s="883"/>
      <c r="O3" s="883"/>
      <c r="P3" s="884"/>
      <c r="Q3" s="884"/>
      <c r="R3" s="885"/>
      <c r="S3" s="9"/>
      <c r="T3" s="879"/>
      <c r="U3" s="879"/>
      <c r="V3" s="879"/>
      <c r="W3" s="171"/>
      <c r="X3" s="898" t="s">
        <v>575</v>
      </c>
      <c r="Y3" s="899" t="s">
        <v>576</v>
      </c>
      <c r="Z3" s="589">
        <v>2</v>
      </c>
      <c r="AA3" s="190" t="s">
        <v>577</v>
      </c>
      <c r="AB3" s="879">
        <v>1</v>
      </c>
      <c r="AC3" s="1383" t="s">
        <v>578</v>
      </c>
      <c r="AD3" s="1383" t="s">
        <v>578</v>
      </c>
      <c r="AE3" s="879">
        <v>2</v>
      </c>
      <c r="AF3" s="190"/>
      <c r="AG3" s="190"/>
      <c r="AH3" s="1383" t="s">
        <v>576</v>
      </c>
      <c r="AI3" s="1389"/>
      <c r="AJ3" s="1390"/>
      <c r="AK3" s="1391"/>
      <c r="AL3" s="1392"/>
      <c r="AM3" s="1392"/>
      <c r="AN3" s="1391"/>
    </row>
    <row r="4" spans="1:40">
      <c r="A4" s="589">
        <v>2</v>
      </c>
      <c r="B4" s="589" t="s">
        <v>167</v>
      </c>
      <c r="C4" s="105" t="s">
        <v>589</v>
      </c>
      <c r="D4" s="894">
        <v>2</v>
      </c>
      <c r="E4" s="894">
        <v>2</v>
      </c>
      <c r="F4" s="894">
        <v>1</v>
      </c>
      <c r="G4" s="175">
        <v>8</v>
      </c>
      <c r="H4" s="890">
        <v>1</v>
      </c>
      <c r="I4" s="882">
        <v>3</v>
      </c>
      <c r="J4" s="882">
        <v>3</v>
      </c>
      <c r="K4" s="882">
        <v>1</v>
      </c>
      <c r="L4" s="891">
        <v>7</v>
      </c>
      <c r="M4" s="892"/>
      <c r="N4" s="892"/>
      <c r="O4" s="892"/>
      <c r="P4" s="589"/>
      <c r="Q4" s="589"/>
      <c r="R4" s="175"/>
      <c r="S4" s="11"/>
      <c r="T4" s="589"/>
      <c r="U4" s="589"/>
      <c r="V4" s="589"/>
      <c r="W4" s="182"/>
      <c r="X4" s="903" t="s">
        <v>590</v>
      </c>
      <c r="Y4" s="172" t="s">
        <v>591</v>
      </c>
      <c r="Z4" s="589">
        <v>2</v>
      </c>
      <c r="AA4" s="172"/>
      <c r="AB4" s="589"/>
      <c r="AC4" s="29" t="s">
        <v>572</v>
      </c>
      <c r="AD4" s="172" t="s">
        <v>572</v>
      </c>
      <c r="AE4" s="589">
        <v>2</v>
      </c>
      <c r="AF4" s="172"/>
      <c r="AG4" s="172"/>
      <c r="AH4" s="172" t="s">
        <v>591</v>
      </c>
      <c r="AI4" s="11"/>
      <c r="AJ4" s="530"/>
      <c r="AK4" s="172"/>
      <c r="AL4" s="172"/>
      <c r="AM4" s="172"/>
      <c r="AN4" s="172"/>
    </row>
    <row r="5" spans="1:40">
      <c r="A5" s="589">
        <v>3</v>
      </c>
      <c r="B5" s="589" t="s">
        <v>167</v>
      </c>
      <c r="C5" s="914" t="s">
        <v>607</v>
      </c>
      <c r="D5" s="589">
        <v>2</v>
      </c>
      <c r="E5" s="589">
        <v>1</v>
      </c>
      <c r="F5" s="589">
        <v>2</v>
      </c>
      <c r="G5" s="175">
        <v>8</v>
      </c>
      <c r="H5" s="890"/>
      <c r="I5" s="882">
        <v>1</v>
      </c>
      <c r="J5" s="882">
        <v>1</v>
      </c>
      <c r="K5" s="882"/>
      <c r="L5" s="882">
        <v>1</v>
      </c>
      <c r="M5" s="892"/>
      <c r="N5" s="892"/>
      <c r="O5" s="892"/>
      <c r="P5" s="589"/>
      <c r="Q5" s="589"/>
      <c r="R5" s="175"/>
      <c r="S5" s="11"/>
      <c r="T5" s="589"/>
      <c r="U5" s="589"/>
      <c r="V5" s="589"/>
      <c r="W5" s="182"/>
      <c r="X5" s="187" t="s">
        <v>608</v>
      </c>
      <c r="Y5" s="172" t="s">
        <v>609</v>
      </c>
      <c r="Z5" s="589">
        <v>2</v>
      </c>
      <c r="AA5" s="472"/>
      <c r="AB5" s="589"/>
      <c r="AC5" s="29" t="s">
        <v>572</v>
      </c>
      <c r="AD5" s="172" t="s">
        <v>572</v>
      </c>
      <c r="AE5" s="589">
        <v>1</v>
      </c>
      <c r="AF5" s="172"/>
      <c r="AG5" s="172"/>
      <c r="AH5" s="187" t="s">
        <v>571</v>
      </c>
      <c r="AI5" s="11"/>
      <c r="AJ5" s="530"/>
      <c r="AK5" s="172"/>
      <c r="AL5" s="172"/>
      <c r="AM5" s="172"/>
      <c r="AN5" s="172"/>
    </row>
    <row r="6" spans="1:40">
      <c r="A6" s="589">
        <v>4</v>
      </c>
      <c r="B6" s="589" t="s">
        <v>167</v>
      </c>
      <c r="C6" s="1370" t="s">
        <v>626</v>
      </c>
      <c r="D6" s="589">
        <v>2</v>
      </c>
      <c r="E6" s="589">
        <v>2</v>
      </c>
      <c r="F6" s="589">
        <v>0</v>
      </c>
      <c r="G6" s="175">
        <v>6</v>
      </c>
      <c r="H6" s="890"/>
      <c r="I6" s="882"/>
      <c r="J6" s="882"/>
      <c r="K6" s="882"/>
      <c r="L6" s="882">
        <v>1</v>
      </c>
      <c r="M6" s="892"/>
      <c r="N6" s="892"/>
      <c r="O6" s="892"/>
      <c r="P6" s="589"/>
      <c r="Q6" s="589"/>
      <c r="R6" s="175"/>
      <c r="S6" s="11"/>
      <c r="T6" s="589"/>
      <c r="U6" s="589"/>
      <c r="V6" s="589"/>
      <c r="W6" s="182"/>
      <c r="X6" s="952" t="s">
        <v>618</v>
      </c>
      <c r="Y6" s="29" t="s">
        <v>627</v>
      </c>
      <c r="Z6" s="589">
        <v>1</v>
      </c>
      <c r="AA6" s="172"/>
      <c r="AB6" s="589"/>
      <c r="AC6" s="29" t="s">
        <v>572</v>
      </c>
      <c r="AD6" s="172" t="s">
        <v>572</v>
      </c>
      <c r="AE6" s="589">
        <v>1</v>
      </c>
      <c r="AF6" s="172"/>
      <c r="AG6" s="172"/>
      <c r="AH6" s="29" t="s">
        <v>627</v>
      </c>
      <c r="AI6" s="11"/>
      <c r="AJ6" s="530"/>
      <c r="AK6" s="172"/>
      <c r="AL6" s="172"/>
      <c r="AM6" s="172"/>
      <c r="AN6" s="172"/>
    </row>
    <row r="7" spans="1:40">
      <c r="A7" s="589">
        <v>5</v>
      </c>
      <c r="B7" s="589" t="s">
        <v>167</v>
      </c>
      <c r="C7" s="911" t="s">
        <v>600</v>
      </c>
      <c r="D7" s="589">
        <v>3</v>
      </c>
      <c r="E7" s="589">
        <v>1</v>
      </c>
      <c r="F7" s="589">
        <v>2</v>
      </c>
      <c r="G7" s="175">
        <v>8</v>
      </c>
      <c r="H7" s="890">
        <v>3</v>
      </c>
      <c r="I7" s="882"/>
      <c r="J7" s="882"/>
      <c r="K7" s="882">
        <v>3</v>
      </c>
      <c r="L7" s="882"/>
      <c r="M7" s="892"/>
      <c r="N7" s="892"/>
      <c r="O7" s="892"/>
      <c r="P7" s="589"/>
      <c r="Q7" s="589"/>
      <c r="R7" s="175"/>
      <c r="S7" s="11"/>
      <c r="T7" s="589"/>
      <c r="U7" s="589"/>
      <c r="V7" s="589"/>
      <c r="W7" s="182"/>
      <c r="X7" s="897" t="s">
        <v>601</v>
      </c>
      <c r="Y7" s="899" t="s">
        <v>576</v>
      </c>
      <c r="Z7" s="589">
        <v>1</v>
      </c>
      <c r="AA7" s="172"/>
      <c r="AB7" s="589"/>
      <c r="AC7" s="901" t="s">
        <v>583</v>
      </c>
      <c r="AD7" s="901" t="s">
        <v>583</v>
      </c>
      <c r="AE7" s="589">
        <v>1</v>
      </c>
      <c r="AF7" s="172"/>
      <c r="AG7" s="172"/>
      <c r="AH7" s="899" t="s">
        <v>576</v>
      </c>
      <c r="AI7" s="11"/>
      <c r="AJ7" s="530"/>
      <c r="AK7" s="172"/>
      <c r="AL7" s="172"/>
      <c r="AM7" s="172"/>
      <c r="AN7" s="172"/>
    </row>
    <row r="8" spans="1:40">
      <c r="A8" s="589">
        <v>6</v>
      </c>
      <c r="B8" s="589" t="s">
        <v>167</v>
      </c>
      <c r="C8" s="105" t="s">
        <v>171</v>
      </c>
      <c r="D8" s="589">
        <v>3</v>
      </c>
      <c r="E8" s="589">
        <v>1</v>
      </c>
      <c r="F8" s="894">
        <v>2</v>
      </c>
      <c r="G8" s="175">
        <v>8</v>
      </c>
      <c r="H8" s="890">
        <v>3</v>
      </c>
      <c r="I8" s="882">
        <v>5</v>
      </c>
      <c r="J8" s="891">
        <v>5</v>
      </c>
      <c r="K8" s="882">
        <v>3</v>
      </c>
      <c r="L8" s="882"/>
      <c r="M8" s="892"/>
      <c r="N8" s="892"/>
      <c r="O8" s="892"/>
      <c r="P8" s="589"/>
      <c r="Q8" s="589"/>
      <c r="R8" s="175"/>
      <c r="S8" s="11"/>
      <c r="T8" s="589"/>
      <c r="U8" s="589"/>
      <c r="V8" s="589"/>
      <c r="W8" s="182"/>
      <c r="X8" s="172" t="s">
        <v>137</v>
      </c>
      <c r="Y8" s="896" t="s">
        <v>573</v>
      </c>
      <c r="Z8" s="589">
        <v>1</v>
      </c>
      <c r="AA8" s="172"/>
      <c r="AB8" s="589"/>
      <c r="AC8" s="897" t="s">
        <v>574</v>
      </c>
      <c r="AD8" s="897" t="s">
        <v>574</v>
      </c>
      <c r="AE8" s="589">
        <v>1</v>
      </c>
      <c r="AF8" s="172"/>
      <c r="AG8" s="172"/>
      <c r="AH8" s="896" t="s">
        <v>573</v>
      </c>
      <c r="AI8" s="11"/>
      <c r="AJ8" s="530"/>
      <c r="AK8" s="172"/>
      <c r="AL8" s="172"/>
      <c r="AM8" s="172"/>
      <c r="AN8" s="172"/>
    </row>
    <row r="9" spans="1:40">
      <c r="A9" s="589">
        <v>7</v>
      </c>
      <c r="B9" s="589" t="s">
        <v>167</v>
      </c>
      <c r="C9" s="912" t="s">
        <v>610</v>
      </c>
      <c r="D9" s="589">
        <v>3</v>
      </c>
      <c r="E9" s="894">
        <v>1</v>
      </c>
      <c r="F9" s="894">
        <v>1</v>
      </c>
      <c r="G9" s="175">
        <v>8</v>
      </c>
      <c r="H9" s="890"/>
      <c r="I9" s="882">
        <v>3</v>
      </c>
      <c r="J9" s="882">
        <v>3</v>
      </c>
      <c r="K9" s="882"/>
      <c r="L9" s="882"/>
      <c r="M9" s="892"/>
      <c r="N9" s="892"/>
      <c r="O9" s="892"/>
      <c r="P9" s="589"/>
      <c r="Q9" s="589"/>
      <c r="R9" s="175"/>
      <c r="S9" s="11"/>
      <c r="T9" s="589"/>
      <c r="U9" s="589"/>
      <c r="V9" s="589"/>
      <c r="W9" s="182"/>
      <c r="X9" s="187" t="s">
        <v>608</v>
      </c>
      <c r="Y9" s="172" t="s">
        <v>585</v>
      </c>
      <c r="Z9" s="589">
        <v>1</v>
      </c>
      <c r="AA9" s="172"/>
      <c r="AB9" s="589"/>
      <c r="AC9" s="29" t="s">
        <v>611</v>
      </c>
      <c r="AD9" s="29" t="s">
        <v>611</v>
      </c>
      <c r="AE9" s="589">
        <v>1</v>
      </c>
      <c r="AF9" s="1386"/>
      <c r="AG9" s="29"/>
      <c r="AH9" s="172" t="s">
        <v>585</v>
      </c>
      <c r="AI9" s="11"/>
      <c r="AJ9" s="530"/>
      <c r="AK9" s="172"/>
      <c r="AL9" s="172"/>
      <c r="AM9" s="172"/>
      <c r="AN9" s="172"/>
    </row>
    <row r="10" spans="1:40">
      <c r="A10" s="589">
        <v>8</v>
      </c>
      <c r="B10" s="589" t="s">
        <v>167</v>
      </c>
      <c r="C10" s="912" t="s">
        <v>628</v>
      </c>
      <c r="D10" s="589">
        <v>3</v>
      </c>
      <c r="E10" s="589">
        <v>0</v>
      </c>
      <c r="F10" s="589">
        <v>3</v>
      </c>
      <c r="G10" s="175">
        <v>8</v>
      </c>
      <c r="H10" s="890">
        <v>3</v>
      </c>
      <c r="I10" s="882">
        <v>3</v>
      </c>
      <c r="J10" s="882">
        <v>3</v>
      </c>
      <c r="K10" s="882">
        <v>5</v>
      </c>
      <c r="L10" s="882">
        <v>3</v>
      </c>
      <c r="M10" s="892"/>
      <c r="N10" s="892"/>
      <c r="O10" s="892"/>
      <c r="P10" s="589"/>
      <c r="Q10" s="589"/>
      <c r="R10" s="175"/>
      <c r="S10" s="11"/>
      <c r="T10" s="589"/>
      <c r="U10" s="589"/>
      <c r="V10" s="589"/>
      <c r="W10" s="182"/>
      <c r="X10" s="952" t="s">
        <v>618</v>
      </c>
      <c r="Y10" s="899" t="s">
        <v>576</v>
      </c>
      <c r="Z10" s="589">
        <v>1</v>
      </c>
      <c r="AA10" s="172"/>
      <c r="AB10" s="589"/>
      <c r="AC10" s="901" t="s">
        <v>583</v>
      </c>
      <c r="AD10" s="901" t="s">
        <v>583</v>
      </c>
      <c r="AE10" s="589">
        <v>1</v>
      </c>
      <c r="AF10" s="902"/>
      <c r="AG10" s="172"/>
      <c r="AH10" s="899" t="s">
        <v>576</v>
      </c>
      <c r="AI10" s="11"/>
      <c r="AJ10" s="530"/>
      <c r="AK10" s="172"/>
      <c r="AL10" s="172"/>
      <c r="AM10" s="172"/>
      <c r="AN10" s="172"/>
    </row>
    <row r="11" spans="1:40">
      <c r="A11" s="589">
        <v>9</v>
      </c>
      <c r="B11" s="589" t="s">
        <v>167</v>
      </c>
      <c r="C11" s="912" t="s">
        <v>642</v>
      </c>
      <c r="D11" s="589">
        <v>3</v>
      </c>
      <c r="E11" s="589">
        <v>1</v>
      </c>
      <c r="F11" s="589">
        <v>2</v>
      </c>
      <c r="G11" s="175">
        <v>8</v>
      </c>
      <c r="H11" s="890" t="s">
        <v>643</v>
      </c>
      <c r="I11" s="882">
        <v>5</v>
      </c>
      <c r="J11" s="882">
        <v>5</v>
      </c>
      <c r="K11" s="882"/>
      <c r="L11" s="882"/>
      <c r="M11" s="892"/>
      <c r="N11" s="892"/>
      <c r="O11" s="892"/>
      <c r="P11" s="589"/>
      <c r="Q11" s="589"/>
      <c r="R11" s="175"/>
      <c r="S11" s="11"/>
      <c r="T11" s="589"/>
      <c r="U11" s="589"/>
      <c r="V11" s="589"/>
      <c r="W11" s="182"/>
      <c r="X11" s="948" t="s">
        <v>644</v>
      </c>
      <c r="Y11" s="948" t="s">
        <v>597</v>
      </c>
      <c r="Z11" s="589">
        <v>1</v>
      </c>
      <c r="AA11" s="172"/>
      <c r="AB11" s="589"/>
      <c r="AC11" s="903" t="s">
        <v>593</v>
      </c>
      <c r="AD11" s="903" t="s">
        <v>593</v>
      </c>
      <c r="AE11" s="589">
        <v>1</v>
      </c>
      <c r="AF11" s="902"/>
      <c r="AG11" s="172"/>
      <c r="AH11" s="948" t="s">
        <v>597</v>
      </c>
      <c r="AI11" s="11"/>
      <c r="AJ11" s="530"/>
      <c r="AK11" s="172"/>
      <c r="AL11" s="172"/>
      <c r="AM11" s="172"/>
      <c r="AN11" s="172"/>
    </row>
    <row r="12" spans="1:40">
      <c r="A12" s="589">
        <v>10</v>
      </c>
      <c r="B12" s="589" t="s">
        <v>167</v>
      </c>
      <c r="C12" s="105" t="s">
        <v>621</v>
      </c>
      <c r="D12" s="589">
        <v>2</v>
      </c>
      <c r="E12" s="589">
        <v>3</v>
      </c>
      <c r="F12" s="589">
        <v>0</v>
      </c>
      <c r="G12" s="175">
        <v>6</v>
      </c>
      <c r="H12" s="890"/>
      <c r="I12" s="882">
        <v>5</v>
      </c>
      <c r="J12" s="891">
        <v>5</v>
      </c>
      <c r="K12" s="882"/>
      <c r="L12" s="882"/>
      <c r="M12" s="892"/>
      <c r="N12" s="892"/>
      <c r="O12" s="892"/>
      <c r="P12" s="589"/>
      <c r="Q12" s="589"/>
      <c r="R12" s="175"/>
      <c r="S12" s="11"/>
      <c r="T12" s="589"/>
      <c r="U12" s="589"/>
      <c r="V12" s="589"/>
      <c r="W12" s="182"/>
      <c r="X12" s="85" t="s">
        <v>622</v>
      </c>
      <c r="Y12" s="8" t="s">
        <v>623</v>
      </c>
      <c r="Z12" s="589">
        <v>1</v>
      </c>
      <c r="AA12" s="172"/>
      <c r="AB12" s="589"/>
      <c r="AC12" s="29" t="s">
        <v>611</v>
      </c>
      <c r="AD12" s="29" t="s">
        <v>611</v>
      </c>
      <c r="AE12" s="589">
        <v>1</v>
      </c>
      <c r="AF12" s="902"/>
      <c r="AG12" s="172"/>
      <c r="AH12" s="8" t="s">
        <v>623</v>
      </c>
      <c r="AI12" s="11"/>
      <c r="AJ12" s="530"/>
      <c r="AK12" s="172"/>
      <c r="AL12" s="172"/>
      <c r="AM12" s="172"/>
      <c r="AN12" s="172"/>
    </row>
    <row r="13" spans="1:40">
      <c r="A13" s="589">
        <v>11</v>
      </c>
      <c r="B13" s="589" t="s">
        <v>167</v>
      </c>
      <c r="C13" s="105" t="s">
        <v>470</v>
      </c>
      <c r="D13" s="894">
        <v>3</v>
      </c>
      <c r="E13" s="589">
        <v>1</v>
      </c>
      <c r="F13" s="589">
        <v>2</v>
      </c>
      <c r="G13" s="175">
        <v>8</v>
      </c>
      <c r="H13" s="890"/>
      <c r="I13" s="882"/>
      <c r="J13" s="891">
        <v>5</v>
      </c>
      <c r="K13" s="891">
        <v>7</v>
      </c>
      <c r="L13" s="891">
        <v>7</v>
      </c>
      <c r="M13" s="892"/>
      <c r="N13" s="892"/>
      <c r="O13" s="892"/>
      <c r="P13" s="589"/>
      <c r="Q13" s="589"/>
      <c r="R13" s="175"/>
      <c r="S13" s="11"/>
      <c r="T13" s="589"/>
      <c r="U13" s="589"/>
      <c r="V13" s="589"/>
      <c r="W13" s="182"/>
      <c r="X13" s="946" t="s">
        <v>469</v>
      </c>
      <c r="Y13" s="895" t="s">
        <v>571</v>
      </c>
      <c r="Z13" s="589">
        <v>1</v>
      </c>
      <c r="AA13" s="172"/>
      <c r="AB13" s="589"/>
      <c r="AC13" s="903" t="s">
        <v>593</v>
      </c>
      <c r="AD13" s="903" t="s">
        <v>593</v>
      </c>
      <c r="AE13" s="589">
        <v>1</v>
      </c>
      <c r="AF13" s="902"/>
      <c r="AG13" s="172"/>
      <c r="AH13" s="895" t="s">
        <v>571</v>
      </c>
      <c r="AI13" s="11"/>
      <c r="AJ13" s="530"/>
      <c r="AK13" s="172"/>
      <c r="AL13" s="172"/>
      <c r="AM13" s="172"/>
      <c r="AN13" s="172"/>
    </row>
    <row r="14" spans="1:40">
      <c r="A14" s="589">
        <v>12</v>
      </c>
      <c r="B14" s="589" t="s">
        <v>167</v>
      </c>
      <c r="C14" s="105" t="s">
        <v>569</v>
      </c>
      <c r="D14" s="894">
        <v>2</v>
      </c>
      <c r="E14" s="894">
        <v>3</v>
      </c>
      <c r="F14" s="894">
        <v>0</v>
      </c>
      <c r="G14" s="175">
        <v>8</v>
      </c>
      <c r="H14" s="890"/>
      <c r="I14" s="891">
        <v>5</v>
      </c>
      <c r="J14" s="882"/>
      <c r="K14" s="882"/>
      <c r="L14" s="882">
        <v>5</v>
      </c>
      <c r="M14" s="892"/>
      <c r="N14" s="892"/>
      <c r="O14" s="892"/>
      <c r="P14" s="589"/>
      <c r="Q14" s="589"/>
      <c r="R14" s="175"/>
      <c r="S14" s="11"/>
      <c r="T14" s="589"/>
      <c r="U14" s="589"/>
      <c r="V14" s="589"/>
      <c r="W14" s="182"/>
      <c r="X14" s="85" t="s">
        <v>570</v>
      </c>
      <c r="Y14" s="895" t="s">
        <v>571</v>
      </c>
      <c r="Z14" s="589">
        <v>1</v>
      </c>
      <c r="AA14" s="172"/>
      <c r="AB14" s="589"/>
      <c r="AC14" s="29" t="s">
        <v>572</v>
      </c>
      <c r="AD14" s="172" t="s">
        <v>572</v>
      </c>
      <c r="AE14" s="589" t="s">
        <v>567</v>
      </c>
      <c r="AF14" s="902"/>
      <c r="AG14" s="172"/>
      <c r="AH14" s="895" t="s">
        <v>571</v>
      </c>
      <c r="AI14" s="11"/>
      <c r="AJ14" s="530"/>
      <c r="AK14" s="172"/>
      <c r="AL14" s="172"/>
      <c r="AM14" s="172"/>
      <c r="AN14" s="172"/>
    </row>
    <row r="15" spans="1:40">
      <c r="A15" s="589">
        <v>13</v>
      </c>
      <c r="B15" s="944" t="s">
        <v>167</v>
      </c>
      <c r="C15" s="1369" t="s">
        <v>629</v>
      </c>
      <c r="D15" s="894">
        <v>2</v>
      </c>
      <c r="E15" s="894">
        <v>2</v>
      </c>
      <c r="F15" s="894">
        <v>0</v>
      </c>
      <c r="G15" s="951">
        <v>6</v>
      </c>
      <c r="H15" s="890"/>
      <c r="I15" s="882"/>
      <c r="J15" s="882"/>
      <c r="K15" s="882"/>
      <c r="L15" s="882">
        <v>5</v>
      </c>
      <c r="M15" s="892"/>
      <c r="N15" s="892"/>
      <c r="O15" s="892"/>
      <c r="P15" s="589"/>
      <c r="Q15" s="589"/>
      <c r="R15" s="175"/>
      <c r="S15" s="11"/>
      <c r="T15" s="589"/>
      <c r="U15" s="589"/>
      <c r="V15" s="589"/>
      <c r="W15" s="182"/>
      <c r="X15" s="952" t="s">
        <v>618</v>
      </c>
      <c r="Y15" s="895" t="s">
        <v>571</v>
      </c>
      <c r="Z15" s="589">
        <v>1</v>
      </c>
      <c r="AA15" s="172"/>
      <c r="AB15" s="589"/>
      <c r="AC15" s="8" t="s">
        <v>567</v>
      </c>
      <c r="AD15" s="8" t="s">
        <v>567</v>
      </c>
      <c r="AE15" s="589" t="s">
        <v>567</v>
      </c>
      <c r="AF15" s="902"/>
      <c r="AG15" s="172"/>
      <c r="AH15" s="895" t="s">
        <v>571</v>
      </c>
      <c r="AI15" s="11"/>
      <c r="AJ15" s="530"/>
      <c r="AK15" s="172"/>
      <c r="AL15" s="172"/>
      <c r="AM15" s="172"/>
      <c r="AN15" s="172"/>
    </row>
    <row r="16" spans="1:40">
      <c r="A16" s="589">
        <v>14</v>
      </c>
      <c r="B16" s="589" t="s">
        <v>167</v>
      </c>
      <c r="C16" s="912" t="s">
        <v>630</v>
      </c>
      <c r="D16" s="589">
        <v>3</v>
      </c>
      <c r="E16" s="589">
        <v>1</v>
      </c>
      <c r="F16" s="589">
        <v>2</v>
      </c>
      <c r="G16" s="175">
        <v>8</v>
      </c>
      <c r="H16" s="890"/>
      <c r="I16" s="891">
        <v>7</v>
      </c>
      <c r="J16" s="891">
        <v>5</v>
      </c>
      <c r="K16" s="882"/>
      <c r="L16" s="882">
        <v>5</v>
      </c>
      <c r="M16" s="892"/>
      <c r="N16" s="892"/>
      <c r="O16" s="892"/>
      <c r="P16" s="589"/>
      <c r="Q16" s="589"/>
      <c r="R16" s="175"/>
      <c r="S16" s="11"/>
      <c r="T16" s="589"/>
      <c r="U16" s="589"/>
      <c r="V16" s="589"/>
      <c r="W16" s="182"/>
      <c r="X16" s="952" t="s">
        <v>618</v>
      </c>
      <c r="Y16" s="953" t="s">
        <v>631</v>
      </c>
      <c r="Z16" s="589">
        <v>1</v>
      </c>
      <c r="AA16" s="172"/>
      <c r="AB16" s="589"/>
      <c r="AC16" s="8" t="s">
        <v>567</v>
      </c>
      <c r="AD16" s="8" t="s">
        <v>567</v>
      </c>
      <c r="AE16" s="589" t="s">
        <v>567</v>
      </c>
      <c r="AF16" s="902"/>
      <c r="AG16" s="172"/>
      <c r="AH16" s="953" t="s">
        <v>631</v>
      </c>
      <c r="AI16" s="11"/>
      <c r="AJ16" s="530"/>
      <c r="AK16" s="172"/>
      <c r="AL16" s="172"/>
      <c r="AM16" s="172"/>
      <c r="AN16" s="172"/>
    </row>
    <row r="17" spans="1:40">
      <c r="A17" s="589">
        <v>15</v>
      </c>
      <c r="B17" s="589" t="s">
        <v>167</v>
      </c>
      <c r="C17" s="912" t="s">
        <v>519</v>
      </c>
      <c r="D17" s="894">
        <v>3</v>
      </c>
      <c r="E17" s="894">
        <v>1</v>
      </c>
      <c r="F17" s="894">
        <v>2</v>
      </c>
      <c r="G17" s="175">
        <v>8</v>
      </c>
      <c r="H17" s="890"/>
      <c r="I17" s="882"/>
      <c r="J17" s="882"/>
      <c r="K17" s="882">
        <v>5</v>
      </c>
      <c r="L17" s="882"/>
      <c r="M17" s="892"/>
      <c r="N17" s="892"/>
      <c r="O17" s="892"/>
      <c r="P17" s="589"/>
      <c r="Q17" s="589"/>
      <c r="R17" s="175"/>
      <c r="S17" s="11"/>
      <c r="T17" s="589"/>
      <c r="U17" s="589"/>
      <c r="V17" s="589"/>
      <c r="W17" s="182"/>
      <c r="X17" s="945" t="s">
        <v>525</v>
      </c>
      <c r="Y17" s="936" t="s">
        <v>619</v>
      </c>
      <c r="Z17" s="589">
        <v>1</v>
      </c>
      <c r="AA17" s="172"/>
      <c r="AB17" s="589"/>
      <c r="AC17" s="8" t="s">
        <v>567</v>
      </c>
      <c r="AD17" s="8" t="s">
        <v>567</v>
      </c>
      <c r="AE17" s="589" t="s">
        <v>567</v>
      </c>
      <c r="AF17" s="902"/>
      <c r="AG17" s="172"/>
      <c r="AH17" s="936" t="s">
        <v>619</v>
      </c>
      <c r="AI17" s="11"/>
      <c r="AJ17" s="530"/>
      <c r="AK17" s="172"/>
      <c r="AL17" s="172"/>
      <c r="AM17" s="172"/>
      <c r="AN17" s="172"/>
    </row>
    <row r="18" spans="1:40">
      <c r="A18" s="589">
        <v>16</v>
      </c>
      <c r="B18" s="589" t="s">
        <v>167</v>
      </c>
      <c r="C18" s="912" t="s">
        <v>602</v>
      </c>
      <c r="D18" s="894">
        <v>2</v>
      </c>
      <c r="E18" s="589">
        <v>1</v>
      </c>
      <c r="F18" s="894">
        <v>2</v>
      </c>
      <c r="G18" s="175">
        <v>8</v>
      </c>
      <c r="H18" s="890"/>
      <c r="I18" s="882"/>
      <c r="J18" s="882"/>
      <c r="K18" s="882">
        <v>5</v>
      </c>
      <c r="L18" s="882"/>
      <c r="M18" s="892"/>
      <c r="N18" s="892"/>
      <c r="O18" s="892"/>
      <c r="P18" s="589"/>
      <c r="Q18" s="589"/>
      <c r="R18" s="175"/>
      <c r="S18" s="11"/>
      <c r="T18" s="589"/>
      <c r="U18" s="589"/>
      <c r="V18" s="589"/>
      <c r="W18" s="182"/>
      <c r="X18" s="897" t="s">
        <v>601</v>
      </c>
      <c r="Y18" s="897" t="s">
        <v>601</v>
      </c>
      <c r="Z18" s="589" t="s">
        <v>567</v>
      </c>
      <c r="AA18" s="172"/>
      <c r="AB18" s="589"/>
      <c r="AC18" s="8" t="s">
        <v>567</v>
      </c>
      <c r="AD18" s="8" t="s">
        <v>567</v>
      </c>
      <c r="AE18" s="589" t="s">
        <v>567</v>
      </c>
      <c r="AF18" s="902"/>
      <c r="AG18" s="172"/>
      <c r="AH18" s="897" t="s">
        <v>601</v>
      </c>
      <c r="AI18" s="11"/>
      <c r="AJ18" s="530"/>
      <c r="AK18" s="172"/>
      <c r="AL18" s="172"/>
      <c r="AM18" s="172"/>
      <c r="AN18" s="172"/>
    </row>
    <row r="19" spans="1:40">
      <c r="A19" s="589">
        <v>17</v>
      </c>
      <c r="B19" s="589" t="s">
        <v>167</v>
      </c>
      <c r="C19" s="889" t="s">
        <v>565</v>
      </c>
      <c r="D19" s="589">
        <v>2</v>
      </c>
      <c r="E19" s="589">
        <v>1</v>
      </c>
      <c r="F19" s="589">
        <v>2</v>
      </c>
      <c r="G19" s="175">
        <v>6</v>
      </c>
      <c r="H19" s="890"/>
      <c r="I19" s="882"/>
      <c r="J19" s="882"/>
      <c r="K19" s="882">
        <v>5</v>
      </c>
      <c r="L19" s="882"/>
      <c r="M19" s="892"/>
      <c r="N19" s="892"/>
      <c r="O19" s="892"/>
      <c r="P19" s="589"/>
      <c r="Q19" s="589"/>
      <c r="R19" s="175"/>
      <c r="S19" s="11"/>
      <c r="T19" s="589"/>
      <c r="U19" s="589"/>
      <c r="V19" s="589"/>
      <c r="W19" s="182"/>
      <c r="X19" s="886" t="s">
        <v>566</v>
      </c>
      <c r="Y19" s="886" t="s">
        <v>566</v>
      </c>
      <c r="Z19" s="589" t="s">
        <v>567</v>
      </c>
      <c r="AA19" s="172"/>
      <c r="AB19" s="589"/>
      <c r="AC19" s="8" t="s">
        <v>567</v>
      </c>
      <c r="AD19" s="8" t="s">
        <v>567</v>
      </c>
      <c r="AE19" s="589" t="s">
        <v>567</v>
      </c>
      <c r="AF19" s="902"/>
      <c r="AG19" s="172"/>
      <c r="AH19" s="886" t="s">
        <v>566</v>
      </c>
      <c r="AI19" s="11"/>
      <c r="AJ19" s="530"/>
      <c r="AK19" s="172"/>
      <c r="AL19" s="172"/>
      <c r="AM19" s="172"/>
      <c r="AN19" s="172"/>
    </row>
    <row r="20" spans="1:40" ht="30">
      <c r="A20" s="589">
        <v>18</v>
      </c>
      <c r="B20" s="589" t="s">
        <v>167</v>
      </c>
      <c r="C20" s="889" t="s">
        <v>592</v>
      </c>
      <c r="D20" s="894">
        <v>2</v>
      </c>
      <c r="E20" s="589">
        <v>1</v>
      </c>
      <c r="F20" s="589">
        <v>2</v>
      </c>
      <c r="G20" s="175">
        <v>8</v>
      </c>
      <c r="H20" s="890">
        <v>5</v>
      </c>
      <c r="I20" s="882"/>
      <c r="J20" s="882"/>
      <c r="K20" s="882"/>
      <c r="L20" s="882"/>
      <c r="M20" s="892"/>
      <c r="N20" s="892"/>
      <c r="O20" s="892"/>
      <c r="P20" s="589"/>
      <c r="Q20" s="589"/>
      <c r="R20" s="175"/>
      <c r="S20" s="11"/>
      <c r="T20" s="589"/>
      <c r="U20" s="589"/>
      <c r="V20" s="589"/>
      <c r="W20" s="182"/>
      <c r="X20" s="903" t="s">
        <v>590</v>
      </c>
      <c r="Y20" s="903" t="s">
        <v>588</v>
      </c>
      <c r="Z20" s="589">
        <v>1</v>
      </c>
      <c r="AA20" s="172"/>
      <c r="AB20" s="589"/>
      <c r="AC20" s="903" t="s">
        <v>593</v>
      </c>
      <c r="AD20" s="903" t="s">
        <v>593</v>
      </c>
      <c r="AE20" s="589">
        <v>1</v>
      </c>
      <c r="AF20" s="472"/>
      <c r="AG20" s="472"/>
      <c r="AH20" s="903" t="s">
        <v>588</v>
      </c>
      <c r="AI20" s="11"/>
      <c r="AJ20" s="530"/>
      <c r="AK20" s="172"/>
      <c r="AL20" s="172"/>
      <c r="AM20" s="172"/>
      <c r="AN20" s="172"/>
    </row>
    <row r="21" spans="1:40">
      <c r="A21" s="589">
        <v>19</v>
      </c>
      <c r="B21" s="589" t="s">
        <v>167</v>
      </c>
      <c r="C21" s="889" t="s">
        <v>594</v>
      </c>
      <c r="D21" s="589">
        <v>3</v>
      </c>
      <c r="E21" s="589">
        <v>1</v>
      </c>
      <c r="F21" s="589">
        <v>2</v>
      </c>
      <c r="G21" s="175">
        <v>8</v>
      </c>
      <c r="H21" s="890">
        <v>5</v>
      </c>
      <c r="I21" s="882"/>
      <c r="J21" s="882"/>
      <c r="K21" s="882"/>
      <c r="L21" s="882"/>
      <c r="M21" s="892"/>
      <c r="N21" s="892"/>
      <c r="O21" s="892"/>
      <c r="P21" s="589"/>
      <c r="Q21" s="589"/>
      <c r="R21" s="175"/>
      <c r="S21" s="11"/>
      <c r="T21" s="589"/>
      <c r="U21" s="589"/>
      <c r="V21" s="589"/>
      <c r="W21" s="182"/>
      <c r="X21" s="903" t="s">
        <v>590</v>
      </c>
      <c r="Y21" s="896" t="s">
        <v>588</v>
      </c>
      <c r="Z21" s="589">
        <v>1</v>
      </c>
      <c r="AA21" s="172"/>
      <c r="AB21" s="589"/>
      <c r="AC21" s="904" t="s">
        <v>593</v>
      </c>
      <c r="AD21" s="904" t="s">
        <v>593</v>
      </c>
      <c r="AE21" s="589">
        <v>1</v>
      </c>
      <c r="AF21" s="905"/>
      <c r="AG21" s="85"/>
      <c r="AH21" s="896" t="s">
        <v>588</v>
      </c>
      <c r="AI21" s="11"/>
      <c r="AJ21" s="530"/>
      <c r="AK21" s="172"/>
      <c r="AL21" s="172"/>
      <c r="AM21" s="172"/>
      <c r="AN21" s="172"/>
    </row>
    <row r="22" spans="1:40">
      <c r="A22" s="589">
        <v>20</v>
      </c>
      <c r="B22" s="589" t="s">
        <v>167</v>
      </c>
      <c r="C22" s="889" t="s">
        <v>632</v>
      </c>
      <c r="D22" s="894">
        <v>2</v>
      </c>
      <c r="E22" s="894">
        <v>2</v>
      </c>
      <c r="F22" s="894">
        <v>0</v>
      </c>
      <c r="G22" s="951">
        <v>6</v>
      </c>
      <c r="H22" s="890">
        <v>5</v>
      </c>
      <c r="I22" s="882"/>
      <c r="J22" s="882"/>
      <c r="K22" s="882"/>
      <c r="L22" s="882"/>
      <c r="M22" s="892"/>
      <c r="N22" s="892"/>
      <c r="O22" s="892"/>
      <c r="P22" s="589"/>
      <c r="Q22" s="589"/>
      <c r="R22" s="175"/>
      <c r="S22" s="11"/>
      <c r="T22" s="589"/>
      <c r="U22" s="589"/>
      <c r="V22" s="589"/>
      <c r="W22" s="182"/>
      <c r="X22" s="952" t="s">
        <v>618</v>
      </c>
      <c r="Y22" s="896" t="s">
        <v>588</v>
      </c>
      <c r="Z22" s="589">
        <v>1</v>
      </c>
      <c r="AA22" s="172"/>
      <c r="AB22" s="589"/>
      <c r="AC22" s="899" t="s">
        <v>578</v>
      </c>
      <c r="AD22" s="899" t="s">
        <v>578</v>
      </c>
      <c r="AE22" s="589">
        <v>1</v>
      </c>
      <c r="AF22" s="902"/>
      <c r="AG22" s="172"/>
      <c r="AH22" s="896" t="s">
        <v>588</v>
      </c>
      <c r="AI22" s="11"/>
      <c r="AJ22" s="530"/>
      <c r="AK22" s="172"/>
      <c r="AL22" s="172"/>
      <c r="AM22" s="172"/>
      <c r="AN22" s="172"/>
    </row>
    <row r="23" spans="1:40">
      <c r="A23" s="589">
        <v>21</v>
      </c>
      <c r="B23" s="589" t="s">
        <v>167</v>
      </c>
      <c r="C23" s="105" t="s">
        <v>636</v>
      </c>
      <c r="D23" s="589">
        <v>3</v>
      </c>
      <c r="E23" s="589">
        <v>3</v>
      </c>
      <c r="F23" s="589">
        <v>0</v>
      </c>
      <c r="G23" s="175">
        <v>8</v>
      </c>
      <c r="H23" s="890"/>
      <c r="I23" s="882"/>
      <c r="J23" s="882"/>
      <c r="K23" s="882"/>
      <c r="L23" s="882">
        <v>7</v>
      </c>
      <c r="M23" s="892"/>
      <c r="N23" s="892"/>
      <c r="O23" s="892"/>
      <c r="P23" s="589"/>
      <c r="Q23" s="589"/>
      <c r="R23" s="175"/>
      <c r="S23" s="11"/>
      <c r="T23" s="589"/>
      <c r="U23" s="589"/>
      <c r="V23" s="589"/>
      <c r="W23" s="182"/>
      <c r="X23" s="897" t="s">
        <v>637</v>
      </c>
      <c r="Y23" s="895" t="s">
        <v>571</v>
      </c>
      <c r="Z23" s="589" t="s">
        <v>567</v>
      </c>
      <c r="AA23" s="172"/>
      <c r="AB23" s="589"/>
      <c r="AC23" s="8" t="s">
        <v>567</v>
      </c>
      <c r="AD23" s="8" t="s">
        <v>567</v>
      </c>
      <c r="AE23" s="589" t="s">
        <v>567</v>
      </c>
      <c r="AF23" s="902"/>
      <c r="AG23" s="172"/>
      <c r="AH23" s="895" t="s">
        <v>571</v>
      </c>
      <c r="AI23" s="11"/>
      <c r="AJ23" s="530"/>
      <c r="AK23" s="172"/>
      <c r="AL23" s="172"/>
      <c r="AM23" s="172"/>
      <c r="AN23" s="172"/>
    </row>
    <row r="24" spans="1:40">
      <c r="A24" s="589">
        <v>22</v>
      </c>
      <c r="B24" s="913" t="s">
        <v>167</v>
      </c>
      <c r="C24" s="105" t="s">
        <v>639</v>
      </c>
      <c r="D24" s="913">
        <v>3</v>
      </c>
      <c r="E24" s="913">
        <v>3</v>
      </c>
      <c r="F24" s="913">
        <v>0</v>
      </c>
      <c r="G24" s="191">
        <v>8</v>
      </c>
      <c r="H24" s="915"/>
      <c r="I24" s="891">
        <v>7</v>
      </c>
      <c r="J24" s="916"/>
      <c r="K24" s="916"/>
      <c r="L24" s="916"/>
      <c r="M24" s="917"/>
      <c r="N24" s="917"/>
      <c r="O24" s="917"/>
      <c r="P24" s="913"/>
      <c r="Q24" s="913"/>
      <c r="R24" s="191"/>
      <c r="S24" s="16"/>
      <c r="T24" s="913"/>
      <c r="U24" s="913"/>
      <c r="V24" s="913"/>
      <c r="W24" s="918"/>
      <c r="X24" s="897" t="s">
        <v>640</v>
      </c>
      <c r="Y24" s="897" t="s">
        <v>640</v>
      </c>
      <c r="Z24" s="589">
        <v>0</v>
      </c>
      <c r="AA24" s="172"/>
      <c r="AB24" s="589"/>
      <c r="AC24" s="954"/>
      <c r="AD24" s="954"/>
      <c r="AE24" s="908"/>
      <c r="AF24" s="919"/>
      <c r="AG24" s="176"/>
      <c r="AH24" s="897" t="s">
        <v>640</v>
      </c>
      <c r="AI24" s="16"/>
      <c r="AJ24" s="920"/>
      <c r="AK24" s="176"/>
      <c r="AL24" s="176"/>
      <c r="AM24" s="176"/>
      <c r="AN24" s="176"/>
    </row>
    <row r="25" spans="1:40">
      <c r="A25" s="589">
        <v>23</v>
      </c>
      <c r="B25" s="913" t="s">
        <v>167</v>
      </c>
      <c r="C25" s="906" t="s">
        <v>595</v>
      </c>
      <c r="D25" s="913">
        <v>0</v>
      </c>
      <c r="E25" s="913">
        <v>0</v>
      </c>
      <c r="F25" s="913">
        <v>0</v>
      </c>
      <c r="G25" s="191">
        <v>6</v>
      </c>
      <c r="H25" s="915">
        <v>7</v>
      </c>
      <c r="I25" s="916"/>
      <c r="J25" s="916"/>
      <c r="K25" s="916"/>
      <c r="L25" s="916"/>
      <c r="M25" s="917"/>
      <c r="N25" s="917"/>
      <c r="O25" s="917"/>
      <c r="P25" s="913"/>
      <c r="Q25" s="913"/>
      <c r="R25" s="191"/>
      <c r="S25" s="16"/>
      <c r="T25" s="913"/>
      <c r="U25" s="913"/>
      <c r="V25" s="913"/>
      <c r="W25" s="918"/>
      <c r="X25" s="897" t="s">
        <v>590</v>
      </c>
      <c r="Y25" s="907"/>
      <c r="Z25" s="908"/>
      <c r="AA25" s="172"/>
      <c r="AB25" s="589"/>
      <c r="AC25" s="909"/>
      <c r="AD25" s="909"/>
      <c r="AE25" s="908"/>
      <c r="AF25" s="919"/>
      <c r="AG25" s="176"/>
      <c r="AH25" s="1388"/>
      <c r="AI25" s="16"/>
      <c r="AJ25" s="920"/>
      <c r="AK25" s="176"/>
      <c r="AL25" s="176"/>
      <c r="AM25" s="176"/>
      <c r="AN25" s="176"/>
    </row>
    <row r="26" spans="1:40">
      <c r="A26" s="589">
        <v>24</v>
      </c>
      <c r="B26" s="913" t="s">
        <v>167</v>
      </c>
      <c r="C26" s="906" t="s">
        <v>520</v>
      </c>
      <c r="D26" s="913"/>
      <c r="E26" s="913"/>
      <c r="F26" s="913"/>
      <c r="G26" s="191">
        <v>6</v>
      </c>
      <c r="H26" s="915"/>
      <c r="I26" s="916"/>
      <c r="J26" s="916"/>
      <c r="K26" s="916"/>
      <c r="L26" s="916"/>
      <c r="M26" s="917"/>
      <c r="N26" s="917"/>
      <c r="O26" s="917"/>
      <c r="P26" s="913"/>
      <c r="Q26" s="913"/>
      <c r="R26" s="191"/>
      <c r="S26" s="16"/>
      <c r="T26" s="913"/>
      <c r="U26" s="913"/>
      <c r="V26" s="913"/>
      <c r="W26" s="918"/>
      <c r="X26" s="897" t="s">
        <v>525</v>
      </c>
      <c r="Y26" s="907"/>
      <c r="Z26" s="908"/>
      <c r="AA26" s="172"/>
      <c r="AB26" s="589"/>
      <c r="AC26" s="909"/>
      <c r="AD26" s="909"/>
      <c r="AE26" s="908"/>
      <c r="AF26" s="919"/>
      <c r="AG26" s="176"/>
      <c r="AH26" s="1388"/>
      <c r="AI26" s="16"/>
      <c r="AJ26" s="920"/>
      <c r="AK26" s="176"/>
      <c r="AL26" s="176"/>
      <c r="AM26" s="176"/>
      <c r="AN26" s="176"/>
    </row>
    <row r="27" spans="1:40" ht="16.5" thickBot="1">
      <c r="A27" s="589">
        <v>25</v>
      </c>
      <c r="B27" s="606" t="s">
        <v>167</v>
      </c>
      <c r="C27" s="1368" t="s">
        <v>612</v>
      </c>
      <c r="D27" s="606">
        <v>0</v>
      </c>
      <c r="E27" s="606">
        <v>0</v>
      </c>
      <c r="F27" s="606">
        <v>0</v>
      </c>
      <c r="G27" s="177">
        <v>6</v>
      </c>
      <c r="H27" s="923"/>
      <c r="I27" s="924">
        <v>7</v>
      </c>
      <c r="J27" s="924">
        <v>5</v>
      </c>
      <c r="K27" s="924"/>
      <c r="L27" s="924"/>
      <c r="M27" s="925"/>
      <c r="N27" s="925"/>
      <c r="O27" s="925"/>
      <c r="P27" s="606"/>
      <c r="Q27" s="606"/>
      <c r="R27" s="177"/>
      <c r="S27" s="12"/>
      <c r="T27" s="606"/>
      <c r="U27" s="606"/>
      <c r="V27" s="606"/>
      <c r="W27" s="180"/>
      <c r="X27" s="172" t="s">
        <v>608</v>
      </c>
      <c r="Y27" s="907"/>
      <c r="Z27" s="921"/>
      <c r="AA27" s="172"/>
      <c r="AB27" s="589"/>
      <c r="AC27" s="922"/>
      <c r="AD27" s="922"/>
      <c r="AE27" s="921"/>
      <c r="AF27" s="926"/>
      <c r="AG27" s="173"/>
      <c r="AH27" s="1387"/>
      <c r="AI27" s="12"/>
      <c r="AJ27" s="927"/>
      <c r="AK27" s="173"/>
      <c r="AL27" s="173"/>
      <c r="AM27" s="173"/>
      <c r="AN27" s="173"/>
    </row>
    <row r="28" spans="1:40" ht="16.5" thickBot="1">
      <c r="A28" s="964"/>
      <c r="B28" s="965"/>
      <c r="C28" s="966" t="s">
        <v>647</v>
      </c>
      <c r="D28" s="967"/>
      <c r="E28" s="968"/>
      <c r="F28" s="968"/>
      <c r="G28" s="969"/>
      <c r="H28" s="970"/>
      <c r="I28" s="971"/>
      <c r="J28" s="971"/>
      <c r="K28" s="971"/>
      <c r="L28" s="971"/>
      <c r="M28" s="971"/>
      <c r="N28" s="971"/>
      <c r="O28" s="971"/>
      <c r="P28" s="971"/>
      <c r="Q28" s="971"/>
      <c r="R28" s="972"/>
      <c r="S28" s="970"/>
      <c r="T28" s="971"/>
      <c r="U28" s="971"/>
      <c r="V28" s="971"/>
      <c r="W28" s="972"/>
      <c r="X28" s="973"/>
      <c r="Y28" s="974"/>
      <c r="Z28" s="971"/>
      <c r="AA28" s="975"/>
      <c r="AB28" s="971"/>
      <c r="AC28" s="976"/>
      <c r="AD28" s="976"/>
      <c r="AE28" s="971"/>
      <c r="AF28" s="975"/>
      <c r="AG28" s="976"/>
      <c r="AH28" s="976"/>
      <c r="AI28" s="970"/>
      <c r="AJ28" s="977"/>
      <c r="AK28" s="976"/>
      <c r="AL28" s="976"/>
      <c r="AM28" s="976"/>
      <c r="AN28" s="976"/>
    </row>
    <row r="29" spans="1:40" ht="33" thickTop="1" thickBot="1">
      <c r="A29" s="185">
        <v>1</v>
      </c>
      <c r="B29" s="185" t="s">
        <v>173</v>
      </c>
      <c r="C29" s="471" t="s">
        <v>174</v>
      </c>
      <c r="D29" s="185">
        <v>3</v>
      </c>
      <c r="E29" s="185">
        <v>1</v>
      </c>
      <c r="F29" s="185">
        <v>3</v>
      </c>
      <c r="G29" s="185">
        <v>10</v>
      </c>
      <c r="H29" s="928">
        <v>2</v>
      </c>
      <c r="I29" s="928">
        <v>2</v>
      </c>
      <c r="J29" s="928">
        <v>2</v>
      </c>
      <c r="K29" s="928">
        <v>2</v>
      </c>
      <c r="L29" s="928"/>
      <c r="M29" s="929"/>
      <c r="N29" s="929"/>
      <c r="O29" s="929"/>
      <c r="P29" s="185"/>
      <c r="Q29" s="185"/>
      <c r="R29" s="185"/>
      <c r="S29" s="185"/>
      <c r="T29" s="185"/>
      <c r="U29" s="185"/>
      <c r="V29" s="185"/>
      <c r="W29" s="185"/>
      <c r="X29" s="1377" t="s">
        <v>575</v>
      </c>
      <c r="Y29" s="1382" t="s">
        <v>576</v>
      </c>
      <c r="Z29" s="185">
        <v>2</v>
      </c>
      <c r="AA29" s="888" t="s">
        <v>579</v>
      </c>
      <c r="AB29" s="185">
        <v>1</v>
      </c>
      <c r="AC29" s="1382" t="s">
        <v>578</v>
      </c>
      <c r="AD29" s="1382" t="s">
        <v>578</v>
      </c>
      <c r="AE29" s="185">
        <v>2</v>
      </c>
      <c r="AF29" s="888"/>
      <c r="AG29" s="888"/>
      <c r="AH29" s="1382" t="s">
        <v>576</v>
      </c>
      <c r="AI29" s="185"/>
      <c r="AJ29" s="184"/>
      <c r="AK29" s="888"/>
      <c r="AL29" s="888"/>
      <c r="AM29" s="888"/>
      <c r="AN29" s="888"/>
    </row>
    <row r="30" spans="1:40" ht="17.25" thickTop="1" thickBot="1">
      <c r="A30" s="185">
        <v>2</v>
      </c>
      <c r="B30" s="185" t="s">
        <v>173</v>
      </c>
      <c r="C30" s="471" t="s">
        <v>603</v>
      </c>
      <c r="D30" s="1372">
        <v>3</v>
      </c>
      <c r="E30" s="1372">
        <v>0</v>
      </c>
      <c r="F30" s="1372">
        <v>3</v>
      </c>
      <c r="G30" s="185">
        <v>8</v>
      </c>
      <c r="H30" s="930">
        <v>2</v>
      </c>
      <c r="I30" s="930">
        <v>2</v>
      </c>
      <c r="J30" s="930">
        <v>2</v>
      </c>
      <c r="K30" s="930">
        <v>2</v>
      </c>
      <c r="L30" s="930"/>
      <c r="M30" s="929"/>
      <c r="N30" s="929"/>
      <c r="O30" s="929"/>
      <c r="P30" s="185"/>
      <c r="Q30" s="185"/>
      <c r="R30" s="185"/>
      <c r="S30" s="185"/>
      <c r="T30" s="185"/>
      <c r="U30" s="185"/>
      <c r="V30" s="185"/>
      <c r="W30" s="185"/>
      <c r="X30" s="1379" t="s">
        <v>601</v>
      </c>
      <c r="Y30" s="888" t="s">
        <v>601</v>
      </c>
      <c r="Z30" s="185">
        <v>1</v>
      </c>
      <c r="AA30" s="1382" t="s">
        <v>576</v>
      </c>
      <c r="AB30" s="185">
        <v>2</v>
      </c>
      <c r="AC30" s="1385" t="s">
        <v>583</v>
      </c>
      <c r="AD30" s="1385" t="s">
        <v>583</v>
      </c>
      <c r="AE30" s="185">
        <v>1</v>
      </c>
      <c r="AF30" s="888"/>
      <c r="AG30" s="888"/>
      <c r="AH30" s="1382" t="s">
        <v>576</v>
      </c>
      <c r="AI30" s="185"/>
      <c r="AJ30" s="184"/>
      <c r="AK30" s="888"/>
      <c r="AL30" s="888"/>
      <c r="AM30" s="888"/>
      <c r="AN30" s="888"/>
    </row>
    <row r="31" spans="1:40" ht="47.25">
      <c r="A31" s="931">
        <v>3</v>
      </c>
      <c r="B31" s="932" t="s">
        <v>173</v>
      </c>
      <c r="C31" s="1371" t="s">
        <v>616</v>
      </c>
      <c r="D31" s="9">
        <v>2</v>
      </c>
      <c r="E31" s="879">
        <v>1</v>
      </c>
      <c r="F31" s="879">
        <v>2</v>
      </c>
      <c r="G31" s="157">
        <v>8</v>
      </c>
      <c r="H31" s="933"/>
      <c r="I31" s="934">
        <v>2</v>
      </c>
      <c r="J31" s="934">
        <v>2</v>
      </c>
      <c r="K31" s="934"/>
      <c r="L31" s="934">
        <v>2</v>
      </c>
      <c r="M31" s="935"/>
      <c r="N31" s="935"/>
      <c r="O31" s="935"/>
      <c r="P31" s="879"/>
      <c r="Q31" s="879"/>
      <c r="R31" s="157"/>
      <c r="S31" s="9"/>
      <c r="T31" s="879"/>
      <c r="U31" s="879"/>
      <c r="V31" s="879"/>
      <c r="W31" s="157"/>
      <c r="X31" s="1378" t="s">
        <v>617</v>
      </c>
      <c r="Y31" s="190" t="s">
        <v>609</v>
      </c>
      <c r="Z31" s="879">
        <v>2</v>
      </c>
      <c r="AA31" s="190"/>
      <c r="AB31" s="171"/>
      <c r="AC31" s="1384" t="s">
        <v>618</v>
      </c>
      <c r="AD31" s="1384" t="s">
        <v>618</v>
      </c>
      <c r="AE31" s="589">
        <v>1</v>
      </c>
      <c r="AF31" s="190"/>
      <c r="AG31" s="190"/>
      <c r="AH31" s="187" t="s">
        <v>571</v>
      </c>
      <c r="AI31" s="937"/>
      <c r="AJ31" s="887"/>
      <c r="AK31" s="190"/>
      <c r="AL31" s="190"/>
      <c r="AM31" s="190"/>
      <c r="AN31" s="190"/>
    </row>
    <row r="32" spans="1:40">
      <c r="A32" s="938">
        <v>4</v>
      </c>
      <c r="B32" s="605" t="s">
        <v>173</v>
      </c>
      <c r="C32" s="588" t="s">
        <v>471</v>
      </c>
      <c r="D32" s="11">
        <v>2</v>
      </c>
      <c r="E32" s="589">
        <v>0</v>
      </c>
      <c r="F32" s="589">
        <v>3</v>
      </c>
      <c r="G32" s="175">
        <v>6</v>
      </c>
      <c r="H32" s="890"/>
      <c r="I32" s="882"/>
      <c r="J32" s="882"/>
      <c r="K32" s="882"/>
      <c r="L32" s="882">
        <v>2</v>
      </c>
      <c r="M32" s="892"/>
      <c r="N32" s="892"/>
      <c r="O32" s="892"/>
      <c r="P32" s="589"/>
      <c r="Q32" s="589"/>
      <c r="R32" s="175"/>
      <c r="S32" s="11"/>
      <c r="T32" s="589"/>
      <c r="U32" s="589"/>
      <c r="V32" s="589"/>
      <c r="W32" s="175"/>
      <c r="X32" s="947" t="s">
        <v>469</v>
      </c>
      <c r="Y32" s="899" t="s">
        <v>576</v>
      </c>
      <c r="Z32" s="589">
        <v>1</v>
      </c>
      <c r="AA32" s="8"/>
      <c r="AB32" s="182"/>
      <c r="AC32" s="948" t="s">
        <v>625</v>
      </c>
      <c r="AD32" s="948" t="s">
        <v>625</v>
      </c>
      <c r="AE32" s="589" t="s">
        <v>620</v>
      </c>
      <c r="AF32" s="172"/>
      <c r="AG32" s="172"/>
      <c r="AH32" s="899" t="s">
        <v>576</v>
      </c>
      <c r="AI32" s="940"/>
      <c r="AJ32" s="530"/>
      <c r="AK32" s="172"/>
      <c r="AL32" s="172"/>
      <c r="AM32" s="172"/>
      <c r="AN32" s="172"/>
    </row>
    <row r="33" spans="1:40" ht="33.75" customHeight="1">
      <c r="A33" s="938">
        <v>5</v>
      </c>
      <c r="B33" s="605" t="s">
        <v>173</v>
      </c>
      <c r="C33" s="588" t="s">
        <v>472</v>
      </c>
      <c r="D33" s="30">
        <v>2</v>
      </c>
      <c r="E33" s="589">
        <v>1</v>
      </c>
      <c r="F33" s="589">
        <v>2</v>
      </c>
      <c r="G33" s="175">
        <v>8</v>
      </c>
      <c r="H33" s="890">
        <v>4</v>
      </c>
      <c r="I33" s="882"/>
      <c r="J33" s="882"/>
      <c r="K33" s="882"/>
      <c r="L33" s="882"/>
      <c r="M33" s="892"/>
      <c r="N33" s="892"/>
      <c r="O33" s="892"/>
      <c r="P33" s="589"/>
      <c r="Q33" s="589"/>
      <c r="R33" s="175"/>
      <c r="S33" s="11"/>
      <c r="T33" s="589"/>
      <c r="U33" s="589"/>
      <c r="V33" s="589"/>
      <c r="W33" s="175"/>
      <c r="X33" s="947" t="s">
        <v>469</v>
      </c>
      <c r="Y33" s="896" t="s">
        <v>588</v>
      </c>
      <c r="Z33" s="589">
        <v>1</v>
      </c>
      <c r="AA33" s="172"/>
      <c r="AB33" s="589"/>
      <c r="AC33" s="903" t="s">
        <v>593</v>
      </c>
      <c r="AD33" s="903" t="s">
        <v>593</v>
      </c>
      <c r="AE33" s="589">
        <v>1</v>
      </c>
      <c r="AF33" s="172"/>
      <c r="AG33" s="172"/>
      <c r="AH33" s="896" t="s">
        <v>588</v>
      </c>
      <c r="AI33" s="940"/>
      <c r="AJ33" s="530"/>
      <c r="AK33" s="172"/>
      <c r="AL33" s="172"/>
      <c r="AM33" s="172"/>
      <c r="AN33" s="172"/>
    </row>
    <row r="34" spans="1:40">
      <c r="A34" s="938">
        <v>6</v>
      </c>
      <c r="B34" s="605" t="s">
        <v>173</v>
      </c>
      <c r="C34" s="588" t="s">
        <v>586</v>
      </c>
      <c r="D34" s="30">
        <v>2</v>
      </c>
      <c r="E34" s="589">
        <v>1</v>
      </c>
      <c r="F34" s="589">
        <v>2</v>
      </c>
      <c r="G34" s="175">
        <v>8</v>
      </c>
      <c r="H34" s="890">
        <v>4</v>
      </c>
      <c r="I34" s="882">
        <v>4</v>
      </c>
      <c r="J34" s="882">
        <v>4</v>
      </c>
      <c r="K34" s="882">
        <v>6</v>
      </c>
      <c r="L34" s="882">
        <v>4</v>
      </c>
      <c r="M34" s="892"/>
      <c r="N34" s="892"/>
      <c r="O34" s="892"/>
      <c r="P34" s="589"/>
      <c r="Q34" s="589"/>
      <c r="R34" s="175"/>
      <c r="S34" s="11"/>
      <c r="T34" s="589"/>
      <c r="U34" s="589"/>
      <c r="V34" s="589"/>
      <c r="W34" s="175"/>
      <c r="X34" s="183" t="s">
        <v>587</v>
      </c>
      <c r="Y34" s="896" t="s">
        <v>588</v>
      </c>
      <c r="Z34" s="589">
        <v>2</v>
      </c>
      <c r="AA34" s="888"/>
      <c r="AB34" s="589"/>
      <c r="AC34" s="899" t="s">
        <v>578</v>
      </c>
      <c r="AD34" s="899" t="s">
        <v>578</v>
      </c>
      <c r="AE34" s="589">
        <v>2</v>
      </c>
      <c r="AF34" s="172"/>
      <c r="AG34" s="172"/>
      <c r="AH34" s="896" t="s">
        <v>588</v>
      </c>
      <c r="AI34" s="940"/>
      <c r="AJ34" s="530"/>
      <c r="AK34" s="172"/>
      <c r="AL34" s="172"/>
      <c r="AM34" s="172"/>
      <c r="AN34" s="172"/>
    </row>
    <row r="35" spans="1:40">
      <c r="A35" s="938">
        <v>7</v>
      </c>
      <c r="B35" s="605" t="s">
        <v>173</v>
      </c>
      <c r="C35" s="588" t="s">
        <v>624</v>
      </c>
      <c r="D35" s="11">
        <v>3</v>
      </c>
      <c r="E35" s="589">
        <v>1</v>
      </c>
      <c r="F35" s="894">
        <v>1</v>
      </c>
      <c r="G35" s="175">
        <v>8</v>
      </c>
      <c r="H35" s="890">
        <v>6</v>
      </c>
      <c r="I35" s="882">
        <v>4</v>
      </c>
      <c r="J35" s="882">
        <v>4</v>
      </c>
      <c r="K35" s="891">
        <v>4</v>
      </c>
      <c r="L35" s="882"/>
      <c r="M35" s="892"/>
      <c r="N35" s="892"/>
      <c r="O35" s="892"/>
      <c r="P35" s="589"/>
      <c r="Q35" s="589"/>
      <c r="R35" s="175"/>
      <c r="S35" s="11"/>
      <c r="T35" s="589"/>
      <c r="U35" s="589"/>
      <c r="V35" s="589"/>
      <c r="W35" s="175"/>
      <c r="X35" s="939" t="s">
        <v>622</v>
      </c>
      <c r="Y35" s="897" t="s">
        <v>591</v>
      </c>
      <c r="Z35" s="589">
        <v>1</v>
      </c>
      <c r="AA35" s="172"/>
      <c r="AB35" s="589"/>
      <c r="AC35" s="29" t="s">
        <v>572</v>
      </c>
      <c r="AD35" s="172" t="s">
        <v>572</v>
      </c>
      <c r="AE35" s="589">
        <v>1</v>
      </c>
      <c r="AF35" s="172"/>
      <c r="AG35" s="172"/>
      <c r="AH35" s="897" t="s">
        <v>591</v>
      </c>
      <c r="AI35" s="11"/>
      <c r="AJ35" s="530"/>
      <c r="AK35" s="172"/>
      <c r="AL35" s="172"/>
      <c r="AM35" s="172"/>
      <c r="AN35" s="172"/>
    </row>
    <row r="36" spans="1:40">
      <c r="A36" s="938">
        <v>8</v>
      </c>
      <c r="B36" s="605" t="s">
        <v>173</v>
      </c>
      <c r="C36" s="588" t="s">
        <v>521</v>
      </c>
      <c r="D36" s="11">
        <v>3</v>
      </c>
      <c r="E36" s="589">
        <v>1</v>
      </c>
      <c r="F36" s="894">
        <v>2</v>
      </c>
      <c r="G36" s="175">
        <v>8</v>
      </c>
      <c r="H36" s="890"/>
      <c r="I36" s="882"/>
      <c r="J36" s="882"/>
      <c r="K36" s="882">
        <v>4</v>
      </c>
      <c r="L36" s="882"/>
      <c r="M36" s="892"/>
      <c r="N36" s="892"/>
      <c r="O36" s="892"/>
      <c r="P36" s="589"/>
      <c r="Q36" s="589"/>
      <c r="R36" s="175"/>
      <c r="S36" s="11"/>
      <c r="T36" s="589"/>
      <c r="U36" s="589"/>
      <c r="V36" s="589"/>
      <c r="W36" s="175"/>
      <c r="X36" s="941" t="s">
        <v>525</v>
      </c>
      <c r="Y36" s="936" t="s">
        <v>619</v>
      </c>
      <c r="Z36" s="589">
        <v>1</v>
      </c>
      <c r="AA36" s="172"/>
      <c r="AB36" s="589"/>
      <c r="AC36" s="8" t="s">
        <v>620</v>
      </c>
      <c r="AD36" s="8" t="s">
        <v>620</v>
      </c>
      <c r="AE36" s="589">
        <v>1</v>
      </c>
      <c r="AF36" s="172"/>
      <c r="AG36" s="172"/>
      <c r="AH36" s="936" t="s">
        <v>619</v>
      </c>
      <c r="AI36" s="11"/>
      <c r="AJ36" s="530"/>
      <c r="AK36" s="172"/>
      <c r="AL36" s="172"/>
      <c r="AM36" s="172"/>
      <c r="AN36" s="172"/>
    </row>
    <row r="37" spans="1:40">
      <c r="A37" s="938">
        <v>9</v>
      </c>
      <c r="B37" s="605" t="s">
        <v>173</v>
      </c>
      <c r="C37" s="588" t="s">
        <v>645</v>
      </c>
      <c r="D37" s="11">
        <v>3</v>
      </c>
      <c r="E37" s="589">
        <v>1</v>
      </c>
      <c r="F37" s="589">
        <v>2</v>
      </c>
      <c r="G37" s="175">
        <v>8</v>
      </c>
      <c r="H37" s="900">
        <v>6</v>
      </c>
      <c r="I37" s="882">
        <v>6</v>
      </c>
      <c r="J37" s="891">
        <v>6</v>
      </c>
      <c r="K37" s="882">
        <v>4</v>
      </c>
      <c r="L37" s="882"/>
      <c r="M37" s="892"/>
      <c r="N37" s="892"/>
      <c r="O37" s="892"/>
      <c r="P37" s="589"/>
      <c r="Q37" s="589"/>
      <c r="R37" s="175"/>
      <c r="S37" s="11"/>
      <c r="T37" s="589"/>
      <c r="U37" s="589"/>
      <c r="V37" s="589"/>
      <c r="W37" s="175"/>
      <c r="X37" s="957" t="s">
        <v>644</v>
      </c>
      <c r="Y37" s="957" t="s">
        <v>644</v>
      </c>
      <c r="Z37" s="589">
        <v>1</v>
      </c>
      <c r="AA37" s="172"/>
      <c r="AB37" s="589"/>
      <c r="AC37" s="903" t="s">
        <v>593</v>
      </c>
      <c r="AD37" s="903" t="s">
        <v>593</v>
      </c>
      <c r="AE37" s="589">
        <v>1</v>
      </c>
      <c r="AF37" s="172"/>
      <c r="AG37" s="172"/>
      <c r="AH37" s="949" t="s">
        <v>593</v>
      </c>
      <c r="AI37" s="11"/>
      <c r="AJ37" s="530"/>
      <c r="AK37" s="172"/>
      <c r="AL37" s="172"/>
      <c r="AM37" s="172"/>
      <c r="AN37" s="172"/>
    </row>
    <row r="38" spans="1:40">
      <c r="A38" s="938">
        <v>10</v>
      </c>
      <c r="B38" s="605" t="s">
        <v>173</v>
      </c>
      <c r="C38" s="588" t="s">
        <v>522</v>
      </c>
      <c r="D38" s="30">
        <v>2</v>
      </c>
      <c r="E38" s="589">
        <v>1</v>
      </c>
      <c r="F38" s="589">
        <v>2</v>
      </c>
      <c r="G38" s="175">
        <v>8</v>
      </c>
      <c r="H38" s="890"/>
      <c r="I38" s="882"/>
      <c r="J38" s="882"/>
      <c r="K38" s="882">
        <v>4</v>
      </c>
      <c r="L38" s="882"/>
      <c r="M38" s="892"/>
      <c r="N38" s="892"/>
      <c r="O38" s="892"/>
      <c r="P38" s="589"/>
      <c r="Q38" s="589"/>
      <c r="R38" s="175"/>
      <c r="S38" s="11"/>
      <c r="T38" s="589"/>
      <c r="U38" s="589"/>
      <c r="V38" s="589"/>
      <c r="W38" s="175"/>
      <c r="X38" s="941" t="s">
        <v>525</v>
      </c>
      <c r="Y38" s="936" t="s">
        <v>619</v>
      </c>
      <c r="Z38" s="589">
        <v>1</v>
      </c>
      <c r="AA38" s="172"/>
      <c r="AB38" s="589"/>
      <c r="AC38" s="8" t="s">
        <v>620</v>
      </c>
      <c r="AD38" s="8" t="s">
        <v>620</v>
      </c>
      <c r="AE38" s="589">
        <v>1</v>
      </c>
      <c r="AF38" s="172"/>
      <c r="AG38" s="172"/>
      <c r="AH38" s="936" t="s">
        <v>619</v>
      </c>
      <c r="AI38" s="11"/>
      <c r="AJ38" s="530"/>
      <c r="AK38" s="172"/>
      <c r="AL38" s="172"/>
      <c r="AM38" s="172"/>
      <c r="AN38" s="172"/>
    </row>
    <row r="39" spans="1:40">
      <c r="A39" s="938">
        <v>11</v>
      </c>
      <c r="B39" s="605" t="s">
        <v>173</v>
      </c>
      <c r="C39" s="588" t="s">
        <v>596</v>
      </c>
      <c r="D39" s="11">
        <v>3</v>
      </c>
      <c r="E39" s="589">
        <v>1</v>
      </c>
      <c r="F39" s="589">
        <v>2</v>
      </c>
      <c r="G39" s="175">
        <v>8</v>
      </c>
      <c r="H39" s="882">
        <v>4</v>
      </c>
      <c r="I39" s="882">
        <v>4</v>
      </c>
      <c r="J39" s="882">
        <v>4</v>
      </c>
      <c r="K39" s="882"/>
      <c r="L39" s="882"/>
      <c r="M39" s="892"/>
      <c r="N39" s="892"/>
      <c r="O39" s="892"/>
      <c r="P39" s="589"/>
      <c r="Q39" s="589"/>
      <c r="R39" s="175"/>
      <c r="S39" s="11"/>
      <c r="T39" s="589"/>
      <c r="U39" s="589"/>
      <c r="V39" s="589"/>
      <c r="W39" s="182"/>
      <c r="X39" s="903" t="s">
        <v>590</v>
      </c>
      <c r="Y39" s="910" t="s">
        <v>597</v>
      </c>
      <c r="Z39" s="589">
        <v>1</v>
      </c>
      <c r="AA39" s="172"/>
      <c r="AB39" s="589"/>
      <c r="AC39" s="903" t="s">
        <v>593</v>
      </c>
      <c r="AD39" s="903" t="s">
        <v>593</v>
      </c>
      <c r="AE39" s="589">
        <v>2</v>
      </c>
      <c r="AF39" s="172"/>
      <c r="AG39" s="172"/>
      <c r="AH39" s="910" t="s">
        <v>597</v>
      </c>
      <c r="AI39" s="11"/>
      <c r="AJ39" s="530"/>
      <c r="AK39" s="172"/>
      <c r="AL39" s="172"/>
      <c r="AM39" s="172"/>
      <c r="AN39" s="172"/>
    </row>
    <row r="40" spans="1:40">
      <c r="A40" s="938">
        <v>12</v>
      </c>
      <c r="B40" s="605" t="s">
        <v>173</v>
      </c>
      <c r="C40" s="588" t="s">
        <v>580</v>
      </c>
      <c r="D40" s="11">
        <v>3</v>
      </c>
      <c r="E40" s="589">
        <v>1</v>
      </c>
      <c r="F40" s="589">
        <v>2</v>
      </c>
      <c r="G40" s="175">
        <v>8</v>
      </c>
      <c r="H40" s="900">
        <v>6</v>
      </c>
      <c r="I40" s="882">
        <v>4</v>
      </c>
      <c r="J40" s="882">
        <v>4</v>
      </c>
      <c r="K40" s="882"/>
      <c r="L40" s="891">
        <v>6</v>
      </c>
      <c r="M40" s="892"/>
      <c r="N40" s="892"/>
      <c r="O40" s="892"/>
      <c r="P40" s="589"/>
      <c r="Q40" s="589"/>
      <c r="R40" s="175"/>
      <c r="S40" s="11"/>
      <c r="T40" s="589"/>
      <c r="U40" s="589"/>
      <c r="V40" s="589"/>
      <c r="W40" s="175"/>
      <c r="X40" s="1374" t="s">
        <v>581</v>
      </c>
      <c r="Y40" s="172" t="s">
        <v>582</v>
      </c>
      <c r="Z40" s="589">
        <v>1</v>
      </c>
      <c r="AA40" s="172"/>
      <c r="AB40" s="589"/>
      <c r="AC40" s="901" t="s">
        <v>583</v>
      </c>
      <c r="AD40" s="901" t="s">
        <v>583</v>
      </c>
      <c r="AE40" s="589">
        <v>1</v>
      </c>
      <c r="AF40" s="172"/>
      <c r="AG40" s="172"/>
      <c r="AH40" s="172" t="s">
        <v>582</v>
      </c>
      <c r="AI40" s="11"/>
      <c r="AJ40" s="530"/>
      <c r="AK40" s="172"/>
      <c r="AL40" s="172"/>
      <c r="AM40" s="172"/>
      <c r="AN40" s="172"/>
    </row>
    <row r="41" spans="1:40" ht="47.25">
      <c r="A41" s="938">
        <v>13</v>
      </c>
      <c r="B41" s="605" t="s">
        <v>173</v>
      </c>
      <c r="C41" s="588" t="s">
        <v>614</v>
      </c>
      <c r="D41" s="30">
        <v>2</v>
      </c>
      <c r="E41" s="894">
        <v>3</v>
      </c>
      <c r="F41" s="894">
        <v>0</v>
      </c>
      <c r="G41" s="175">
        <v>8</v>
      </c>
      <c r="H41" s="890"/>
      <c r="I41" s="882"/>
      <c r="J41" s="882"/>
      <c r="K41" s="882"/>
      <c r="L41" s="882">
        <v>4</v>
      </c>
      <c r="M41" s="892"/>
      <c r="N41" s="892"/>
      <c r="O41" s="892"/>
      <c r="P41" s="589"/>
      <c r="Q41" s="589"/>
      <c r="R41" s="175"/>
      <c r="S41" s="23"/>
      <c r="T41" s="7"/>
      <c r="U41" s="7"/>
      <c r="V41" s="7"/>
      <c r="W41" s="193"/>
      <c r="X41" s="1376" t="s">
        <v>615</v>
      </c>
      <c r="Y41" s="1381" t="s">
        <v>581</v>
      </c>
      <c r="Z41" s="589">
        <v>1</v>
      </c>
      <c r="AA41" s="172"/>
      <c r="AB41" s="589"/>
      <c r="AC41" s="954"/>
      <c r="AD41" s="954"/>
      <c r="AE41" s="589">
        <v>0</v>
      </c>
      <c r="AF41" s="172"/>
      <c r="AG41" s="172"/>
      <c r="AH41" s="172" t="s">
        <v>572</v>
      </c>
      <c r="AI41" s="11"/>
      <c r="AJ41" s="530"/>
      <c r="AK41" s="172"/>
      <c r="AL41" s="172"/>
      <c r="AM41" s="172"/>
      <c r="AN41" s="172"/>
    </row>
    <row r="42" spans="1:40">
      <c r="A42" s="938">
        <v>14</v>
      </c>
      <c r="B42" s="605" t="s">
        <v>173</v>
      </c>
      <c r="C42" s="588" t="s">
        <v>605</v>
      </c>
      <c r="D42" s="11">
        <v>3</v>
      </c>
      <c r="E42" s="589">
        <v>2</v>
      </c>
      <c r="F42" s="589">
        <v>0</v>
      </c>
      <c r="G42" s="175">
        <v>8</v>
      </c>
      <c r="H42" s="882"/>
      <c r="I42" s="891">
        <v>8</v>
      </c>
      <c r="J42" s="882"/>
      <c r="K42" s="882"/>
      <c r="L42" s="882">
        <v>6</v>
      </c>
      <c r="M42" s="892"/>
      <c r="N42" s="892"/>
      <c r="O42" s="892"/>
      <c r="P42" s="589"/>
      <c r="Q42" s="589"/>
      <c r="R42" s="175"/>
      <c r="S42" s="11"/>
      <c r="T42" s="589"/>
      <c r="U42" s="589"/>
      <c r="V42" s="589"/>
      <c r="W42" s="175"/>
      <c r="X42" s="183" t="s">
        <v>606</v>
      </c>
      <c r="Y42" s="187" t="s">
        <v>571</v>
      </c>
      <c r="Z42" s="589">
        <v>1</v>
      </c>
      <c r="AA42" s="172"/>
      <c r="AB42" s="589"/>
      <c r="AC42" s="897" t="s">
        <v>606</v>
      </c>
      <c r="AD42" s="897" t="s">
        <v>606</v>
      </c>
      <c r="AE42" s="589">
        <v>1</v>
      </c>
      <c r="AF42" s="172"/>
      <c r="AG42" s="172"/>
      <c r="AH42" s="187" t="s">
        <v>571</v>
      </c>
      <c r="AI42" s="11"/>
      <c r="AJ42" s="530"/>
      <c r="AK42" s="172"/>
      <c r="AL42" s="172"/>
      <c r="AM42" s="172"/>
      <c r="AN42" s="172"/>
    </row>
    <row r="43" spans="1:40" ht="33.75" customHeight="1">
      <c r="A43" s="938">
        <v>15</v>
      </c>
      <c r="B43" s="605" t="s">
        <v>173</v>
      </c>
      <c r="C43" s="588" t="s">
        <v>613</v>
      </c>
      <c r="D43" s="30">
        <v>2</v>
      </c>
      <c r="E43" s="894">
        <v>3</v>
      </c>
      <c r="F43" s="589">
        <v>0</v>
      </c>
      <c r="G43" s="175">
        <v>8</v>
      </c>
      <c r="H43" s="890"/>
      <c r="I43" s="891">
        <v>8</v>
      </c>
      <c r="J43" s="882"/>
      <c r="K43" s="882"/>
      <c r="L43" s="882"/>
      <c r="M43" s="892"/>
      <c r="N43" s="892"/>
      <c r="O43" s="892"/>
      <c r="P43" s="589"/>
      <c r="Q43" s="589"/>
      <c r="R43" s="175"/>
      <c r="S43" s="11"/>
      <c r="T43" s="589"/>
      <c r="U43" s="589"/>
      <c r="V43" s="589"/>
      <c r="W43" s="175"/>
      <c r="X43" s="1373" t="s">
        <v>608</v>
      </c>
      <c r="Y43" s="172" t="s">
        <v>608</v>
      </c>
      <c r="Z43" s="589" t="s">
        <v>567</v>
      </c>
      <c r="AA43" s="8"/>
      <c r="AB43" s="589"/>
      <c r="AC43" s="29" t="s">
        <v>572</v>
      </c>
      <c r="AD43" s="172" t="s">
        <v>572</v>
      </c>
      <c r="AE43" s="589" t="s">
        <v>567</v>
      </c>
      <c r="AF43" s="172"/>
      <c r="AG43" s="172"/>
      <c r="AH43" s="172" t="s">
        <v>572</v>
      </c>
      <c r="AI43" s="11"/>
      <c r="AJ43" s="530"/>
      <c r="AK43" s="172"/>
      <c r="AL43" s="172"/>
      <c r="AM43" s="172"/>
      <c r="AN43" s="172"/>
    </row>
    <row r="44" spans="1:40">
      <c r="A44" s="938">
        <v>16</v>
      </c>
      <c r="B44" s="605" t="s">
        <v>173</v>
      </c>
      <c r="C44" s="588" t="s">
        <v>598</v>
      </c>
      <c r="D44" s="11">
        <v>3</v>
      </c>
      <c r="E44" s="894">
        <v>2</v>
      </c>
      <c r="F44" s="894">
        <v>0</v>
      </c>
      <c r="G44" s="175">
        <v>8</v>
      </c>
      <c r="H44" s="890">
        <v>6</v>
      </c>
      <c r="I44" s="882">
        <v>6</v>
      </c>
      <c r="J44" s="891">
        <v>6</v>
      </c>
      <c r="K44" s="882">
        <v>6</v>
      </c>
      <c r="L44" s="882"/>
      <c r="M44" s="892"/>
      <c r="N44" s="892"/>
      <c r="O44" s="892"/>
      <c r="P44" s="589"/>
      <c r="Q44" s="589"/>
      <c r="R44" s="175"/>
      <c r="S44" s="11"/>
      <c r="T44" s="589"/>
      <c r="U44" s="589"/>
      <c r="V44" s="589"/>
      <c r="W44" s="175"/>
      <c r="X44" s="949" t="s">
        <v>590</v>
      </c>
      <c r="Y44" s="187" t="s">
        <v>571</v>
      </c>
      <c r="Z44" s="589">
        <v>1</v>
      </c>
      <c r="AA44" s="172"/>
      <c r="AB44" s="589"/>
      <c r="AC44" s="897" t="s">
        <v>574</v>
      </c>
      <c r="AD44" s="897" t="s">
        <v>574</v>
      </c>
      <c r="AE44" s="589">
        <v>1</v>
      </c>
      <c r="AF44" s="172"/>
      <c r="AG44" s="172"/>
      <c r="AH44" s="187" t="s">
        <v>571</v>
      </c>
      <c r="AI44" s="11"/>
      <c r="AJ44" s="530"/>
      <c r="AK44" s="172"/>
      <c r="AL44" s="172"/>
      <c r="AM44" s="172"/>
      <c r="AN44" s="172"/>
    </row>
    <row r="45" spans="1:40">
      <c r="A45" s="938">
        <v>17</v>
      </c>
      <c r="B45" s="605" t="s">
        <v>173</v>
      </c>
      <c r="C45" s="588" t="s">
        <v>646</v>
      </c>
      <c r="D45" s="11">
        <v>3</v>
      </c>
      <c r="E45" s="894">
        <v>0</v>
      </c>
      <c r="F45" s="589">
        <v>3</v>
      </c>
      <c r="G45" s="175">
        <v>8</v>
      </c>
      <c r="H45" s="900">
        <v>8</v>
      </c>
      <c r="I45" s="882">
        <v>6</v>
      </c>
      <c r="J45" s="882"/>
      <c r="K45" s="891">
        <v>8</v>
      </c>
      <c r="L45" s="882"/>
      <c r="M45" s="892"/>
      <c r="N45" s="892"/>
      <c r="O45" s="892"/>
      <c r="P45" s="589"/>
      <c r="Q45" s="589"/>
      <c r="R45" s="175"/>
      <c r="S45" s="11"/>
      <c r="T45" s="589"/>
      <c r="U45" s="589"/>
      <c r="V45" s="589"/>
      <c r="W45" s="175"/>
      <c r="X45" s="957" t="s">
        <v>644</v>
      </c>
      <c r="Y45" s="960" t="s">
        <v>644</v>
      </c>
      <c r="Z45" s="589">
        <v>1</v>
      </c>
      <c r="AA45" s="888"/>
      <c r="AB45" s="589"/>
      <c r="AC45" s="903" t="s">
        <v>593</v>
      </c>
      <c r="AD45" s="903" t="s">
        <v>593</v>
      </c>
      <c r="AE45" s="589"/>
      <c r="AF45" s="172"/>
      <c r="AG45" s="172"/>
      <c r="AH45" s="903" t="s">
        <v>593</v>
      </c>
      <c r="AI45" s="11"/>
      <c r="AJ45" s="530"/>
      <c r="AK45" s="172"/>
      <c r="AL45" s="172"/>
      <c r="AM45" s="172"/>
      <c r="AN45" s="172"/>
    </row>
    <row r="46" spans="1:40">
      <c r="A46" s="938">
        <v>18</v>
      </c>
      <c r="B46" s="605" t="s">
        <v>173</v>
      </c>
      <c r="C46" s="588" t="s">
        <v>584</v>
      </c>
      <c r="D46" s="11">
        <v>3</v>
      </c>
      <c r="E46" s="589">
        <v>1</v>
      </c>
      <c r="F46" s="589">
        <v>2</v>
      </c>
      <c r="G46" s="175">
        <v>8</v>
      </c>
      <c r="H46" s="890">
        <v>8</v>
      </c>
      <c r="I46" s="882">
        <v>6</v>
      </c>
      <c r="J46" s="882"/>
      <c r="K46" s="882"/>
      <c r="L46" s="891"/>
      <c r="M46" s="892"/>
      <c r="N46" s="892"/>
      <c r="O46" s="892"/>
      <c r="P46" s="589"/>
      <c r="Q46" s="589"/>
      <c r="R46" s="175"/>
      <c r="S46" s="11"/>
      <c r="T46" s="589"/>
      <c r="U46" s="589"/>
      <c r="V46" s="589"/>
      <c r="W46" s="175"/>
      <c r="X46" s="939" t="s">
        <v>581</v>
      </c>
      <c r="Y46" s="896" t="s">
        <v>585</v>
      </c>
      <c r="Z46" s="589">
        <v>1</v>
      </c>
      <c r="AA46" s="172"/>
      <c r="AB46" s="589"/>
      <c r="AC46" s="29" t="s">
        <v>572</v>
      </c>
      <c r="AD46" s="172" t="s">
        <v>572</v>
      </c>
      <c r="AE46" s="589">
        <v>1</v>
      </c>
      <c r="AF46" s="172"/>
      <c r="AG46" s="172"/>
      <c r="AH46" s="896" t="s">
        <v>585</v>
      </c>
      <c r="AI46" s="11"/>
      <c r="AJ46" s="530"/>
      <c r="AK46" s="172"/>
      <c r="AL46" s="172"/>
      <c r="AM46" s="172"/>
      <c r="AN46" s="172"/>
    </row>
    <row r="47" spans="1:40">
      <c r="A47" s="938">
        <v>19</v>
      </c>
      <c r="B47" s="605" t="s">
        <v>173</v>
      </c>
      <c r="C47" s="588" t="s">
        <v>638</v>
      </c>
      <c r="D47" s="30">
        <v>2</v>
      </c>
      <c r="E47" s="589">
        <v>3</v>
      </c>
      <c r="F47" s="589">
        <v>0</v>
      </c>
      <c r="G47" s="175">
        <v>8</v>
      </c>
      <c r="H47" s="890"/>
      <c r="I47" s="891">
        <v>8</v>
      </c>
      <c r="J47" s="882"/>
      <c r="K47" s="882"/>
      <c r="L47" s="882">
        <v>6</v>
      </c>
      <c r="M47" s="892"/>
      <c r="N47" s="892"/>
      <c r="O47" s="892"/>
      <c r="P47" s="589"/>
      <c r="Q47" s="589"/>
      <c r="R47" s="175"/>
      <c r="S47" s="11"/>
      <c r="T47" s="589"/>
      <c r="U47" s="589"/>
      <c r="V47" s="589"/>
      <c r="W47" s="175"/>
      <c r="X47" s="897" t="s">
        <v>637</v>
      </c>
      <c r="Y47" s="187" t="s">
        <v>571</v>
      </c>
      <c r="Z47" s="589">
        <v>1</v>
      </c>
      <c r="AA47" s="172"/>
      <c r="AB47" s="589"/>
      <c r="AC47" s="893" t="s">
        <v>567</v>
      </c>
      <c r="AD47" s="893" t="s">
        <v>567</v>
      </c>
      <c r="AE47" s="589" t="s">
        <v>567</v>
      </c>
      <c r="AF47" s="172"/>
      <c r="AG47" s="172"/>
      <c r="AH47" s="187" t="s">
        <v>571</v>
      </c>
      <c r="AI47" s="11"/>
      <c r="AJ47" s="530"/>
      <c r="AK47" s="172"/>
      <c r="AL47" s="172"/>
      <c r="AM47" s="172"/>
      <c r="AN47" s="172"/>
    </row>
    <row r="48" spans="1:40">
      <c r="A48" s="938">
        <v>20</v>
      </c>
      <c r="B48" s="605" t="s">
        <v>173</v>
      </c>
      <c r="C48" s="588" t="s">
        <v>604</v>
      </c>
      <c r="D48" s="11">
        <v>3</v>
      </c>
      <c r="E48" s="589">
        <v>1</v>
      </c>
      <c r="F48" s="894">
        <v>2</v>
      </c>
      <c r="G48" s="175">
        <v>8</v>
      </c>
      <c r="H48" s="890"/>
      <c r="I48" s="882"/>
      <c r="J48" s="882"/>
      <c r="K48" s="882">
        <v>6</v>
      </c>
      <c r="L48" s="882"/>
      <c r="M48" s="892"/>
      <c r="N48" s="892"/>
      <c r="O48" s="892"/>
      <c r="P48" s="589"/>
      <c r="Q48" s="589"/>
      <c r="R48" s="175"/>
      <c r="S48" s="11"/>
      <c r="T48" s="589"/>
      <c r="U48" s="589"/>
      <c r="V48" s="589"/>
      <c r="W48" s="175"/>
      <c r="X48" s="939" t="s">
        <v>601</v>
      </c>
      <c r="Y48" s="897" t="s">
        <v>601</v>
      </c>
      <c r="Z48" s="589" t="s">
        <v>567</v>
      </c>
      <c r="AA48" s="172"/>
      <c r="AB48" s="589"/>
      <c r="AC48" s="893" t="s">
        <v>567</v>
      </c>
      <c r="AD48" s="893" t="s">
        <v>567</v>
      </c>
      <c r="AE48" s="589" t="s">
        <v>567</v>
      </c>
      <c r="AF48" s="172"/>
      <c r="AG48" s="172"/>
      <c r="AH48" s="897" t="s">
        <v>601</v>
      </c>
      <c r="AI48" s="11"/>
      <c r="AJ48" s="530"/>
      <c r="AK48" s="172"/>
      <c r="AL48" s="172"/>
      <c r="AM48" s="172"/>
      <c r="AN48" s="172"/>
    </row>
    <row r="49" spans="1:40">
      <c r="A49" s="938">
        <v>21</v>
      </c>
      <c r="B49" s="605" t="s">
        <v>173</v>
      </c>
      <c r="C49" s="590" t="s">
        <v>599</v>
      </c>
      <c r="D49" s="11">
        <v>3</v>
      </c>
      <c r="E49" s="589">
        <v>2</v>
      </c>
      <c r="F49" s="589">
        <v>0</v>
      </c>
      <c r="G49" s="175">
        <v>8</v>
      </c>
      <c r="H49" s="890"/>
      <c r="I49" s="882"/>
      <c r="J49" s="882"/>
      <c r="K49" s="882"/>
      <c r="L49" s="891">
        <v>8</v>
      </c>
      <c r="M49" s="892"/>
      <c r="N49" s="892"/>
      <c r="O49" s="892"/>
      <c r="P49" s="589"/>
      <c r="Q49" s="589"/>
      <c r="R49" s="175"/>
      <c r="S49" s="11"/>
      <c r="T49" s="589"/>
      <c r="U49" s="589"/>
      <c r="V49" s="589"/>
      <c r="W49" s="175"/>
      <c r="X49" s="949" t="s">
        <v>590</v>
      </c>
      <c r="Y49" s="903" t="s">
        <v>590</v>
      </c>
      <c r="Z49" s="589" t="s">
        <v>567</v>
      </c>
      <c r="AA49" s="172"/>
      <c r="AB49" s="589"/>
      <c r="AC49" s="893" t="s">
        <v>567</v>
      </c>
      <c r="AD49" s="893" t="s">
        <v>567</v>
      </c>
      <c r="AE49" s="589" t="s">
        <v>567</v>
      </c>
      <c r="AF49" s="172"/>
      <c r="AG49" s="172"/>
      <c r="AH49" s="903" t="s">
        <v>590</v>
      </c>
      <c r="AI49" s="11"/>
      <c r="AJ49" s="530"/>
      <c r="AK49" s="172"/>
      <c r="AL49" s="172"/>
      <c r="AM49" s="172"/>
      <c r="AN49" s="172"/>
    </row>
    <row r="50" spans="1:40">
      <c r="A50" s="938">
        <v>22</v>
      </c>
      <c r="B50" s="605" t="s">
        <v>173</v>
      </c>
      <c r="C50" s="590" t="s">
        <v>523</v>
      </c>
      <c r="D50" s="11">
        <v>3</v>
      </c>
      <c r="E50" s="589">
        <v>3</v>
      </c>
      <c r="F50" s="589">
        <v>0</v>
      </c>
      <c r="G50" s="175">
        <v>8</v>
      </c>
      <c r="H50" s="890"/>
      <c r="I50" s="882"/>
      <c r="J50" s="882"/>
      <c r="K50" s="882">
        <v>8</v>
      </c>
      <c r="L50" s="882"/>
      <c r="M50" s="892"/>
      <c r="N50" s="892"/>
      <c r="O50" s="892"/>
      <c r="P50" s="589"/>
      <c r="Q50" s="589"/>
      <c r="R50" s="175"/>
      <c r="S50" s="11"/>
      <c r="T50" s="589"/>
      <c r="U50" s="589"/>
      <c r="V50" s="589"/>
      <c r="W50" s="175"/>
      <c r="X50" s="945" t="s">
        <v>525</v>
      </c>
      <c r="Y50" s="187" t="s">
        <v>571</v>
      </c>
      <c r="Z50" s="589" t="s">
        <v>567</v>
      </c>
      <c r="AA50" s="172"/>
      <c r="AB50" s="589"/>
      <c r="AC50" s="893" t="s">
        <v>567</v>
      </c>
      <c r="AD50" s="893" t="s">
        <v>567</v>
      </c>
      <c r="AE50" s="589" t="s">
        <v>567</v>
      </c>
      <c r="AF50" s="172"/>
      <c r="AG50" s="172"/>
      <c r="AH50" s="187" t="s">
        <v>571</v>
      </c>
      <c r="AI50" s="11"/>
      <c r="AJ50" s="530"/>
      <c r="AK50" s="172"/>
      <c r="AL50" s="172"/>
      <c r="AM50" s="172"/>
      <c r="AN50" s="172"/>
    </row>
    <row r="51" spans="1:40" ht="30">
      <c r="A51" s="938">
        <v>23</v>
      </c>
      <c r="B51" s="605" t="s">
        <v>173</v>
      </c>
      <c r="C51" s="590" t="s">
        <v>568</v>
      </c>
      <c r="D51" s="11">
        <v>3</v>
      </c>
      <c r="E51" s="589">
        <v>0</v>
      </c>
      <c r="F51" s="589">
        <v>3</v>
      </c>
      <c r="G51" s="175">
        <v>8</v>
      </c>
      <c r="H51" s="890"/>
      <c r="I51" s="882"/>
      <c r="J51" s="882"/>
      <c r="K51" s="891">
        <v>8</v>
      </c>
      <c r="L51" s="882"/>
      <c r="M51" s="892"/>
      <c r="N51" s="892"/>
      <c r="O51" s="892"/>
      <c r="P51" s="589"/>
      <c r="Q51" s="589"/>
      <c r="R51" s="175"/>
      <c r="S51" s="11"/>
      <c r="T51" s="589"/>
      <c r="U51" s="589"/>
      <c r="V51" s="589"/>
      <c r="W51" s="175"/>
      <c r="X51" s="1375" t="s">
        <v>566</v>
      </c>
      <c r="Y51" s="1375" t="s">
        <v>566</v>
      </c>
      <c r="Z51" s="589" t="s">
        <v>567</v>
      </c>
      <c r="AA51" s="172"/>
      <c r="AB51" s="589"/>
      <c r="AC51" s="893" t="s">
        <v>567</v>
      </c>
      <c r="AD51" s="893" t="s">
        <v>567</v>
      </c>
      <c r="AE51" s="589" t="s">
        <v>567</v>
      </c>
      <c r="AF51" s="172"/>
      <c r="AG51" s="172"/>
      <c r="AH51" s="1375" t="s">
        <v>566</v>
      </c>
      <c r="AI51" s="11"/>
      <c r="AJ51" s="530"/>
      <c r="AK51" s="172"/>
      <c r="AL51" s="172"/>
      <c r="AM51" s="172"/>
      <c r="AN51" s="172"/>
    </row>
    <row r="52" spans="1:40">
      <c r="A52" s="938">
        <v>24</v>
      </c>
      <c r="B52" s="605" t="s">
        <v>173</v>
      </c>
      <c r="C52" s="590" t="s">
        <v>473</v>
      </c>
      <c r="D52" s="11">
        <v>4</v>
      </c>
      <c r="E52" s="589">
        <v>6</v>
      </c>
      <c r="F52" s="589">
        <v>0</v>
      </c>
      <c r="G52" s="175">
        <v>10</v>
      </c>
      <c r="H52" s="900">
        <v>8</v>
      </c>
      <c r="I52" s="882"/>
      <c r="J52" s="882"/>
      <c r="K52" s="882"/>
      <c r="L52" s="882"/>
      <c r="M52" s="892"/>
      <c r="N52" s="892"/>
      <c r="O52" s="892"/>
      <c r="P52" s="589"/>
      <c r="Q52" s="589"/>
      <c r="R52" s="175"/>
      <c r="S52" s="11"/>
      <c r="T52" s="589"/>
      <c r="U52" s="589"/>
      <c r="V52" s="589"/>
      <c r="W52" s="175"/>
      <c r="X52" s="949" t="s">
        <v>469</v>
      </c>
      <c r="Y52" s="903" t="s">
        <v>469</v>
      </c>
      <c r="Z52" s="589" t="s">
        <v>567</v>
      </c>
      <c r="AA52" s="172"/>
      <c r="AB52" s="589"/>
      <c r="AC52" s="909"/>
      <c r="AD52" s="909"/>
      <c r="AE52" s="908"/>
      <c r="AF52" s="172"/>
      <c r="AG52" s="172"/>
      <c r="AH52" s="903" t="s">
        <v>469</v>
      </c>
      <c r="AI52" s="11"/>
      <c r="AJ52" s="530"/>
      <c r="AK52" s="172"/>
      <c r="AL52" s="172"/>
      <c r="AM52" s="172"/>
      <c r="AN52" s="172"/>
    </row>
    <row r="53" spans="1:40">
      <c r="A53" s="942">
        <v>25</v>
      </c>
      <c r="B53" s="943" t="s">
        <v>173</v>
      </c>
      <c r="C53" s="590" t="s">
        <v>524</v>
      </c>
      <c r="D53" s="37">
        <v>4</v>
      </c>
      <c r="E53" s="944">
        <v>6</v>
      </c>
      <c r="F53" s="944">
        <v>0</v>
      </c>
      <c r="G53" s="38">
        <v>10</v>
      </c>
      <c r="H53" s="890"/>
      <c r="I53" s="882"/>
      <c r="J53" s="882"/>
      <c r="K53" s="891">
        <v>8</v>
      </c>
      <c r="L53" s="882"/>
      <c r="M53" s="892"/>
      <c r="N53" s="892"/>
      <c r="O53" s="892"/>
      <c r="P53" s="589"/>
      <c r="Q53" s="589"/>
      <c r="R53" s="175"/>
      <c r="S53" s="11"/>
      <c r="T53" s="589"/>
      <c r="U53" s="589"/>
      <c r="V53" s="589"/>
      <c r="W53" s="175"/>
      <c r="X53" s="941" t="s">
        <v>525</v>
      </c>
      <c r="Y53" s="1380" t="s">
        <v>525</v>
      </c>
      <c r="Z53" s="589" t="s">
        <v>567</v>
      </c>
      <c r="AA53" s="172"/>
      <c r="AB53" s="589"/>
      <c r="AC53" s="909"/>
      <c r="AD53" s="909"/>
      <c r="AE53" s="908"/>
      <c r="AF53" s="172"/>
      <c r="AG53" s="172"/>
      <c r="AH53" s="1380" t="s">
        <v>525</v>
      </c>
      <c r="AI53" s="11"/>
      <c r="AJ53" s="530"/>
      <c r="AK53" s="172"/>
      <c r="AL53" s="172"/>
      <c r="AM53" s="172"/>
      <c r="AN53" s="172"/>
    </row>
    <row r="54" spans="1:40">
      <c r="A54" s="938">
        <v>26</v>
      </c>
      <c r="B54" s="605" t="s">
        <v>173</v>
      </c>
      <c r="C54" s="591" t="s">
        <v>474</v>
      </c>
      <c r="D54" s="11">
        <v>4</v>
      </c>
      <c r="E54" s="589">
        <v>6</v>
      </c>
      <c r="F54" s="589">
        <v>0</v>
      </c>
      <c r="G54" s="175">
        <v>10</v>
      </c>
      <c r="H54" s="900">
        <v>8</v>
      </c>
      <c r="I54" s="891">
        <v>8</v>
      </c>
      <c r="J54" s="882"/>
      <c r="K54" s="891">
        <v>8</v>
      </c>
      <c r="L54" s="882"/>
      <c r="M54" s="892"/>
      <c r="N54" s="892"/>
      <c r="O54" s="892"/>
      <c r="P54" s="589"/>
      <c r="Q54" s="589"/>
      <c r="R54" s="175"/>
      <c r="S54" s="11"/>
      <c r="T54" s="589"/>
      <c r="U54" s="589"/>
      <c r="V54" s="589"/>
      <c r="W54" s="175"/>
      <c r="X54" s="950" t="s">
        <v>469</v>
      </c>
      <c r="Y54" s="183" t="s">
        <v>469</v>
      </c>
      <c r="Z54" s="921"/>
      <c r="AA54" s="172"/>
      <c r="AB54" s="589"/>
      <c r="AC54" s="922"/>
      <c r="AD54" s="922"/>
      <c r="AE54" s="921"/>
      <c r="AF54" s="902"/>
      <c r="AG54" s="172"/>
      <c r="AH54" s="183" t="s">
        <v>469</v>
      </c>
      <c r="AI54" s="11"/>
      <c r="AJ54" s="530"/>
      <c r="AK54" s="172"/>
      <c r="AL54" s="172"/>
      <c r="AM54" s="172"/>
      <c r="AN54" s="172"/>
    </row>
    <row r="55" spans="1:40">
      <c r="A55" s="938">
        <v>27</v>
      </c>
      <c r="B55" s="605" t="s">
        <v>173</v>
      </c>
      <c r="C55" s="955" t="s">
        <v>641</v>
      </c>
      <c r="D55" s="11">
        <v>3</v>
      </c>
      <c r="E55" s="589">
        <v>3</v>
      </c>
      <c r="F55" s="589">
        <v>0</v>
      </c>
      <c r="G55" s="175">
        <v>8</v>
      </c>
      <c r="H55" s="882"/>
      <c r="I55" s="891">
        <v>8</v>
      </c>
      <c r="J55" s="882"/>
      <c r="K55" s="882"/>
      <c r="L55" s="882"/>
      <c r="M55" s="892"/>
      <c r="N55" s="892"/>
      <c r="O55" s="892"/>
      <c r="P55" s="589"/>
      <c r="Q55" s="589"/>
      <c r="R55" s="175"/>
      <c r="S55" s="11"/>
      <c r="T55" s="589"/>
      <c r="U55" s="589"/>
      <c r="V55" s="589"/>
      <c r="W55" s="175"/>
      <c r="X55" s="939" t="s">
        <v>640</v>
      </c>
      <c r="Y55" s="939" t="s">
        <v>640</v>
      </c>
      <c r="Z55" s="956" t="s">
        <v>567</v>
      </c>
      <c r="AA55" s="172"/>
      <c r="AB55" s="589"/>
      <c r="AC55" s="8" t="s">
        <v>620</v>
      </c>
      <c r="AD55" s="8" t="s">
        <v>620</v>
      </c>
      <c r="AE55" s="948"/>
      <c r="AF55" s="902"/>
      <c r="AG55" s="172"/>
      <c r="AH55" s="939" t="s">
        <v>640</v>
      </c>
      <c r="AI55" s="11"/>
      <c r="AJ55" s="530"/>
      <c r="AK55" s="172"/>
      <c r="AL55" s="172"/>
      <c r="AM55" s="172"/>
      <c r="AN55" s="172"/>
    </row>
    <row r="56" spans="1:40">
      <c r="A56" s="938">
        <v>28</v>
      </c>
      <c r="B56" s="605" t="s">
        <v>173</v>
      </c>
      <c r="C56" s="591" t="s">
        <v>634</v>
      </c>
      <c r="D56" s="11">
        <v>5</v>
      </c>
      <c r="E56" s="589">
        <v>5</v>
      </c>
      <c r="F56" s="589">
        <v>0</v>
      </c>
      <c r="G56" s="175">
        <v>8</v>
      </c>
      <c r="H56" s="890"/>
      <c r="I56" s="882"/>
      <c r="J56" s="882"/>
      <c r="K56" s="882"/>
      <c r="L56" s="882">
        <v>8</v>
      </c>
      <c r="M56" s="892"/>
      <c r="N56" s="892"/>
      <c r="O56" s="892"/>
      <c r="P56" s="589"/>
      <c r="Q56" s="589"/>
      <c r="R56" s="175"/>
      <c r="S56" s="11"/>
      <c r="T56" s="589"/>
      <c r="U56" s="589"/>
      <c r="V56" s="589"/>
      <c r="W56" s="175"/>
      <c r="X56" s="183" t="s">
        <v>635</v>
      </c>
      <c r="Y56" s="963"/>
      <c r="Z56" s="921"/>
      <c r="AA56" s="902"/>
      <c r="AB56" s="589"/>
      <c r="AC56" s="922"/>
      <c r="AD56" s="922"/>
      <c r="AE56" s="921"/>
      <c r="AF56" s="902"/>
      <c r="AG56" s="172"/>
      <c r="AH56" s="963"/>
      <c r="AI56" s="11"/>
      <c r="AJ56" s="530"/>
      <c r="AK56" s="172"/>
      <c r="AL56" s="172"/>
      <c r="AM56" s="172"/>
      <c r="AN56" s="172"/>
    </row>
    <row r="57" spans="1:40">
      <c r="A57" s="958">
        <v>29</v>
      </c>
      <c r="B57" s="959" t="s">
        <v>173</v>
      </c>
      <c r="C57" s="471" t="s">
        <v>633</v>
      </c>
      <c r="D57" s="16">
        <v>0</v>
      </c>
      <c r="E57" s="913">
        <v>0</v>
      </c>
      <c r="F57" s="913">
        <v>0</v>
      </c>
      <c r="G57" s="191">
        <v>6</v>
      </c>
      <c r="H57" s="882"/>
      <c r="I57" s="882"/>
      <c r="J57" s="882"/>
      <c r="K57" s="882"/>
      <c r="L57" s="882"/>
      <c r="M57" s="892"/>
      <c r="N57" s="892"/>
      <c r="O57" s="892"/>
      <c r="P57" s="589"/>
      <c r="Q57" s="589"/>
      <c r="R57" s="175"/>
      <c r="S57" s="11"/>
      <c r="T57" s="589"/>
      <c r="U57" s="589"/>
      <c r="V57" s="589"/>
      <c r="W57" s="175"/>
      <c r="X57" s="172" t="s">
        <v>618</v>
      </c>
      <c r="Y57" s="909"/>
      <c r="Z57" s="921"/>
      <c r="AA57" s="172"/>
      <c r="AB57" s="589"/>
      <c r="AC57" s="922"/>
      <c r="AD57" s="922"/>
      <c r="AE57" s="908"/>
      <c r="AF57" s="902"/>
      <c r="AG57" s="172"/>
      <c r="AH57" s="172"/>
      <c r="AI57" s="11"/>
      <c r="AJ57" s="530"/>
      <c r="AK57" s="172"/>
      <c r="AL57" s="172"/>
      <c r="AM57" s="172"/>
      <c r="AN57" s="172"/>
    </row>
    <row r="58" spans="1:40">
      <c r="A58" s="958"/>
      <c r="B58" s="959"/>
      <c r="C58" s="961"/>
      <c r="D58" s="16"/>
      <c r="E58" s="913"/>
      <c r="F58" s="913"/>
      <c r="G58" s="191"/>
      <c r="H58" s="962" t="s">
        <v>532</v>
      </c>
      <c r="I58" s="962" t="s">
        <v>533</v>
      </c>
      <c r="J58" s="962" t="s">
        <v>534</v>
      </c>
      <c r="K58" s="962" t="s">
        <v>535</v>
      </c>
      <c r="L58" s="962" t="s">
        <v>536</v>
      </c>
      <c r="M58" s="892"/>
      <c r="N58" s="892"/>
      <c r="O58" s="892"/>
      <c r="P58" s="589"/>
      <c r="Q58" s="589"/>
      <c r="R58" s="175"/>
      <c r="S58" s="11"/>
      <c r="T58" s="589"/>
      <c r="U58" s="589"/>
      <c r="V58" s="589"/>
      <c r="W58" s="175"/>
      <c r="X58" s="183"/>
      <c r="Y58" s="963"/>
      <c r="Z58" s="589"/>
      <c r="AA58" s="902"/>
      <c r="AB58" s="589"/>
      <c r="AC58" s="172"/>
      <c r="AD58" s="172"/>
      <c r="AE58" s="589"/>
      <c r="AF58" s="902"/>
      <c r="AG58" s="172"/>
      <c r="AH58" s="172"/>
      <c r="AI58" s="11"/>
      <c r="AJ58" s="530"/>
      <c r="AK58" s="172"/>
      <c r="AL58" s="172"/>
      <c r="AM58" s="172"/>
      <c r="AN58" s="172"/>
    </row>
    <row r="59" spans="1:40">
      <c r="C59" s="100"/>
    </row>
    <row r="60" spans="1:40">
      <c r="C60" s="100"/>
      <c r="AH60" s="172"/>
    </row>
  </sheetData>
  <sortState ref="A3:AN57">
    <sortCondition ref="B3:B57"/>
    <sortCondition ref="A3:A57"/>
  </sortState>
  <dataValidations count="4">
    <dataValidation type="list" allowBlank="1" showInputMessage="1" showErrorMessage="1" sqref="Y32 Y45 Y53:Y58 Y23:Y26 X40:X46 AH37 AH53:AH58 AH50:AH51 AH18:AH20 Y18:Y20 Y37 Y50:Y51 AH23:AH27 X3:X38 X48:X58">
      <formula1>Nastavnici</formula1>
    </dataValidation>
    <dataValidation type="list" allowBlank="1" showInputMessage="1" showErrorMessage="1" sqref="B3:B58">
      <formula1>Semestar</formula1>
    </dataValidation>
    <dataValidation type="list" allowBlank="1" showInputMessage="1" showErrorMessage="1" sqref="AD45 AH60 Y46 Y33:Y36 AD13:AD14 AG21 Y21:Y22 Y48:Y49 AD9 Y38 AH3:AH11 AH52 AH21:AH22 Y52 AD3:AD6 Y3:Y11 AF3:AF8 Y40:Y44 Y13:Y17 AD22 AF10:AF19 AD20 AD33:AD41 AH13:AH17 AD11 AD47:AD48 AH38:AH49 AH28:AH36 Y27:Y31 AD27:AD31 AD54:AD58 AA3:AA58 AF22:AF58">
      <formula1>Saradnici</formula1>
    </dataValidation>
    <dataValidation type="list" allowBlank="1" showInputMessage="1" showErrorMessage="1" sqref="AD15:AD19 AC3:AC20 AD7:AD8 AF21 AF9:AG9 AD12 AD42:AD44 AD23:AD26 AD32 AD49:AD53 AD46 AD10 AC22:AC58">
      <formula1>Nastavnici_saradnici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185"/>
  <sheetViews>
    <sheetView topLeftCell="A115" zoomScale="90" zoomScaleNormal="90" zoomScalePageLayoutView="125" workbookViewId="0">
      <selection activeCell="D42" sqref="D42"/>
    </sheetView>
  </sheetViews>
  <sheetFormatPr defaultColWidth="11" defaultRowHeight="15.75"/>
  <cols>
    <col min="1" max="1" width="12.125" style="101" customWidth="1"/>
    <col min="2" max="2" width="6.375" style="101" customWidth="1"/>
    <col min="3" max="3" width="77.125" style="100" customWidth="1"/>
    <col min="4" max="4" width="11.875" style="100" customWidth="1"/>
    <col min="5" max="5" width="12.125" style="100" customWidth="1"/>
    <col min="6" max="6" width="10.625" style="100" customWidth="1"/>
    <col min="7" max="7" width="12.375" style="263" customWidth="1"/>
    <col min="8" max="8" width="10.625" style="100" customWidth="1"/>
    <col min="9" max="9" width="10.375" style="100" bestFit="1" customWidth="1"/>
    <col min="11" max="11" width="6.5" style="4" customWidth="1"/>
  </cols>
  <sheetData>
    <row r="1" spans="1:12">
      <c r="A1" s="198"/>
      <c r="B1" s="199" t="s">
        <v>186</v>
      </c>
      <c r="C1" s="197" t="s">
        <v>187</v>
      </c>
      <c r="D1" s="200" t="s">
        <v>188</v>
      </c>
      <c r="E1" s="200" t="s">
        <v>189</v>
      </c>
      <c r="F1" s="200" t="s">
        <v>189</v>
      </c>
      <c r="G1" s="1123" t="s">
        <v>190</v>
      </c>
      <c r="H1" s="201"/>
      <c r="I1" s="202"/>
      <c r="J1" s="195" t="s">
        <v>326</v>
      </c>
      <c r="K1" s="196">
        <v>100</v>
      </c>
      <c r="L1" s="194" t="s">
        <v>327</v>
      </c>
    </row>
    <row r="2" spans="1:12" ht="16.5" thickBot="1">
      <c r="A2" s="203" t="s">
        <v>191</v>
      </c>
      <c r="B2" s="204">
        <v>1.218</v>
      </c>
      <c r="C2" s="205"/>
      <c r="D2" s="206" t="s">
        <v>192</v>
      </c>
      <c r="E2" s="206" t="s">
        <v>193</v>
      </c>
      <c r="F2" s="206" t="s">
        <v>194</v>
      </c>
      <c r="G2" s="1124" t="s">
        <v>195</v>
      </c>
    </row>
    <row r="3" spans="1:12" ht="16.5" thickBot="1">
      <c r="A3" s="207" t="s">
        <v>196</v>
      </c>
      <c r="B3" s="208">
        <v>1.22</v>
      </c>
      <c r="C3" s="209" t="s">
        <v>197</v>
      </c>
      <c r="D3" s="210">
        <v>1.3145</v>
      </c>
      <c r="E3" s="210">
        <v>1.506</v>
      </c>
      <c r="F3" s="210">
        <v>1.6452</v>
      </c>
      <c r="G3" s="1125">
        <v>1.4482469</v>
      </c>
      <c r="I3" s="100" t="s">
        <v>198</v>
      </c>
    </row>
    <row r="4" spans="1:12">
      <c r="B4" s="211"/>
      <c r="C4" s="212" t="s">
        <v>199</v>
      </c>
      <c r="D4" s="213">
        <v>0.3145</v>
      </c>
      <c r="E4" s="213">
        <v>0.50600000000000001</v>
      </c>
      <c r="F4" s="214">
        <v>0.6452</v>
      </c>
      <c r="G4" s="1126"/>
      <c r="H4" s="215">
        <v>0.76800000000000002</v>
      </c>
    </row>
    <row r="5" spans="1:12" ht="16.5" thickBot="1">
      <c r="A5" s="101" t="s">
        <v>200</v>
      </c>
      <c r="B5" s="211">
        <v>124</v>
      </c>
      <c r="C5" s="216" t="s">
        <v>201</v>
      </c>
      <c r="D5" s="158">
        <f>(D3+F3)/(2*F3)</f>
        <v>0.89949550206661799</v>
      </c>
      <c r="E5" s="217">
        <f>D5</f>
        <v>0.89949550206661799</v>
      </c>
      <c r="F5" s="218">
        <f>E5-100%</f>
        <v>-0.10050449793338201</v>
      </c>
      <c r="G5" s="1127"/>
      <c r="H5" s="159">
        <f>$D$3/$F$3</f>
        <v>0.79899100413323609</v>
      </c>
      <c r="I5" s="100" t="s">
        <v>202</v>
      </c>
    </row>
    <row r="6" spans="1:12" ht="32.25" thickBot="1">
      <c r="A6" s="219"/>
      <c r="B6" s="220"/>
      <c r="C6" s="474" t="s">
        <v>203</v>
      </c>
      <c r="D6" s="475" t="s">
        <v>204</v>
      </c>
      <c r="E6" s="476">
        <v>42663</v>
      </c>
      <c r="F6" s="160"/>
      <c r="G6" s="1128"/>
      <c r="H6" s="161">
        <f>D3/G3</f>
        <v>0.90764910320194714</v>
      </c>
      <c r="I6" s="100" t="s">
        <v>205</v>
      </c>
    </row>
    <row r="7" spans="1:12" ht="16.5" thickBot="1">
      <c r="A7" s="162"/>
      <c r="B7" s="477" t="s">
        <v>206</v>
      </c>
      <c r="C7" s="478" t="s">
        <v>207</v>
      </c>
      <c r="D7" s="479">
        <v>100</v>
      </c>
      <c r="E7" s="480"/>
      <c r="F7" s="163"/>
      <c r="G7" s="1178">
        <v>100</v>
      </c>
      <c r="H7" s="161">
        <f>F3/G3</f>
        <v>1.1359941457495957</v>
      </c>
      <c r="I7" s="164" t="s">
        <v>208</v>
      </c>
    </row>
    <row r="8" spans="1:12" ht="16.5" thickBot="1">
      <c r="A8" s="221"/>
      <c r="B8" s="477" t="s">
        <v>209</v>
      </c>
      <c r="C8" s="481" t="s">
        <v>210</v>
      </c>
      <c r="D8" s="482">
        <f>$D$3/$F$3</f>
        <v>0.79899100413323609</v>
      </c>
      <c r="E8" s="483" t="s">
        <v>211</v>
      </c>
      <c r="F8" s="222"/>
      <c r="G8" s="1150" t="s">
        <v>700</v>
      </c>
      <c r="H8" s="165">
        <f>$D$3/$E$3</f>
        <v>0.87284196547144755</v>
      </c>
      <c r="I8" s="100" t="s">
        <v>212</v>
      </c>
    </row>
    <row r="9" spans="1:12" ht="16.5" thickBot="1">
      <c r="A9" s="221"/>
      <c r="B9" s="353" t="s">
        <v>172</v>
      </c>
      <c r="C9" s="354" t="s">
        <v>213</v>
      </c>
      <c r="D9" s="351" t="s">
        <v>214</v>
      </c>
      <c r="E9" s="352" t="s">
        <v>215</v>
      </c>
      <c r="F9" s="166"/>
      <c r="G9" s="1179" t="s">
        <v>172</v>
      </c>
    </row>
    <row r="10" spans="1:12">
      <c r="A10" s="221"/>
      <c r="B10" s="484">
        <v>1</v>
      </c>
      <c r="C10" s="355" t="s">
        <v>216</v>
      </c>
      <c r="D10" s="350">
        <v>0</v>
      </c>
      <c r="E10" s="485" t="s">
        <v>217</v>
      </c>
      <c r="F10" s="166"/>
      <c r="G10" s="1180"/>
    </row>
    <row r="11" spans="1:12">
      <c r="A11" s="225"/>
      <c r="B11" s="356">
        <v>2</v>
      </c>
      <c r="C11" s="357" t="s">
        <v>218</v>
      </c>
      <c r="D11" s="345">
        <f>E11*D15</f>
        <v>140</v>
      </c>
      <c r="E11" s="378">
        <v>0.7</v>
      </c>
      <c r="F11" s="226"/>
      <c r="G11" s="1148">
        <v>140</v>
      </c>
      <c r="H11" s="227"/>
    </row>
    <row r="12" spans="1:12">
      <c r="A12" s="167" t="s">
        <v>219</v>
      </c>
      <c r="B12" s="356">
        <v>3</v>
      </c>
      <c r="C12" s="357" t="s">
        <v>220</v>
      </c>
      <c r="D12" s="346">
        <v>160</v>
      </c>
      <c r="E12" s="376">
        <v>0.8</v>
      </c>
      <c r="F12" s="226"/>
      <c r="G12" s="1148">
        <v>160</v>
      </c>
      <c r="H12" s="227"/>
    </row>
    <row r="13" spans="1:12">
      <c r="A13" s="168" t="s">
        <v>221</v>
      </c>
      <c r="B13" s="484">
        <v>4</v>
      </c>
      <c r="C13" s="357" t="s">
        <v>52</v>
      </c>
      <c r="D13" s="1455">
        <v>180</v>
      </c>
      <c r="E13" s="377">
        <f>D13/D15</f>
        <v>0.9</v>
      </c>
      <c r="F13" s="226"/>
      <c r="G13" s="1148">
        <v>120</v>
      </c>
      <c r="H13" s="227"/>
      <c r="I13" s="228"/>
    </row>
    <row r="14" spans="1:12">
      <c r="A14" s="167" t="s">
        <v>222</v>
      </c>
      <c r="B14" s="356">
        <v>5</v>
      </c>
      <c r="C14" s="358" t="s">
        <v>223</v>
      </c>
      <c r="D14" s="1455">
        <v>200</v>
      </c>
      <c r="E14" s="378">
        <v>0.90222222222222226</v>
      </c>
      <c r="F14" s="226"/>
      <c r="G14" s="1148">
        <v>180.44444444444446</v>
      </c>
      <c r="H14" s="227"/>
    </row>
    <row r="15" spans="1:12">
      <c r="A15" s="167" t="s">
        <v>224</v>
      </c>
      <c r="B15" s="356">
        <v>6</v>
      </c>
      <c r="C15" s="359" t="s">
        <v>53</v>
      </c>
      <c r="D15" s="349">
        <v>200</v>
      </c>
      <c r="E15" s="379">
        <v>1</v>
      </c>
      <c r="F15" s="169"/>
      <c r="G15" s="1149">
        <v>200</v>
      </c>
      <c r="H15" s="170"/>
    </row>
    <row r="16" spans="1:12">
      <c r="A16" s="225"/>
      <c r="B16" s="484">
        <v>7</v>
      </c>
      <c r="C16" s="359" t="s">
        <v>54</v>
      </c>
      <c r="D16" s="347">
        <v>230</v>
      </c>
      <c r="E16" s="377">
        <f>D16/D15</f>
        <v>1.1499999999999999</v>
      </c>
      <c r="F16" s="226"/>
      <c r="G16" s="1148">
        <v>230</v>
      </c>
      <c r="H16" s="227"/>
    </row>
    <row r="17" spans="1:8" ht="16.5" thickBot="1">
      <c r="A17" s="225"/>
      <c r="B17" s="528">
        <v>8</v>
      </c>
      <c r="C17" s="359" t="s">
        <v>55</v>
      </c>
      <c r="D17" s="526">
        <v>280</v>
      </c>
      <c r="E17" s="380">
        <f>D17/D15</f>
        <v>1.4</v>
      </c>
      <c r="F17" s="226"/>
      <c r="G17" s="1148">
        <v>280</v>
      </c>
      <c r="H17" s="227"/>
    </row>
    <row r="18" spans="1:8" ht="16.5" thickBot="1">
      <c r="A18" s="225"/>
      <c r="B18" s="486">
        <v>9</v>
      </c>
      <c r="C18" s="527" t="s">
        <v>698</v>
      </c>
      <c r="D18" s="348">
        <v>1500</v>
      </c>
      <c r="E18" s="380"/>
      <c r="F18" s="226"/>
      <c r="G18" s="1181"/>
      <c r="H18" s="227"/>
    </row>
    <row r="19" spans="1:8" ht="16.5" thickBot="1">
      <c r="A19" s="225"/>
      <c r="B19" s="487"/>
      <c r="C19" s="488" t="s">
        <v>225</v>
      </c>
      <c r="D19" s="229"/>
      <c r="E19" s="384"/>
      <c r="F19" s="226"/>
      <c r="G19" s="1151" t="s">
        <v>226</v>
      </c>
      <c r="H19" s="227"/>
    </row>
    <row r="20" spans="1:8" ht="16.5" thickBot="1">
      <c r="A20" s="225"/>
      <c r="B20" s="489" t="s">
        <v>226</v>
      </c>
      <c r="C20" s="490" t="s">
        <v>227</v>
      </c>
      <c r="D20" s="340" t="s">
        <v>330</v>
      </c>
      <c r="E20" s="344" t="s">
        <v>331</v>
      </c>
      <c r="F20" s="226"/>
      <c r="G20" s="1142" t="s">
        <v>228</v>
      </c>
      <c r="H20" s="1145" t="s">
        <v>229</v>
      </c>
    </row>
    <row r="21" spans="1:8">
      <c r="A21" s="225"/>
      <c r="B21" s="361">
        <v>1</v>
      </c>
      <c r="C21" s="358" t="s">
        <v>230</v>
      </c>
      <c r="D21" s="320">
        <v>0.5</v>
      </c>
      <c r="E21" s="341">
        <v>0.75</v>
      </c>
      <c r="F21" s="231"/>
      <c r="G21" s="1143">
        <v>0.5</v>
      </c>
      <c r="H21" s="1146">
        <v>0.75</v>
      </c>
    </row>
    <row r="22" spans="1:8">
      <c r="A22" s="225"/>
      <c r="B22" s="356">
        <v>2</v>
      </c>
      <c r="C22" s="359" t="s">
        <v>231</v>
      </c>
      <c r="D22" s="321">
        <v>0.75</v>
      </c>
      <c r="E22" s="342">
        <v>1</v>
      </c>
      <c r="F22" s="231"/>
      <c r="G22" s="1143">
        <v>0.75</v>
      </c>
      <c r="H22" s="1146">
        <v>1</v>
      </c>
    </row>
    <row r="23" spans="1:8" ht="16.5" thickBot="1">
      <c r="A23" s="225"/>
      <c r="B23" s="362">
        <v>3</v>
      </c>
      <c r="C23" s="360" t="s">
        <v>232</v>
      </c>
      <c r="D23" s="322">
        <v>1</v>
      </c>
      <c r="E23" s="343">
        <v>1</v>
      </c>
      <c r="F23" s="231"/>
      <c r="G23" s="1144">
        <v>1</v>
      </c>
      <c r="H23" s="1147">
        <v>1</v>
      </c>
    </row>
    <row r="24" spans="1:8" ht="16.5" thickBot="1">
      <c r="A24" s="225"/>
      <c r="B24" s="491" t="s">
        <v>233</v>
      </c>
      <c r="C24" s="354" t="s">
        <v>234</v>
      </c>
      <c r="D24" s="339" t="s">
        <v>233</v>
      </c>
      <c r="E24" s="385"/>
      <c r="F24" s="231"/>
      <c r="G24" s="1152" t="s">
        <v>233</v>
      </c>
      <c r="H24" s="227"/>
    </row>
    <row r="25" spans="1:8">
      <c r="A25" s="225"/>
      <c r="B25" s="363">
        <v>1</v>
      </c>
      <c r="C25" s="364">
        <v>1</v>
      </c>
      <c r="D25" s="320">
        <v>1</v>
      </c>
      <c r="E25" s="386"/>
      <c r="F25" s="231"/>
      <c r="G25" s="1138">
        <v>1</v>
      </c>
      <c r="H25" s="227"/>
    </row>
    <row r="26" spans="1:8">
      <c r="A26" s="225"/>
      <c r="B26" s="365">
        <v>2</v>
      </c>
      <c r="C26" s="359" t="s">
        <v>235</v>
      </c>
      <c r="D26" s="321">
        <v>0.75</v>
      </c>
      <c r="E26" s="386"/>
      <c r="F26" s="231"/>
      <c r="G26" s="1138">
        <v>0.75</v>
      </c>
      <c r="H26" s="227"/>
    </row>
    <row r="27" spans="1:8">
      <c r="A27" s="225"/>
      <c r="B27" s="365">
        <v>3</v>
      </c>
      <c r="C27" s="359" t="s">
        <v>236</v>
      </c>
      <c r="D27" s="321">
        <v>0.5</v>
      </c>
      <c r="E27" s="386"/>
      <c r="F27" s="231"/>
      <c r="G27" s="1138">
        <v>0.5</v>
      </c>
      <c r="H27" s="227"/>
    </row>
    <row r="28" spans="1:8">
      <c r="A28" s="225"/>
      <c r="B28" s="366">
        <v>4</v>
      </c>
      <c r="C28" s="367" t="s">
        <v>237</v>
      </c>
      <c r="D28" s="324">
        <v>0.3</v>
      </c>
      <c r="E28" s="386"/>
      <c r="F28" s="231"/>
      <c r="G28" s="1138">
        <v>0.3</v>
      </c>
      <c r="H28" s="227"/>
    </row>
    <row r="29" spans="1:8" ht="16.5" thickBot="1">
      <c r="A29" s="233"/>
      <c r="B29" s="368">
        <v>5</v>
      </c>
      <c r="C29" s="369">
        <v>0</v>
      </c>
      <c r="D29" s="325">
        <v>0</v>
      </c>
      <c r="E29" s="231"/>
      <c r="F29" s="231"/>
      <c r="G29" s="1139">
        <v>0</v>
      </c>
      <c r="H29" s="227"/>
    </row>
    <row r="30" spans="1:8" ht="16.5" thickBot="1">
      <c r="A30" s="221"/>
      <c r="B30" s="492" t="s">
        <v>242</v>
      </c>
      <c r="C30" s="493" t="s">
        <v>243</v>
      </c>
      <c r="D30" s="338" t="s">
        <v>242</v>
      </c>
      <c r="E30" s="234"/>
      <c r="F30" s="234"/>
      <c r="G30" s="1153" t="s">
        <v>242</v>
      </c>
    </row>
    <row r="31" spans="1:8">
      <c r="A31" s="221"/>
      <c r="B31" s="370">
        <v>1</v>
      </c>
      <c r="C31" s="371" t="s">
        <v>244</v>
      </c>
      <c r="D31" s="337">
        <v>0.9</v>
      </c>
      <c r="E31" s="234"/>
      <c r="F31" s="234"/>
      <c r="G31" s="1138">
        <v>0.9</v>
      </c>
    </row>
    <row r="32" spans="1:8">
      <c r="A32" s="221"/>
      <c r="B32" s="372">
        <v>2</v>
      </c>
      <c r="C32" s="373" t="s">
        <v>245</v>
      </c>
      <c r="D32" s="326">
        <v>1</v>
      </c>
      <c r="E32" s="234"/>
      <c r="F32" s="234"/>
      <c r="G32" s="1138">
        <v>1</v>
      </c>
    </row>
    <row r="33" spans="1:9" ht="16.5" thickBot="1">
      <c r="A33" s="221"/>
      <c r="B33" s="374">
        <v>3</v>
      </c>
      <c r="C33" s="375" t="s">
        <v>246</v>
      </c>
      <c r="D33" s="327">
        <v>1.1000000000000001</v>
      </c>
      <c r="E33" s="387"/>
      <c r="F33" s="234"/>
      <c r="G33" s="1139">
        <v>1.1000000000000001</v>
      </c>
    </row>
    <row r="34" spans="1:9" ht="16.5" thickBot="1">
      <c r="A34" s="238"/>
      <c r="B34" s="494" t="s">
        <v>247</v>
      </c>
      <c r="C34" s="495" t="s">
        <v>681</v>
      </c>
      <c r="D34" s="336" t="s">
        <v>248</v>
      </c>
      <c r="E34" s="496" t="s">
        <v>249</v>
      </c>
      <c r="F34" s="231" t="s">
        <v>744</v>
      </c>
      <c r="G34" s="1153" t="s">
        <v>247</v>
      </c>
      <c r="I34" s="227"/>
    </row>
    <row r="35" spans="1:9">
      <c r="A35" s="240"/>
      <c r="B35" s="334">
        <v>1</v>
      </c>
      <c r="C35" s="335" t="s">
        <v>250</v>
      </c>
      <c r="D35" s="323">
        <v>9</v>
      </c>
      <c r="E35" s="381">
        <f>D35/D37</f>
        <v>0.9</v>
      </c>
      <c r="F35" s="277">
        <v>35</v>
      </c>
      <c r="G35" s="1138">
        <v>9</v>
      </c>
      <c r="H35" s="227"/>
      <c r="I35" s="164"/>
    </row>
    <row r="36" spans="1:9">
      <c r="A36" s="174" t="s">
        <v>251</v>
      </c>
      <c r="B36" s="241">
        <v>2</v>
      </c>
      <c r="C36" s="242" t="s">
        <v>252</v>
      </c>
      <c r="D36" s="1456">
        <v>10</v>
      </c>
      <c r="E36" s="381">
        <f>D36/D37</f>
        <v>1</v>
      </c>
      <c r="F36" s="1457">
        <v>36</v>
      </c>
      <c r="G36" s="1138">
        <v>9</v>
      </c>
      <c r="H36" s="227"/>
      <c r="I36" s="227"/>
    </row>
    <row r="37" spans="1:9">
      <c r="A37" s="174" t="s">
        <v>253</v>
      </c>
      <c r="B37" s="241">
        <v>3</v>
      </c>
      <c r="C37" s="242" t="s">
        <v>254</v>
      </c>
      <c r="D37" s="330">
        <v>10</v>
      </c>
      <c r="E37" s="382">
        <v>1</v>
      </c>
      <c r="F37" s="1457">
        <v>37</v>
      </c>
      <c r="G37" s="1138">
        <v>10</v>
      </c>
      <c r="H37" s="227"/>
      <c r="I37" s="227"/>
    </row>
    <row r="38" spans="1:9">
      <c r="A38" s="240"/>
      <c r="B38" s="241">
        <v>4</v>
      </c>
      <c r="C38" s="242" t="s">
        <v>255</v>
      </c>
      <c r="D38" s="328">
        <v>11.5</v>
      </c>
      <c r="E38" s="383">
        <f>D38/D37</f>
        <v>1.1499999999999999</v>
      </c>
      <c r="F38" s="1457">
        <v>38</v>
      </c>
      <c r="G38" s="1138">
        <v>11.5</v>
      </c>
      <c r="H38" s="227"/>
    </row>
    <row r="39" spans="1:9">
      <c r="A39" s="240"/>
      <c r="B39" s="243">
        <v>5</v>
      </c>
      <c r="C39" s="244" t="s">
        <v>256</v>
      </c>
      <c r="D39" s="329">
        <v>13</v>
      </c>
      <c r="E39" s="383">
        <f>D39/D37</f>
        <v>1.3</v>
      </c>
      <c r="F39" s="1457">
        <v>39</v>
      </c>
      <c r="G39" s="1138">
        <v>13</v>
      </c>
      <c r="H39" s="227"/>
    </row>
    <row r="40" spans="1:9" ht="16.5" thickBot="1">
      <c r="A40" s="240"/>
      <c r="B40" s="1458" t="s">
        <v>780</v>
      </c>
      <c r="C40" s="1089" t="s">
        <v>783</v>
      </c>
      <c r="D40" s="1090">
        <v>1</v>
      </c>
      <c r="E40" s="383"/>
      <c r="F40" s="226"/>
      <c r="G40" s="1177">
        <v>20</v>
      </c>
      <c r="H40" s="227"/>
    </row>
    <row r="41" spans="1:9" ht="16.5" thickBot="1">
      <c r="A41" s="240"/>
      <c r="B41" s="1092" t="s">
        <v>257</v>
      </c>
      <c r="C41" s="495" t="s">
        <v>258</v>
      </c>
      <c r="D41" s="1093" t="s">
        <v>257</v>
      </c>
      <c r="E41" s="385"/>
      <c r="F41" s="231"/>
      <c r="G41" s="1153" t="s">
        <v>257</v>
      </c>
      <c r="H41" s="227"/>
    </row>
    <row r="42" spans="1:9">
      <c r="A42" s="240"/>
      <c r="B42" s="334"/>
      <c r="C42" s="335" t="s">
        <v>753</v>
      </c>
      <c r="D42" s="1444">
        <v>1</v>
      </c>
      <c r="E42" s="386"/>
      <c r="F42" s="231"/>
      <c r="G42" s="1138">
        <v>1</v>
      </c>
      <c r="H42" s="227"/>
    </row>
    <row r="43" spans="1:9">
      <c r="A43" s="240"/>
      <c r="B43" s="241"/>
      <c r="C43" s="242" t="s">
        <v>754</v>
      </c>
      <c r="D43" s="1091">
        <v>0.9</v>
      </c>
      <c r="E43" s="386"/>
      <c r="F43" s="231"/>
      <c r="G43" s="1138">
        <v>0.9</v>
      </c>
      <c r="H43" s="227"/>
    </row>
    <row r="44" spans="1:9" ht="16.5" thickBot="1">
      <c r="A44" s="240"/>
      <c r="B44" s="245"/>
      <c r="C44" s="246" t="s">
        <v>755</v>
      </c>
      <c r="D44" s="332">
        <v>0.2</v>
      </c>
      <c r="E44" s="386"/>
      <c r="F44" s="231"/>
      <c r="G44" s="1139">
        <v>0.2</v>
      </c>
      <c r="H44" s="227"/>
    </row>
    <row r="45" spans="1:9" ht="16.5" thickBot="1">
      <c r="A45" s="240"/>
      <c r="B45" s="250"/>
      <c r="C45" s="178" t="s">
        <v>259</v>
      </c>
      <c r="D45" s="251"/>
      <c r="E45" s="386"/>
      <c r="F45" s="231"/>
      <c r="G45" s="257"/>
      <c r="H45" s="227"/>
    </row>
    <row r="46" spans="1:9" ht="32.25" thickBot="1">
      <c r="A46" s="240"/>
      <c r="B46" s="252"/>
      <c r="C46" s="179" t="s">
        <v>260</v>
      </c>
      <c r="D46" s="1423" t="s">
        <v>746</v>
      </c>
      <c r="E46" s="1424" t="s">
        <v>747</v>
      </c>
      <c r="F46" s="231"/>
      <c r="G46" s="257"/>
      <c r="H46" s="227"/>
    </row>
    <row r="47" spans="1:9" ht="16.5" thickBot="1">
      <c r="A47" s="240"/>
      <c r="B47" s="444">
        <v>1</v>
      </c>
      <c r="C47" s="445" t="s">
        <v>49</v>
      </c>
      <c r="D47" s="446" t="s">
        <v>238</v>
      </c>
      <c r="E47" s="446" t="s">
        <v>238</v>
      </c>
      <c r="F47" s="1171">
        <v>1</v>
      </c>
      <c r="G47" s="1163" t="s">
        <v>238</v>
      </c>
      <c r="H47" s="227"/>
    </row>
    <row r="48" spans="1:9">
      <c r="A48" s="240"/>
      <c r="B48" s="447">
        <v>1</v>
      </c>
      <c r="C48" s="437" t="s">
        <v>239</v>
      </c>
      <c r="D48" s="232">
        <v>1</v>
      </c>
      <c r="E48" s="232">
        <v>1</v>
      </c>
      <c r="F48" s="277"/>
      <c r="G48" s="1138">
        <v>1</v>
      </c>
      <c r="H48" s="227"/>
    </row>
    <row r="49" spans="1:9">
      <c r="A49" s="240"/>
      <c r="B49" s="203">
        <v>2</v>
      </c>
      <c r="C49" s="105" t="s">
        <v>240</v>
      </c>
      <c r="D49" s="235">
        <v>1.1000000000000001</v>
      </c>
      <c r="E49" s="235">
        <v>1.1000000000000001</v>
      </c>
      <c r="F49" s="277"/>
      <c r="G49" s="1138">
        <v>1.1000000000000001</v>
      </c>
    </row>
    <row r="50" spans="1:9" ht="16.5" thickBot="1">
      <c r="A50" s="240"/>
      <c r="B50" s="253">
        <v>3</v>
      </c>
      <c r="C50" s="236" t="s">
        <v>241</v>
      </c>
      <c r="D50" s="254">
        <v>1.2</v>
      </c>
      <c r="E50" s="254">
        <v>1.2</v>
      </c>
      <c r="F50" s="277"/>
      <c r="G50" s="1139">
        <v>1.2</v>
      </c>
    </row>
    <row r="51" spans="1:9" ht="16.5" thickBot="1">
      <c r="A51" s="255"/>
      <c r="B51" s="417">
        <v>2</v>
      </c>
      <c r="C51" s="448" t="s">
        <v>50</v>
      </c>
      <c r="D51" s="449" t="s">
        <v>51</v>
      </c>
      <c r="E51" s="449" t="s">
        <v>51</v>
      </c>
      <c r="F51" s="1172">
        <v>2</v>
      </c>
      <c r="G51" s="1173" t="s">
        <v>51</v>
      </c>
      <c r="H51" s="258"/>
      <c r="I51" s="223"/>
    </row>
    <row r="52" spans="1:9">
      <c r="A52" s="255"/>
      <c r="B52" s="198">
        <v>1</v>
      </c>
      <c r="C52" s="450" t="s">
        <v>52</v>
      </c>
      <c r="D52" s="451">
        <v>0.8</v>
      </c>
      <c r="E52" s="451">
        <v>0.8</v>
      </c>
      <c r="F52" s="256"/>
      <c r="G52" s="1174">
        <v>0.7</v>
      </c>
      <c r="H52" s="258"/>
      <c r="I52" s="223"/>
    </row>
    <row r="53" spans="1:9">
      <c r="A53" s="255"/>
      <c r="B53" s="203">
        <v>2</v>
      </c>
      <c r="C53" s="102" t="s">
        <v>53</v>
      </c>
      <c r="D53" s="313">
        <v>1</v>
      </c>
      <c r="E53" s="313">
        <v>1</v>
      </c>
      <c r="F53" s="256"/>
      <c r="G53" s="1140">
        <v>1</v>
      </c>
      <c r="H53" s="258"/>
      <c r="I53" s="223"/>
    </row>
    <row r="54" spans="1:9">
      <c r="A54" s="255"/>
      <c r="B54" s="203">
        <v>3</v>
      </c>
      <c r="C54" s="102" t="s">
        <v>54</v>
      </c>
      <c r="D54" s="313">
        <v>1.1000000000000001</v>
      </c>
      <c r="E54" s="313">
        <v>1.05</v>
      </c>
      <c r="F54" s="1170"/>
      <c r="G54" s="1175">
        <v>1.2</v>
      </c>
      <c r="H54" s="261"/>
      <c r="I54" s="223"/>
    </row>
    <row r="55" spans="1:9" ht="16.5" thickBot="1">
      <c r="A55" s="255"/>
      <c r="B55" s="207">
        <v>4</v>
      </c>
      <c r="C55" s="104" t="s">
        <v>55</v>
      </c>
      <c r="D55" s="1422">
        <v>1.2</v>
      </c>
      <c r="E55" s="1422">
        <v>1.1000000000000001</v>
      </c>
      <c r="F55" s="1170"/>
      <c r="G55" s="1176">
        <v>1.4</v>
      </c>
      <c r="H55" s="261"/>
      <c r="I55" s="223"/>
    </row>
    <row r="56" spans="1:9" ht="32.25" thickBot="1">
      <c r="A56" s="255"/>
      <c r="B56" s="256"/>
      <c r="C56" s="1421" t="s">
        <v>329</v>
      </c>
      <c r="D56" s="1423" t="s">
        <v>746</v>
      </c>
      <c r="E56" s="1424" t="s">
        <v>747</v>
      </c>
      <c r="F56" s="1170"/>
      <c r="G56" s="1141"/>
      <c r="H56" s="261"/>
      <c r="I56" s="223"/>
    </row>
    <row r="57" spans="1:9">
      <c r="A57" s="255"/>
      <c r="B57" s="389">
        <v>0</v>
      </c>
      <c r="C57" s="314" t="s">
        <v>328</v>
      </c>
      <c r="D57" s="390" t="s">
        <v>44</v>
      </c>
      <c r="E57" s="390" t="s">
        <v>44</v>
      </c>
      <c r="F57" s="1168">
        <v>0</v>
      </c>
      <c r="G57" s="1154" t="s">
        <v>118</v>
      </c>
      <c r="H57" s="261"/>
      <c r="I57" s="223"/>
    </row>
    <row r="58" spans="1:9">
      <c r="A58" s="255"/>
      <c r="B58" s="203" t="s">
        <v>45</v>
      </c>
      <c r="C58" s="105" t="s">
        <v>46</v>
      </c>
      <c r="D58" s="259">
        <v>600</v>
      </c>
      <c r="E58" s="259">
        <v>600</v>
      </c>
      <c r="F58" s="1168"/>
      <c r="G58" s="1155">
        <v>600</v>
      </c>
      <c r="H58" s="261"/>
      <c r="I58" s="223"/>
    </row>
    <row r="59" spans="1:9" ht="16.5" thickBot="1">
      <c r="A59" s="255"/>
      <c r="B59" s="207" t="s">
        <v>47</v>
      </c>
      <c r="C59" s="236" t="s">
        <v>48</v>
      </c>
      <c r="D59" s="260">
        <v>900</v>
      </c>
      <c r="E59" s="260">
        <v>900</v>
      </c>
      <c r="F59" s="1168"/>
      <c r="G59" s="1156">
        <v>900</v>
      </c>
      <c r="H59" s="261"/>
      <c r="I59" s="223"/>
    </row>
    <row r="60" spans="1:9">
      <c r="A60" s="255"/>
      <c r="B60" s="389">
        <v>3</v>
      </c>
      <c r="C60" s="314" t="s">
        <v>56</v>
      </c>
      <c r="D60" s="315" t="s">
        <v>57</v>
      </c>
      <c r="E60" s="315" t="s">
        <v>57</v>
      </c>
      <c r="F60" s="1169">
        <v>3</v>
      </c>
      <c r="G60" s="1167" t="s">
        <v>57</v>
      </c>
      <c r="H60" s="261"/>
      <c r="I60" s="223"/>
    </row>
    <row r="61" spans="1:9">
      <c r="A61" s="255"/>
      <c r="B61" s="466">
        <v>1</v>
      </c>
      <c r="C61" s="412" t="s">
        <v>58</v>
      </c>
      <c r="D61" s="467">
        <v>0</v>
      </c>
      <c r="E61" s="1425">
        <v>0</v>
      </c>
      <c r="F61" s="1169"/>
      <c r="G61" s="1155">
        <v>0</v>
      </c>
      <c r="H61" s="261"/>
      <c r="I61" s="223"/>
    </row>
    <row r="62" spans="1:9">
      <c r="A62" s="255"/>
      <c r="B62" s="106">
        <v>2</v>
      </c>
      <c r="C62" s="102" t="s">
        <v>59</v>
      </c>
      <c r="D62" s="468">
        <v>1</v>
      </c>
      <c r="E62" s="1426">
        <v>1</v>
      </c>
      <c r="F62" s="1169"/>
      <c r="G62" s="1157">
        <v>1</v>
      </c>
      <c r="H62" s="261"/>
      <c r="I62" s="223"/>
    </row>
    <row r="63" spans="1:9">
      <c r="A63" s="255"/>
      <c r="B63" s="106">
        <v>3</v>
      </c>
      <c r="C63" s="102" t="s">
        <v>60</v>
      </c>
      <c r="D63" s="468">
        <v>1.1000000000000001</v>
      </c>
      <c r="E63" s="1426">
        <v>1.05</v>
      </c>
      <c r="F63" s="1169"/>
      <c r="G63" s="1157">
        <v>1.1000000000000001</v>
      </c>
      <c r="H63" s="261"/>
      <c r="I63" s="223"/>
    </row>
    <row r="64" spans="1:9">
      <c r="A64" s="255"/>
      <c r="B64" s="106">
        <v>4</v>
      </c>
      <c r="C64" s="102" t="s">
        <v>61</v>
      </c>
      <c r="D64" s="468">
        <v>1.2</v>
      </c>
      <c r="E64" s="1426">
        <v>1.1000000000000001</v>
      </c>
      <c r="F64" s="1169"/>
      <c r="G64" s="1157">
        <f>1.1*1.1</f>
        <v>1.2100000000000002</v>
      </c>
      <c r="H64" s="261"/>
      <c r="I64" s="223"/>
    </row>
    <row r="65" spans="1:9" ht="16.5" thickBot="1">
      <c r="A65" s="255"/>
      <c r="B65" s="106">
        <v>5</v>
      </c>
      <c r="C65" s="102" t="s">
        <v>62</v>
      </c>
      <c r="D65" s="468">
        <v>1.33</v>
      </c>
      <c r="E65" s="1426">
        <v>1.1499999999999999</v>
      </c>
      <c r="F65" s="1169"/>
      <c r="G65" s="1158">
        <f>G64*1.1</f>
        <v>1.3310000000000004</v>
      </c>
      <c r="H65" s="261"/>
      <c r="I65" s="223"/>
    </row>
    <row r="66" spans="1:9" ht="16.5" thickBot="1">
      <c r="A66" s="255"/>
      <c r="B66" s="417">
        <v>4</v>
      </c>
      <c r="C66" s="418" t="s">
        <v>63</v>
      </c>
      <c r="D66" s="419" t="s">
        <v>64</v>
      </c>
      <c r="E66" s="1427" t="s">
        <v>64</v>
      </c>
      <c r="F66" s="1169">
        <v>4</v>
      </c>
      <c r="G66" s="419" t="s">
        <v>64</v>
      </c>
      <c r="H66" s="261"/>
      <c r="I66" s="223"/>
    </row>
    <row r="67" spans="1:9">
      <c r="A67" s="255"/>
      <c r="B67" s="463">
        <v>1</v>
      </c>
      <c r="C67" s="464" t="s">
        <v>467</v>
      </c>
      <c r="D67" s="465">
        <v>0</v>
      </c>
      <c r="E67" s="1428">
        <v>0</v>
      </c>
      <c r="F67" s="1169"/>
      <c r="G67" s="1136"/>
      <c r="H67" s="261"/>
      <c r="I67" s="223"/>
    </row>
    <row r="68" spans="1:9">
      <c r="A68" s="255"/>
      <c r="B68" s="203">
        <v>2</v>
      </c>
      <c r="C68" s="102" t="s">
        <v>706</v>
      </c>
      <c r="D68" s="235">
        <v>0.7</v>
      </c>
      <c r="E68" s="1429">
        <v>0.7</v>
      </c>
      <c r="F68" s="1169"/>
      <c r="G68" s="1136"/>
      <c r="H68" s="261"/>
      <c r="I68" s="223"/>
    </row>
    <row r="69" spans="1:9">
      <c r="A69" s="255"/>
      <c r="B69" s="203">
        <v>3</v>
      </c>
      <c r="C69" s="102" t="s">
        <v>408</v>
      </c>
      <c r="D69" s="235">
        <v>0.8</v>
      </c>
      <c r="E69" s="1429">
        <v>0.8</v>
      </c>
      <c r="F69" s="1169"/>
      <c r="G69" s="1136"/>
      <c r="H69" s="261"/>
      <c r="I69" s="223"/>
    </row>
    <row r="70" spans="1:9">
      <c r="A70" s="255"/>
      <c r="B70" s="203">
        <v>4</v>
      </c>
      <c r="C70" s="102" t="s">
        <v>409</v>
      </c>
      <c r="D70" s="235">
        <v>0.9</v>
      </c>
      <c r="E70" s="1429">
        <v>0.9</v>
      </c>
      <c r="F70" s="1169"/>
      <c r="G70" s="1136"/>
      <c r="H70" s="261"/>
      <c r="I70" s="223"/>
    </row>
    <row r="71" spans="1:9">
      <c r="A71" s="255"/>
      <c r="B71" s="414">
        <v>5</v>
      </c>
      <c r="C71" s="415" t="s">
        <v>410</v>
      </c>
      <c r="D71" s="416">
        <v>1</v>
      </c>
      <c r="E71" s="440">
        <v>1</v>
      </c>
      <c r="F71" s="1169"/>
      <c r="G71" s="1136"/>
      <c r="H71" s="261"/>
      <c r="I71" s="223"/>
    </row>
    <row r="72" spans="1:9">
      <c r="A72" s="255"/>
      <c r="B72" s="203">
        <v>6</v>
      </c>
      <c r="C72" s="102" t="s">
        <v>411</v>
      </c>
      <c r="D72" s="235">
        <v>1.05</v>
      </c>
      <c r="E72" s="1429">
        <v>1.0249999999999999</v>
      </c>
      <c r="F72" s="1169"/>
      <c r="G72" s="1136"/>
      <c r="H72" s="261"/>
      <c r="I72" s="223"/>
    </row>
    <row r="73" spans="1:9" ht="16.5" thickBot="1">
      <c r="A73" s="255"/>
      <c r="B73" s="207">
        <v>7</v>
      </c>
      <c r="C73" s="104" t="s">
        <v>407</v>
      </c>
      <c r="D73" s="237">
        <v>1.1000000000000001</v>
      </c>
      <c r="E73" s="1430">
        <v>1.105</v>
      </c>
      <c r="F73" s="1169"/>
      <c r="G73" s="1136"/>
      <c r="H73" s="261"/>
      <c r="I73" s="223"/>
    </row>
    <row r="74" spans="1:9">
      <c r="A74" s="255"/>
      <c r="B74" s="198"/>
      <c r="C74" s="1193" t="s">
        <v>708</v>
      </c>
      <c r="D74" s="1194" t="s">
        <v>707</v>
      </c>
      <c r="E74" s="1441" t="s">
        <v>707</v>
      </c>
      <c r="F74" s="1169"/>
      <c r="G74" s="1136"/>
      <c r="H74" s="261"/>
      <c r="I74" s="223"/>
    </row>
    <row r="75" spans="1:9">
      <c r="A75" s="255"/>
      <c r="B75" s="203"/>
      <c r="C75" s="102" t="s">
        <v>709</v>
      </c>
      <c r="D75" s="1126">
        <v>2000</v>
      </c>
      <c r="E75" s="1439">
        <v>2000</v>
      </c>
      <c r="F75" s="1169"/>
      <c r="G75" s="1136"/>
      <c r="H75" s="261"/>
      <c r="I75" s="223"/>
    </row>
    <row r="76" spans="1:9" ht="16.5" thickBot="1">
      <c r="A76" s="255"/>
      <c r="B76" s="207"/>
      <c r="C76" s="104" t="s">
        <v>710</v>
      </c>
      <c r="D76" s="1195">
        <v>1000</v>
      </c>
      <c r="E76" s="1440">
        <v>1000</v>
      </c>
      <c r="F76" s="1169"/>
      <c r="G76" s="1136"/>
      <c r="H76" s="261"/>
      <c r="I76" s="223"/>
    </row>
    <row r="77" spans="1:9" ht="16.5" thickBot="1">
      <c r="A77" s="255"/>
      <c r="B77" s="417">
        <v>5</v>
      </c>
      <c r="C77" s="418" t="s">
        <v>65</v>
      </c>
      <c r="D77" s="419" t="s">
        <v>66</v>
      </c>
      <c r="E77" s="1427" t="s">
        <v>66</v>
      </c>
      <c r="F77" s="1166">
        <v>5</v>
      </c>
      <c r="G77" s="419" t="s">
        <v>66</v>
      </c>
      <c r="H77" s="261"/>
      <c r="I77" s="223"/>
    </row>
    <row r="78" spans="1:9">
      <c r="A78" s="255"/>
      <c r="B78" s="452">
        <v>1</v>
      </c>
      <c r="C78" s="453" t="s">
        <v>67</v>
      </c>
      <c r="D78" s="454">
        <v>1.1499999999999999</v>
      </c>
      <c r="E78" s="1432">
        <v>1.075</v>
      </c>
      <c r="F78" s="1166"/>
      <c r="G78" s="1137"/>
      <c r="H78" s="261"/>
      <c r="I78" s="223"/>
    </row>
    <row r="79" spans="1:9">
      <c r="A79" s="255"/>
      <c r="B79" s="455">
        <v>2</v>
      </c>
      <c r="C79" s="456" t="s">
        <v>749</v>
      </c>
      <c r="D79" s="457">
        <v>1.1000000000000001</v>
      </c>
      <c r="E79" s="1433">
        <v>1.05</v>
      </c>
      <c r="F79" s="1166"/>
      <c r="G79" s="1137"/>
      <c r="H79" s="261"/>
      <c r="I79" s="223"/>
    </row>
    <row r="80" spans="1:9">
      <c r="A80" s="255"/>
      <c r="B80" s="455">
        <v>3</v>
      </c>
      <c r="C80" s="456" t="s">
        <v>748</v>
      </c>
      <c r="D80" s="457">
        <v>1.05</v>
      </c>
      <c r="E80" s="794">
        <v>1</v>
      </c>
      <c r="F80" s="1166"/>
      <c r="G80" s="1137"/>
      <c r="H80" s="261"/>
      <c r="I80" s="223"/>
    </row>
    <row r="81" spans="1:9">
      <c r="A81" s="255"/>
      <c r="B81" s="458">
        <v>4</v>
      </c>
      <c r="C81" s="459" t="s">
        <v>68</v>
      </c>
      <c r="D81" s="460">
        <v>1</v>
      </c>
      <c r="E81" s="1433">
        <v>0.09</v>
      </c>
      <c r="F81" s="1166"/>
      <c r="G81" s="1137"/>
      <c r="H81" s="261"/>
      <c r="I81" s="223"/>
    </row>
    <row r="82" spans="1:9" ht="16.5" thickBot="1">
      <c r="A82" s="255"/>
      <c r="B82" s="461">
        <v>5</v>
      </c>
      <c r="C82" s="423" t="s">
        <v>69</v>
      </c>
      <c r="D82" s="462">
        <v>0.95</v>
      </c>
      <c r="E82" s="1434">
        <v>0.7</v>
      </c>
      <c r="F82" s="1166"/>
      <c r="G82" s="1137"/>
      <c r="H82" s="261"/>
      <c r="I82" s="223"/>
    </row>
    <row r="83" spans="1:9" ht="16.5" thickBot="1">
      <c r="A83" s="255"/>
      <c r="B83" s="424">
        <v>6</v>
      </c>
      <c r="C83" s="425" t="s">
        <v>70</v>
      </c>
      <c r="D83" s="426" t="s">
        <v>71</v>
      </c>
      <c r="E83" s="1435" t="s">
        <v>71</v>
      </c>
      <c r="F83" s="1166">
        <v>6</v>
      </c>
      <c r="G83" s="426" t="s">
        <v>71</v>
      </c>
      <c r="H83" s="261"/>
      <c r="I83" s="223"/>
    </row>
    <row r="84" spans="1:9">
      <c r="A84" s="255"/>
      <c r="B84" s="427">
        <v>1</v>
      </c>
      <c r="C84" s="428" t="s">
        <v>72</v>
      </c>
      <c r="D84" s="429">
        <v>1.075</v>
      </c>
      <c r="E84" s="1436">
        <v>1.075</v>
      </c>
      <c r="F84" s="1166"/>
      <c r="G84" s="1137"/>
      <c r="H84" s="261"/>
      <c r="I84" s="223"/>
    </row>
    <row r="85" spans="1:9">
      <c r="A85" s="255"/>
      <c r="B85" s="306">
        <v>2</v>
      </c>
      <c r="C85" s="420" t="s">
        <v>73</v>
      </c>
      <c r="D85" s="430">
        <v>1.05</v>
      </c>
      <c r="E85" s="439">
        <v>1.05</v>
      </c>
      <c r="F85" s="1166"/>
      <c r="G85" s="1137"/>
      <c r="H85" s="261"/>
      <c r="I85" s="223"/>
    </row>
    <row r="86" spans="1:9">
      <c r="A86" s="255"/>
      <c r="B86" s="306">
        <v>3</v>
      </c>
      <c r="C86" s="420" t="s">
        <v>74</v>
      </c>
      <c r="D86" s="430">
        <v>1.0249999999999999</v>
      </c>
      <c r="E86" s="439">
        <v>1.0249999999999999</v>
      </c>
      <c r="F86" s="1166"/>
      <c r="G86" s="1137"/>
      <c r="H86" s="261"/>
      <c r="I86" s="223"/>
    </row>
    <row r="87" spans="1:9">
      <c r="A87" s="255"/>
      <c r="B87" s="414">
        <v>4</v>
      </c>
      <c r="C87" s="421" t="s">
        <v>75</v>
      </c>
      <c r="D87" s="431">
        <v>1</v>
      </c>
      <c r="E87" s="440">
        <v>1</v>
      </c>
      <c r="F87" s="1166"/>
      <c r="G87" s="1137"/>
      <c r="H87" s="261"/>
      <c r="I87" s="223"/>
    </row>
    <row r="88" spans="1:9" ht="16.5" thickBot="1">
      <c r="A88" s="255"/>
      <c r="B88" s="422">
        <v>5</v>
      </c>
      <c r="C88" s="432" t="s">
        <v>76</v>
      </c>
      <c r="D88" s="433">
        <v>0.97500000000000009</v>
      </c>
      <c r="E88" s="441">
        <v>0.7</v>
      </c>
      <c r="F88" s="1166"/>
      <c r="G88" s="1137"/>
      <c r="H88" s="261"/>
      <c r="I88" s="223"/>
    </row>
    <row r="89" spans="1:9" ht="16.5" thickBot="1">
      <c r="A89" s="255"/>
      <c r="B89" s="434">
        <v>7</v>
      </c>
      <c r="C89" s="435" t="s">
        <v>77</v>
      </c>
      <c r="D89" s="436" t="s">
        <v>78</v>
      </c>
      <c r="E89" s="1437" t="s">
        <v>78</v>
      </c>
      <c r="F89" s="1166">
        <v>7</v>
      </c>
      <c r="G89" s="436" t="s">
        <v>78</v>
      </c>
      <c r="H89" s="261"/>
      <c r="I89" s="223"/>
    </row>
    <row r="90" spans="1:9">
      <c r="A90" s="255"/>
      <c r="B90" s="316">
        <v>1</v>
      </c>
      <c r="C90" s="437" t="s">
        <v>442</v>
      </c>
      <c r="D90" s="438">
        <v>1.1000000000000001</v>
      </c>
      <c r="E90" s="438">
        <v>1.05</v>
      </c>
      <c r="F90" s="1166"/>
      <c r="G90" s="1137"/>
      <c r="H90" s="261"/>
      <c r="I90" s="223"/>
    </row>
    <row r="91" spans="1:9">
      <c r="A91" s="255"/>
      <c r="B91" s="306">
        <v>2</v>
      </c>
      <c r="C91" s="102" t="s">
        <v>443</v>
      </c>
      <c r="D91" s="103">
        <v>1.075</v>
      </c>
      <c r="E91" s="439">
        <v>1.0249999999999999</v>
      </c>
      <c r="F91" s="1166"/>
      <c r="G91" s="1137"/>
      <c r="H91" s="261"/>
      <c r="I91" s="223"/>
    </row>
    <row r="92" spans="1:9">
      <c r="A92" s="255"/>
      <c r="B92" s="306">
        <v>3</v>
      </c>
      <c r="C92" s="102" t="s">
        <v>444</v>
      </c>
      <c r="D92" s="439">
        <v>1.05</v>
      </c>
      <c r="E92" s="440">
        <v>1</v>
      </c>
      <c r="F92" s="1166"/>
      <c r="G92" s="1137"/>
      <c r="H92" s="261"/>
      <c r="I92" s="223"/>
    </row>
    <row r="93" spans="1:9">
      <c r="A93" s="255"/>
      <c r="B93" s="306">
        <v>4</v>
      </c>
      <c r="C93" s="102" t="s">
        <v>445</v>
      </c>
      <c r="D93" s="439">
        <v>1.0249999999999999</v>
      </c>
      <c r="E93" s="439">
        <v>0.95</v>
      </c>
      <c r="F93" s="1166"/>
      <c r="G93" s="1137"/>
      <c r="H93" s="261"/>
      <c r="I93" s="223"/>
    </row>
    <row r="94" spans="1:9">
      <c r="A94" s="255"/>
      <c r="B94" s="414">
        <v>5</v>
      </c>
      <c r="C94" s="415" t="s">
        <v>446</v>
      </c>
      <c r="D94" s="440">
        <v>1</v>
      </c>
      <c r="E94" s="439">
        <v>0.9</v>
      </c>
      <c r="F94" s="1166"/>
      <c r="G94" s="1137"/>
      <c r="H94" s="261"/>
      <c r="I94" s="223"/>
    </row>
    <row r="95" spans="1:9" ht="16.5" thickBot="1">
      <c r="A95" s="255"/>
      <c r="B95" s="422">
        <v>6</v>
      </c>
      <c r="C95" s="104" t="s">
        <v>447</v>
      </c>
      <c r="D95" s="441">
        <f>D94-(D93-D94)</f>
        <v>0.97500000000000009</v>
      </c>
      <c r="E95" s="441">
        <v>0.7</v>
      </c>
      <c r="F95" s="1166"/>
      <c r="G95" s="1137"/>
      <c r="H95" s="261"/>
      <c r="I95" s="223"/>
    </row>
    <row r="96" spans="1:9" ht="16.5" thickBot="1">
      <c r="A96" s="255"/>
      <c r="B96" s="417">
        <v>8</v>
      </c>
      <c r="C96" s="418" t="s">
        <v>79</v>
      </c>
      <c r="D96" s="512" t="s">
        <v>80</v>
      </c>
      <c r="E96" s="1427" t="s">
        <v>80</v>
      </c>
      <c r="F96" s="1166">
        <v>8</v>
      </c>
      <c r="G96" s="512" t="s">
        <v>80</v>
      </c>
      <c r="H96" s="261"/>
      <c r="I96" s="223"/>
    </row>
    <row r="97" spans="1:11">
      <c r="A97" s="255"/>
      <c r="B97" s="198">
        <v>1</v>
      </c>
      <c r="C97" s="437" t="s">
        <v>81</v>
      </c>
      <c r="D97" s="513">
        <v>1.1000000000000001</v>
      </c>
      <c r="E97" s="1431">
        <v>1.1000000000000001</v>
      </c>
      <c r="F97" s="1166"/>
      <c r="G97" s="1137"/>
      <c r="H97" s="261"/>
      <c r="I97" s="223"/>
    </row>
    <row r="98" spans="1:11">
      <c r="A98" s="255"/>
      <c r="B98" s="203">
        <v>2</v>
      </c>
      <c r="C98" s="102" t="s">
        <v>82</v>
      </c>
      <c r="D98" s="442">
        <v>1.05</v>
      </c>
      <c r="E98" s="1429">
        <v>1.05</v>
      </c>
      <c r="F98" s="1166"/>
      <c r="G98" s="1137"/>
      <c r="H98" s="261"/>
      <c r="I98" s="223"/>
    </row>
    <row r="99" spans="1:11">
      <c r="A99" s="255"/>
      <c r="B99" s="414">
        <v>3</v>
      </c>
      <c r="C99" s="415" t="s">
        <v>83</v>
      </c>
      <c r="D99" s="431">
        <v>1</v>
      </c>
      <c r="E99" s="440">
        <v>1</v>
      </c>
      <c r="F99" s="1166"/>
      <c r="G99" s="1137"/>
      <c r="H99" s="261"/>
      <c r="I99" s="223"/>
    </row>
    <row r="100" spans="1:11">
      <c r="A100" s="255"/>
      <c r="B100" s="203">
        <v>4</v>
      </c>
      <c r="C100" s="102" t="s">
        <v>84</v>
      </c>
      <c r="D100" s="442">
        <v>0.5</v>
      </c>
      <c r="E100" s="1429">
        <v>0.5</v>
      </c>
      <c r="F100" s="1166"/>
      <c r="G100" s="1137"/>
      <c r="H100" s="261"/>
      <c r="I100" s="223"/>
    </row>
    <row r="101" spans="1:11" ht="16.5" thickBot="1">
      <c r="A101" s="255"/>
      <c r="B101" s="207">
        <v>5</v>
      </c>
      <c r="C101" s="411" t="s">
        <v>85</v>
      </c>
      <c r="D101" s="443">
        <v>0</v>
      </c>
      <c r="E101" s="1438">
        <v>0</v>
      </c>
      <c r="F101" s="1166"/>
      <c r="G101" s="1137"/>
      <c r="H101" s="261"/>
      <c r="I101" s="223"/>
    </row>
    <row r="102" spans="1:11" ht="16.5" thickBot="1">
      <c r="A102" s="267"/>
      <c r="B102" s="391" t="s">
        <v>261</v>
      </c>
      <c r="C102" s="505" t="s">
        <v>262</v>
      </c>
      <c r="D102" s="506" t="s">
        <v>248</v>
      </c>
      <c r="E102"/>
      <c r="F102"/>
      <c r="G102" s="1153" t="s">
        <v>261</v>
      </c>
      <c r="H102"/>
      <c r="I102"/>
      <c r="K102"/>
    </row>
    <row r="103" spans="1:11">
      <c r="A103" s="267"/>
      <c r="B103" s="508">
        <v>1</v>
      </c>
      <c r="C103" s="509" t="s">
        <v>263</v>
      </c>
      <c r="D103" s="510">
        <v>6</v>
      </c>
      <c r="E103"/>
      <c r="F103"/>
      <c r="G103" s="1164">
        <v>6</v>
      </c>
      <c r="H103"/>
      <c r="I103"/>
      <c r="K103"/>
    </row>
    <row r="104" spans="1:11">
      <c r="A104" s="267"/>
      <c r="B104" s="262">
        <v>2</v>
      </c>
      <c r="C104" s="264" t="s">
        <v>264</v>
      </c>
      <c r="D104" s="248">
        <v>7</v>
      </c>
      <c r="E104"/>
      <c r="F104"/>
      <c r="G104" s="1164">
        <v>7</v>
      </c>
      <c r="H104"/>
      <c r="I104"/>
      <c r="K104"/>
    </row>
    <row r="105" spans="1:11">
      <c r="A105" s="240"/>
      <c r="B105" s="262">
        <v>3</v>
      </c>
      <c r="C105" s="266" t="s">
        <v>752</v>
      </c>
      <c r="D105" s="983">
        <v>9</v>
      </c>
      <c r="E105"/>
      <c r="F105"/>
      <c r="G105" s="1164">
        <v>7</v>
      </c>
      <c r="H105"/>
      <c r="I105"/>
      <c r="K105"/>
    </row>
    <row r="106" spans="1:11" ht="16.5" thickBot="1">
      <c r="A106" s="240"/>
      <c r="B106" s="511">
        <v>4</v>
      </c>
      <c r="C106" s="504" t="s">
        <v>756</v>
      </c>
      <c r="D106" s="249">
        <v>12</v>
      </c>
      <c r="E106"/>
      <c r="F106"/>
      <c r="G106" s="1165">
        <v>12</v>
      </c>
      <c r="H106"/>
      <c r="I106"/>
      <c r="K106"/>
    </row>
    <row r="107" spans="1:11" ht="16.5" thickBot="1">
      <c r="A107" s="240"/>
      <c r="B107" s="268"/>
      <c r="C107" s="392" t="s">
        <v>781</v>
      </c>
      <c r="D107" s="507"/>
      <c r="E107"/>
      <c r="F107"/>
      <c r="H107"/>
      <c r="I107"/>
      <c r="K107"/>
    </row>
    <row r="108" spans="1:11" ht="16.5" thickBot="1">
      <c r="A108" s="240"/>
      <c r="B108" s="393" t="s">
        <v>265</v>
      </c>
      <c r="C108" s="499" t="s">
        <v>266</v>
      </c>
      <c r="D108" s="500" t="s">
        <v>248</v>
      </c>
      <c r="E108"/>
      <c r="F108"/>
      <c r="G108" s="1153" t="s">
        <v>265</v>
      </c>
      <c r="H108"/>
      <c r="I108"/>
      <c r="K108"/>
    </row>
    <row r="109" spans="1:11">
      <c r="A109" s="240"/>
      <c r="B109" s="501">
        <v>1</v>
      </c>
      <c r="C109" s="269" t="s">
        <v>263</v>
      </c>
      <c r="D109" s="270">
        <v>6</v>
      </c>
      <c r="E109"/>
      <c r="F109"/>
      <c r="G109" s="517">
        <v>6</v>
      </c>
      <c r="H109"/>
      <c r="I109"/>
      <c r="K109"/>
    </row>
    <row r="110" spans="1:11">
      <c r="A110" s="240"/>
      <c r="B110" s="502">
        <v>2</v>
      </c>
      <c r="C110" s="272" t="s">
        <v>267</v>
      </c>
      <c r="D110" s="273">
        <v>6</v>
      </c>
      <c r="E110"/>
      <c r="F110"/>
      <c r="G110" s="517">
        <v>6</v>
      </c>
      <c r="H110"/>
      <c r="I110"/>
      <c r="K110"/>
    </row>
    <row r="111" spans="1:11">
      <c r="A111" s="240"/>
      <c r="B111" s="502">
        <v>3</v>
      </c>
      <c r="C111" s="266" t="s">
        <v>774</v>
      </c>
      <c r="D111" s="248">
        <v>7</v>
      </c>
      <c r="E111"/>
      <c r="F111"/>
      <c r="G111" s="517">
        <v>7</v>
      </c>
      <c r="H111"/>
      <c r="I111"/>
      <c r="K111"/>
    </row>
    <row r="112" spans="1:11">
      <c r="A112" s="240"/>
      <c r="B112" s="502">
        <v>4</v>
      </c>
      <c r="C112" s="266" t="s">
        <v>721</v>
      </c>
      <c r="D112" s="983">
        <v>12</v>
      </c>
      <c r="E112"/>
      <c r="F112"/>
      <c r="G112" s="517">
        <v>7</v>
      </c>
      <c r="H112"/>
      <c r="I112"/>
      <c r="K112"/>
    </row>
    <row r="113" spans="1:11" ht="16.5" thickBot="1">
      <c r="A113" s="240"/>
      <c r="B113" s="502">
        <v>5</v>
      </c>
      <c r="C113" s="264" t="s">
        <v>751</v>
      </c>
      <c r="D113" s="1443">
        <v>12</v>
      </c>
      <c r="E113"/>
      <c r="F113"/>
      <c r="G113" s="518">
        <v>12</v>
      </c>
      <c r="H113"/>
      <c r="I113"/>
      <c r="K113"/>
    </row>
    <row r="114" spans="1:11" ht="16.5" thickBot="1">
      <c r="A114" s="240"/>
      <c r="B114" s="503">
        <v>6</v>
      </c>
      <c r="C114" s="504" t="s">
        <v>750</v>
      </c>
      <c r="D114" s="249">
        <v>15</v>
      </c>
      <c r="E114"/>
      <c r="F114"/>
      <c r="G114" s="1442"/>
      <c r="H114"/>
      <c r="I114"/>
      <c r="K114"/>
    </row>
    <row r="115" spans="1:11">
      <c r="A115" s="240"/>
      <c r="B115" s="271"/>
      <c r="C115" s="394" t="s">
        <v>259</v>
      </c>
      <c r="D115" s="274"/>
      <c r="E115"/>
      <c r="F115"/>
      <c r="H115"/>
      <c r="I115"/>
      <c r="K115"/>
    </row>
    <row r="116" spans="1:11" ht="16.5" thickBot="1">
      <c r="A116" s="275"/>
      <c r="B116" s="271"/>
      <c r="C116" s="394" t="s">
        <v>268</v>
      </c>
      <c r="D116" s="274"/>
      <c r="E116"/>
      <c r="F116"/>
      <c r="H116"/>
      <c r="I116"/>
      <c r="K116"/>
    </row>
    <row r="117" spans="1:11" ht="16.5" thickBot="1">
      <c r="A117" s="278"/>
      <c r="B117" s="271"/>
      <c r="C117" s="395" t="s">
        <v>269</v>
      </c>
      <c r="D117" s="276"/>
      <c r="E117"/>
      <c r="F117"/>
      <c r="H117"/>
      <c r="I117"/>
      <c r="K117"/>
    </row>
    <row r="118" spans="1:11" ht="16.5" thickBot="1">
      <c r="A118" s="186" t="s">
        <v>271</v>
      </c>
      <c r="B118" s="279"/>
      <c r="C118" s="396" t="s">
        <v>270</v>
      </c>
      <c r="D118" s="280"/>
      <c r="E118"/>
      <c r="F118"/>
      <c r="H118"/>
      <c r="I118"/>
      <c r="K118"/>
    </row>
    <row r="119" spans="1:11">
      <c r="A119" s="186" t="s">
        <v>275</v>
      </c>
      <c r="B119" s="397" t="s">
        <v>272</v>
      </c>
      <c r="C119" s="398" t="s">
        <v>273</v>
      </c>
      <c r="D119" s="281" t="s">
        <v>274</v>
      </c>
      <c r="E119"/>
      <c r="F119"/>
      <c r="G119" s="1153" t="s">
        <v>272</v>
      </c>
      <c r="H119"/>
      <c r="I119"/>
      <c r="K119"/>
    </row>
    <row r="120" spans="1:11">
      <c r="A120" s="186" t="s">
        <v>253</v>
      </c>
      <c r="B120" s="282">
        <v>1</v>
      </c>
      <c r="C120" s="283" t="s">
        <v>332</v>
      </c>
      <c r="D120" s="331">
        <v>20</v>
      </c>
      <c r="E120"/>
      <c r="F120"/>
      <c r="G120" s="517">
        <v>20</v>
      </c>
      <c r="H120"/>
      <c r="I120"/>
      <c r="K120"/>
    </row>
    <row r="121" spans="1:11">
      <c r="A121" s="278"/>
      <c r="B121" s="241">
        <v>2</v>
      </c>
      <c r="C121" s="242" t="s">
        <v>276</v>
      </c>
      <c r="D121" s="319">
        <v>27</v>
      </c>
      <c r="E121"/>
      <c r="F121"/>
      <c r="G121" s="517">
        <v>27</v>
      </c>
      <c r="H121"/>
      <c r="I121"/>
      <c r="K121"/>
    </row>
    <row r="122" spans="1:11" ht="16.5" thickBot="1">
      <c r="A122" s="278"/>
      <c r="B122" s="399">
        <v>3</v>
      </c>
      <c r="C122" s="246" t="s">
        <v>277</v>
      </c>
      <c r="D122" s="332">
        <v>170</v>
      </c>
      <c r="E122"/>
      <c r="F122"/>
      <c r="G122" s="517">
        <v>170</v>
      </c>
      <c r="H122"/>
      <c r="I122"/>
      <c r="K122"/>
    </row>
    <row r="123" spans="1:11" ht="16.5" thickBot="1">
      <c r="A123" s="278"/>
      <c r="B123" s="400" t="s">
        <v>278</v>
      </c>
      <c r="C123" s="333" t="s">
        <v>279</v>
      </c>
      <c r="D123" s="469">
        <v>340</v>
      </c>
      <c r="E123"/>
      <c r="F123" s="1"/>
      <c r="G123" s="518">
        <v>340</v>
      </c>
      <c r="H123"/>
      <c r="I123"/>
      <c r="K123"/>
    </row>
    <row r="124" spans="1:11">
      <c r="A124" s="278"/>
      <c r="B124" s="388" t="s">
        <v>280</v>
      </c>
      <c r="C124" s="401"/>
      <c r="D124" s="285" t="s">
        <v>274</v>
      </c>
      <c r="E124"/>
      <c r="F124"/>
      <c r="G124" s="1152" t="s">
        <v>280</v>
      </c>
      <c r="H124"/>
      <c r="I124"/>
      <c r="K124"/>
    </row>
    <row r="125" spans="1:11">
      <c r="A125" s="278"/>
      <c r="B125" s="286">
        <v>1</v>
      </c>
      <c r="C125" s="287" t="s">
        <v>281</v>
      </c>
      <c r="D125" s="288">
        <v>102</v>
      </c>
      <c r="E125"/>
      <c r="F125"/>
      <c r="G125" s="517">
        <v>102</v>
      </c>
      <c r="H125"/>
      <c r="I125"/>
      <c r="K125"/>
    </row>
    <row r="126" spans="1:11" ht="16.5" thickBot="1">
      <c r="A126" s="186"/>
      <c r="B126" s="289">
        <v>2</v>
      </c>
      <c r="C126" s="290" t="s">
        <v>282</v>
      </c>
      <c r="D126" s="291">
        <v>136</v>
      </c>
      <c r="E126"/>
      <c r="F126"/>
      <c r="G126" s="518">
        <v>136</v>
      </c>
      <c r="H126"/>
      <c r="I126"/>
      <c r="K126"/>
    </row>
    <row r="127" spans="1:11">
      <c r="A127" s="186"/>
      <c r="B127" s="402" t="s">
        <v>283</v>
      </c>
      <c r="C127" s="398" t="s">
        <v>284</v>
      </c>
      <c r="D127" s="108" t="s">
        <v>274</v>
      </c>
      <c r="E127"/>
      <c r="F127"/>
      <c r="G127" s="1152" t="s">
        <v>283</v>
      </c>
      <c r="H127"/>
      <c r="I127"/>
      <c r="K127"/>
    </row>
    <row r="128" spans="1:11">
      <c r="A128" s="186"/>
      <c r="B128" s="292">
        <v>1</v>
      </c>
      <c r="C128" s="293" t="s">
        <v>332</v>
      </c>
      <c r="D128" s="470">
        <v>22</v>
      </c>
      <c r="E128"/>
      <c r="F128"/>
      <c r="G128" s="517">
        <v>22</v>
      </c>
      <c r="H128"/>
      <c r="I128"/>
      <c r="K128"/>
    </row>
    <row r="129" spans="1:11">
      <c r="A129" s="278"/>
      <c r="B129" s="247">
        <v>2</v>
      </c>
      <c r="C129" s="105" t="s">
        <v>276</v>
      </c>
      <c r="D129" s="259">
        <v>30</v>
      </c>
      <c r="E129"/>
      <c r="F129"/>
      <c r="G129" s="517">
        <v>30</v>
      </c>
      <c r="H129"/>
      <c r="I129"/>
      <c r="K129"/>
    </row>
    <row r="130" spans="1:11" ht="16.5" thickBot="1">
      <c r="A130" s="278"/>
      <c r="B130" s="403">
        <v>3</v>
      </c>
      <c r="C130" s="236" t="s">
        <v>285</v>
      </c>
      <c r="D130" s="260">
        <v>186</v>
      </c>
      <c r="E130"/>
      <c r="F130"/>
      <c r="G130" s="517">
        <v>186</v>
      </c>
      <c r="H130"/>
      <c r="I130"/>
      <c r="K130"/>
    </row>
    <row r="131" spans="1:11" ht="16.5" thickBot="1">
      <c r="A131" s="278"/>
      <c r="B131" s="404" t="s">
        <v>286</v>
      </c>
      <c r="C131" s="405" t="s">
        <v>287</v>
      </c>
      <c r="D131" s="294">
        <v>372</v>
      </c>
      <c r="E131"/>
      <c r="F131"/>
      <c r="G131" s="518">
        <v>372</v>
      </c>
      <c r="H131"/>
      <c r="I131"/>
      <c r="K131"/>
    </row>
    <row r="132" spans="1:11">
      <c r="A132" s="278"/>
      <c r="B132" s="406"/>
      <c r="C132" s="407" t="s">
        <v>259</v>
      </c>
      <c r="D132" s="295"/>
      <c r="E132"/>
      <c r="F132"/>
      <c r="H132"/>
      <c r="I132"/>
      <c r="K132"/>
    </row>
    <row r="133" spans="1:11">
      <c r="A133" s="278"/>
      <c r="B133" s="296">
        <v>1</v>
      </c>
      <c r="C133" s="471" t="s">
        <v>288</v>
      </c>
      <c r="D133" s="271"/>
      <c r="E133" s="472"/>
      <c r="F133" s="472"/>
      <c r="G133" s="1075"/>
      <c r="H133"/>
      <c r="I133"/>
      <c r="K133"/>
    </row>
    <row r="134" spans="1:11">
      <c r="A134" s="278"/>
      <c r="B134" s="296">
        <v>2</v>
      </c>
      <c r="C134" s="471" t="s">
        <v>289</v>
      </c>
      <c r="D134" s="271"/>
      <c r="E134" s="472"/>
      <c r="F134" s="472"/>
      <c r="G134" s="1075"/>
      <c r="H134"/>
      <c r="I134"/>
      <c r="K134"/>
    </row>
    <row r="135" spans="1:11">
      <c r="A135" s="278"/>
      <c r="B135" s="296"/>
      <c r="C135" s="471" t="s">
        <v>290</v>
      </c>
      <c r="D135" s="271"/>
      <c r="E135" s="472"/>
      <c r="F135" s="472"/>
      <c r="G135" s="1075"/>
      <c r="H135"/>
      <c r="I135"/>
      <c r="K135"/>
    </row>
    <row r="136" spans="1:11">
      <c r="A136" s="278"/>
      <c r="B136" s="296"/>
      <c r="C136" s="471" t="s">
        <v>291</v>
      </c>
      <c r="D136" s="271"/>
      <c r="E136" s="472"/>
      <c r="F136" s="472"/>
      <c r="G136" s="1075"/>
      <c r="H136"/>
      <c r="I136"/>
      <c r="K136"/>
    </row>
    <row r="137" spans="1:11">
      <c r="A137" s="278"/>
      <c r="B137" s="296">
        <v>3</v>
      </c>
      <c r="C137" s="471" t="s">
        <v>292</v>
      </c>
      <c r="D137" s="271"/>
      <c r="E137" s="472"/>
      <c r="F137" s="472"/>
      <c r="G137" s="1075"/>
      <c r="H137"/>
      <c r="I137"/>
      <c r="K137"/>
    </row>
    <row r="138" spans="1:11">
      <c r="A138" s="278"/>
      <c r="B138" s="296">
        <v>4</v>
      </c>
      <c r="C138" s="471" t="s">
        <v>293</v>
      </c>
      <c r="D138" s="271"/>
      <c r="E138" s="472"/>
      <c r="F138" s="472"/>
      <c r="G138" s="1075"/>
      <c r="H138"/>
      <c r="I138"/>
      <c r="K138"/>
    </row>
    <row r="139" spans="1:11">
      <c r="A139" s="278"/>
      <c r="B139" s="296"/>
      <c r="C139" s="471" t="s">
        <v>294</v>
      </c>
      <c r="D139" s="271"/>
      <c r="E139" s="472"/>
      <c r="F139" s="472"/>
      <c r="G139" s="1075"/>
      <c r="H139"/>
      <c r="I139"/>
      <c r="K139"/>
    </row>
    <row r="140" spans="1:11">
      <c r="A140" s="278"/>
      <c r="B140" s="296"/>
      <c r="C140" s="471" t="s">
        <v>295</v>
      </c>
      <c r="D140" s="271"/>
      <c r="E140" s="472"/>
      <c r="F140" s="472"/>
      <c r="G140" s="1075"/>
      <c r="H140"/>
      <c r="I140"/>
      <c r="K140"/>
    </row>
    <row r="141" spans="1:11">
      <c r="A141" s="278"/>
      <c r="B141" s="296"/>
      <c r="C141" s="471" t="s">
        <v>296</v>
      </c>
      <c r="D141" s="271"/>
      <c r="E141" s="472"/>
      <c r="F141" s="472"/>
      <c r="G141" s="1075"/>
      <c r="H141"/>
      <c r="I141"/>
      <c r="K141"/>
    </row>
    <row r="142" spans="1:11">
      <c r="A142" s="278"/>
      <c r="B142" s="296">
        <v>5</v>
      </c>
      <c r="C142" s="471" t="s">
        <v>297</v>
      </c>
      <c r="D142" s="271"/>
      <c r="E142" s="472"/>
      <c r="F142" s="472"/>
      <c r="G142" s="1075"/>
      <c r="H142"/>
      <c r="I142"/>
      <c r="K142"/>
    </row>
    <row r="143" spans="1:11">
      <c r="A143" s="278"/>
      <c r="B143" s="296">
        <v>6</v>
      </c>
      <c r="C143" s="471" t="s">
        <v>298</v>
      </c>
      <c r="D143" s="271"/>
      <c r="E143" s="472"/>
      <c r="F143" s="472"/>
      <c r="G143" s="1075"/>
      <c r="H143"/>
      <c r="I143"/>
      <c r="K143"/>
    </row>
    <row r="144" spans="1:11">
      <c r="A144" s="278"/>
      <c r="B144" s="296">
        <v>7</v>
      </c>
      <c r="C144" s="471" t="s">
        <v>299</v>
      </c>
      <c r="D144" s="271"/>
      <c r="E144" s="472"/>
      <c r="F144" s="472"/>
      <c r="G144" s="1075"/>
      <c r="H144"/>
      <c r="I144"/>
      <c r="K144"/>
    </row>
    <row r="145" spans="1:11" ht="16.5" thickBot="1">
      <c r="A145" s="297"/>
      <c r="B145" s="296">
        <v>8</v>
      </c>
      <c r="C145" s="471" t="s">
        <v>300</v>
      </c>
      <c r="D145" s="271"/>
      <c r="E145" s="472"/>
      <c r="F145" s="472"/>
      <c r="G145" s="1075"/>
      <c r="H145"/>
      <c r="I145"/>
      <c r="K145"/>
    </row>
    <row r="146" spans="1:11" ht="16.5" thickBot="1">
      <c r="A146" s="298"/>
      <c r="B146" s="408"/>
      <c r="C146" s="473"/>
      <c r="D146" s="471"/>
      <c r="E146" s="472"/>
      <c r="F146" s="472"/>
      <c r="G146" s="1075"/>
      <c r="H146"/>
      <c r="I146"/>
      <c r="K146"/>
    </row>
    <row r="147" spans="1:11">
      <c r="A147" s="189" t="s">
        <v>303</v>
      </c>
      <c r="B147" s="1452" t="s">
        <v>301</v>
      </c>
      <c r="C147" s="398" t="s">
        <v>302</v>
      </c>
      <c r="D147" s="299" t="s">
        <v>274</v>
      </c>
      <c r="E147" s="188"/>
      <c r="F147"/>
      <c r="G147" s="1162" t="s">
        <v>301</v>
      </c>
      <c r="H147"/>
      <c r="I147"/>
      <c r="K147"/>
    </row>
    <row r="148" spans="1:11">
      <c r="A148" s="189" t="s">
        <v>305</v>
      </c>
      <c r="B148" s="203">
        <v>1</v>
      </c>
      <c r="C148" s="102" t="s">
        <v>304</v>
      </c>
      <c r="D148" s="248">
        <v>12</v>
      </c>
      <c r="E148" s="188"/>
      <c r="F148"/>
      <c r="G148" s="1018">
        <v>12</v>
      </c>
      <c r="H148"/>
      <c r="I148"/>
      <c r="K148"/>
    </row>
    <row r="149" spans="1:11">
      <c r="A149" s="189" t="s">
        <v>307</v>
      </c>
      <c r="B149" s="203">
        <v>2</v>
      </c>
      <c r="C149" s="102" t="s">
        <v>306</v>
      </c>
      <c r="D149" s="248">
        <v>10</v>
      </c>
      <c r="E149" s="231"/>
      <c r="F149"/>
      <c r="G149" s="1018">
        <v>10</v>
      </c>
      <c r="H149"/>
      <c r="I149"/>
      <c r="K149"/>
    </row>
    <row r="150" spans="1:11">
      <c r="A150" s="300"/>
      <c r="B150" s="203">
        <v>3</v>
      </c>
      <c r="C150" s="105" t="s">
        <v>308</v>
      </c>
      <c r="D150" s="248">
        <v>10</v>
      </c>
      <c r="E150" s="231"/>
      <c r="F150"/>
      <c r="G150" s="1018">
        <v>10</v>
      </c>
      <c r="H150"/>
      <c r="I150"/>
      <c r="K150"/>
    </row>
    <row r="151" spans="1:11">
      <c r="A151" s="300"/>
      <c r="B151" s="203">
        <v>4</v>
      </c>
      <c r="C151" s="105" t="s">
        <v>309</v>
      </c>
      <c r="D151" s="248">
        <v>20</v>
      </c>
      <c r="E151" s="231"/>
      <c r="F151"/>
      <c r="G151" s="1018">
        <v>20</v>
      </c>
      <c r="H151"/>
      <c r="I151"/>
      <c r="K151"/>
    </row>
    <row r="152" spans="1:11">
      <c r="A152" s="300"/>
      <c r="B152" s="203">
        <v>5</v>
      </c>
      <c r="C152" s="105" t="s">
        <v>310</v>
      </c>
      <c r="D152" s="248">
        <v>30</v>
      </c>
      <c r="E152" s="231"/>
      <c r="F152"/>
      <c r="G152" s="1018">
        <v>30</v>
      </c>
      <c r="H152"/>
      <c r="I152"/>
      <c r="K152"/>
    </row>
    <row r="153" spans="1:11">
      <c r="A153" s="300"/>
      <c r="B153" s="203">
        <v>6</v>
      </c>
      <c r="C153" s="105" t="s">
        <v>311</v>
      </c>
      <c r="D153" s="248">
        <v>600</v>
      </c>
      <c r="E153" s="231"/>
      <c r="F153"/>
      <c r="G153" s="1018">
        <v>600</v>
      </c>
      <c r="H153"/>
      <c r="I153"/>
      <c r="K153"/>
    </row>
    <row r="154" spans="1:11" ht="16.5" thickBot="1">
      <c r="A154" s="300"/>
      <c r="B154" s="203">
        <v>7</v>
      </c>
      <c r="C154" s="105" t="s">
        <v>312</v>
      </c>
      <c r="D154" s="248">
        <v>90</v>
      </c>
      <c r="E154" s="231"/>
      <c r="F154"/>
      <c r="G154" s="1018">
        <v>90</v>
      </c>
      <c r="H154"/>
      <c r="I154"/>
      <c r="K154"/>
    </row>
    <row r="155" spans="1:11" ht="16.5" thickBot="1">
      <c r="A155" s="300"/>
      <c r="B155" s="207">
        <v>8</v>
      </c>
      <c r="C155" s="236" t="s">
        <v>313</v>
      </c>
      <c r="D155" s="249">
        <v>15</v>
      </c>
      <c r="E155" s="222"/>
      <c r="F155" s="1159" t="s">
        <v>516</v>
      </c>
      <c r="G155" s="1019">
        <v>15</v>
      </c>
      <c r="H155" s="1160" t="s">
        <v>517</v>
      </c>
      <c r="I155"/>
      <c r="K155"/>
    </row>
    <row r="156" spans="1:11" ht="16.5" thickBot="1">
      <c r="A156" s="1062"/>
      <c r="B156" s="1450" t="s">
        <v>314</v>
      </c>
      <c r="C156" s="1451" t="s">
        <v>315</v>
      </c>
      <c r="D156" s="1094" t="s">
        <v>316</v>
      </c>
      <c r="E156" s="523" t="s">
        <v>339</v>
      </c>
      <c r="F156" s="859" t="s">
        <v>518</v>
      </c>
      <c r="G156" s="1161" t="s">
        <v>335</v>
      </c>
      <c r="H156" s="860" t="s">
        <v>335</v>
      </c>
      <c r="I156"/>
      <c r="K156"/>
    </row>
    <row r="157" spans="1:11">
      <c r="A157" s="168" t="s">
        <v>668</v>
      </c>
      <c r="B157" s="198">
        <v>1</v>
      </c>
      <c r="C157" s="301" t="s">
        <v>333</v>
      </c>
      <c r="D157" s="230">
        <v>0</v>
      </c>
      <c r="E157" s="634">
        <v>0</v>
      </c>
      <c r="F157" s="514">
        <v>0</v>
      </c>
      <c r="G157" s="1130" t="s">
        <v>338</v>
      </c>
      <c r="H157" s="858" t="s">
        <v>338</v>
      </c>
      <c r="I157"/>
      <c r="K157"/>
    </row>
    <row r="158" spans="1:11" ht="16.5" thickBot="1">
      <c r="A158" s="181" t="s">
        <v>669</v>
      </c>
      <c r="B158" s="304">
        <v>2</v>
      </c>
      <c r="C158" s="311" t="s">
        <v>336</v>
      </c>
      <c r="D158" s="515">
        <f>E158/$D$7</f>
        <v>0.73809523809523814</v>
      </c>
      <c r="E158" s="842">
        <f>F158*$B$5</f>
        <v>73.80952380952381</v>
      </c>
      <c r="F158" s="850">
        <f>G158/168</f>
        <v>0.59523809523809523</v>
      </c>
      <c r="G158" s="1131">
        <v>100</v>
      </c>
      <c r="H158" s="851">
        <f>G158*$B$3</f>
        <v>122</v>
      </c>
      <c r="I158"/>
      <c r="K158"/>
    </row>
    <row r="159" spans="1:11">
      <c r="A159" s="168" t="s">
        <v>670</v>
      </c>
      <c r="B159" s="198">
        <v>3</v>
      </c>
      <c r="C159" s="301" t="s">
        <v>757</v>
      </c>
      <c r="D159" s="519">
        <f t="shared" ref="D159:D167" si="0">E159/$D$7</f>
        <v>1.24</v>
      </c>
      <c r="E159" s="843">
        <f t="shared" ref="E159:E167" si="1">F159*$B$5</f>
        <v>124</v>
      </c>
      <c r="F159" s="854">
        <f t="shared" ref="F159:F167" si="2">G159/168</f>
        <v>1</v>
      </c>
      <c r="G159" s="1132">
        <v>168</v>
      </c>
      <c r="H159" s="855">
        <f t="shared" ref="H159:H167" si="3">G159*$B$3</f>
        <v>204.96</v>
      </c>
      <c r="I159"/>
      <c r="K159"/>
    </row>
    <row r="160" spans="1:11">
      <c r="A160" s="168"/>
      <c r="B160" s="203">
        <v>4</v>
      </c>
      <c r="C160" s="105" t="s">
        <v>758</v>
      </c>
      <c r="D160" s="516">
        <f t="shared" si="0"/>
        <v>1.55</v>
      </c>
      <c r="E160" s="844">
        <f t="shared" si="1"/>
        <v>155</v>
      </c>
      <c r="F160" s="846">
        <f t="shared" si="2"/>
        <v>1.25</v>
      </c>
      <c r="G160" s="1133">
        <v>210</v>
      </c>
      <c r="H160" s="847">
        <f t="shared" si="3"/>
        <v>256.2</v>
      </c>
      <c r="I160"/>
      <c r="K160"/>
    </row>
    <row r="161" spans="1:11">
      <c r="A161" s="168"/>
      <c r="B161" s="302">
        <v>5</v>
      </c>
      <c r="C161" s="105" t="s">
        <v>760</v>
      </c>
      <c r="D161" s="516">
        <f t="shared" si="0"/>
        <v>1.86</v>
      </c>
      <c r="E161" s="844">
        <f t="shared" si="1"/>
        <v>186</v>
      </c>
      <c r="F161" s="846">
        <f t="shared" si="2"/>
        <v>1.5</v>
      </c>
      <c r="G161" s="1133">
        <v>252</v>
      </c>
      <c r="H161" s="847">
        <f t="shared" si="3"/>
        <v>307.44</v>
      </c>
      <c r="I161"/>
      <c r="K161"/>
    </row>
    <row r="162" spans="1:11" ht="16.5" thickBot="1">
      <c r="A162" s="1063"/>
      <c r="B162" s="207">
        <v>6</v>
      </c>
      <c r="C162" s="236" t="s">
        <v>334</v>
      </c>
      <c r="D162" s="520">
        <f t="shared" si="0"/>
        <v>2.48</v>
      </c>
      <c r="E162" s="845">
        <f t="shared" si="1"/>
        <v>248</v>
      </c>
      <c r="F162" s="848">
        <f t="shared" si="2"/>
        <v>2</v>
      </c>
      <c r="G162" s="1129">
        <v>336</v>
      </c>
      <c r="H162" s="849">
        <f t="shared" si="3"/>
        <v>409.92</v>
      </c>
      <c r="I162"/>
      <c r="K162"/>
    </row>
    <row r="163" spans="1:11">
      <c r="A163" s="189" t="s">
        <v>668</v>
      </c>
      <c r="B163" s="198">
        <v>7</v>
      </c>
      <c r="C163" s="521" t="s">
        <v>666</v>
      </c>
      <c r="D163" s="519">
        <f t="shared" si="0"/>
        <v>2.48</v>
      </c>
      <c r="E163" s="843">
        <f t="shared" si="1"/>
        <v>248</v>
      </c>
      <c r="F163" s="852">
        <f t="shared" si="2"/>
        <v>2</v>
      </c>
      <c r="G163" s="1130">
        <v>336</v>
      </c>
      <c r="H163" s="853">
        <f t="shared" si="3"/>
        <v>409.92</v>
      </c>
      <c r="I163"/>
      <c r="K163"/>
    </row>
    <row r="164" spans="1:11">
      <c r="A164" s="189" t="s">
        <v>671</v>
      </c>
      <c r="B164" s="302">
        <v>8</v>
      </c>
      <c r="C164" s="303" t="s">
        <v>667</v>
      </c>
      <c r="D164" s="516">
        <f t="shared" si="0"/>
        <v>3.1</v>
      </c>
      <c r="E164" s="844">
        <f t="shared" si="1"/>
        <v>310</v>
      </c>
      <c r="F164" s="846">
        <f t="shared" si="2"/>
        <v>2.5</v>
      </c>
      <c r="G164" s="1133">
        <v>420</v>
      </c>
      <c r="H164" s="847">
        <f t="shared" si="3"/>
        <v>512.4</v>
      </c>
      <c r="I164"/>
      <c r="K164"/>
    </row>
    <row r="165" spans="1:11">
      <c r="A165" s="1064" t="s">
        <v>672</v>
      </c>
      <c r="B165" s="302">
        <v>9</v>
      </c>
      <c r="C165" s="303" t="s">
        <v>782</v>
      </c>
      <c r="D165" s="516">
        <f t="shared" si="0"/>
        <v>3.72</v>
      </c>
      <c r="E165" s="844">
        <f t="shared" si="1"/>
        <v>372</v>
      </c>
      <c r="F165" s="846">
        <f t="shared" si="2"/>
        <v>3</v>
      </c>
      <c r="G165" s="1133">
        <v>504</v>
      </c>
      <c r="H165" s="847">
        <f t="shared" si="3"/>
        <v>614.88</v>
      </c>
      <c r="I165"/>
      <c r="K165"/>
    </row>
    <row r="166" spans="1:11" ht="16.5" thickBot="1">
      <c r="A166" s="110" t="s">
        <v>673</v>
      </c>
      <c r="B166" s="207">
        <v>10</v>
      </c>
      <c r="C166" s="522" t="s">
        <v>665</v>
      </c>
      <c r="D166" s="520">
        <f t="shared" si="0"/>
        <v>4.96</v>
      </c>
      <c r="E166" s="845">
        <f t="shared" si="1"/>
        <v>496</v>
      </c>
      <c r="F166" s="850">
        <f t="shared" si="2"/>
        <v>4</v>
      </c>
      <c r="G166" s="1131">
        <v>672</v>
      </c>
      <c r="H166" s="851">
        <f t="shared" si="3"/>
        <v>819.84</v>
      </c>
      <c r="I166"/>
      <c r="K166"/>
    </row>
    <row r="167" spans="1:11" ht="16.5" thickBot="1">
      <c r="A167" s="300"/>
      <c r="B167" s="861">
        <v>11</v>
      </c>
      <c r="C167" s="862" t="s">
        <v>337</v>
      </c>
      <c r="D167" s="863">
        <f t="shared" si="0"/>
        <v>6.82</v>
      </c>
      <c r="E167" s="864">
        <f t="shared" si="1"/>
        <v>682</v>
      </c>
      <c r="F167" s="856">
        <f t="shared" si="2"/>
        <v>5.5</v>
      </c>
      <c r="G167" s="1134">
        <v>924</v>
      </c>
      <c r="H167" s="857">
        <f t="shared" si="3"/>
        <v>1127.28</v>
      </c>
      <c r="I167"/>
      <c r="K167"/>
    </row>
    <row r="168" spans="1:11" ht="16.5" thickBot="1">
      <c r="A168" s="300"/>
      <c r="B168" s="1007"/>
      <c r="C168" s="1011" t="s">
        <v>759</v>
      </c>
      <c r="D168" s="1008"/>
      <c r="E168" s="1009"/>
      <c r="F168" s="312"/>
      <c r="G168" s="1135"/>
      <c r="H168" s="1010"/>
      <c r="I168"/>
      <c r="K168"/>
    </row>
    <row r="169" spans="1:11">
      <c r="A169" s="305"/>
      <c r="B169" s="409" t="s">
        <v>317</v>
      </c>
      <c r="C169" s="410" t="s">
        <v>318</v>
      </c>
      <c r="D169" s="1395" t="s">
        <v>214</v>
      </c>
      <c r="E169"/>
      <c r="F169"/>
      <c r="G169"/>
      <c r="H169"/>
      <c r="I169"/>
      <c r="K169"/>
    </row>
    <row r="170" spans="1:11">
      <c r="A170" s="308"/>
      <c r="B170" s="524">
        <v>1</v>
      </c>
      <c r="C170" s="525" t="s">
        <v>340</v>
      </c>
      <c r="D170" s="1396">
        <v>1600</v>
      </c>
      <c r="E170"/>
      <c r="F170"/>
      <c r="G170"/>
      <c r="H170"/>
      <c r="I170"/>
      <c r="K170"/>
    </row>
    <row r="171" spans="1:11">
      <c r="A171" s="192" t="s">
        <v>319</v>
      </c>
      <c r="B171" s="306">
        <v>2</v>
      </c>
      <c r="C171" s="102" t="s">
        <v>320</v>
      </c>
      <c r="D171" s="1192">
        <v>800</v>
      </c>
      <c r="E171"/>
      <c r="F171"/>
      <c r="G171"/>
      <c r="H171"/>
      <c r="I171"/>
      <c r="K171"/>
    </row>
    <row r="172" spans="1:11">
      <c r="A172" s="192" t="s">
        <v>321</v>
      </c>
      <c r="B172" s="306">
        <v>3</v>
      </c>
      <c r="C172" s="102" t="s">
        <v>322</v>
      </c>
      <c r="D172" s="1192">
        <v>540</v>
      </c>
      <c r="E172"/>
      <c r="F172"/>
      <c r="G172"/>
      <c r="H172"/>
      <c r="I172"/>
      <c r="K172"/>
    </row>
    <row r="173" spans="1:11">
      <c r="A173" s="308"/>
      <c r="B173" s="306">
        <v>4</v>
      </c>
      <c r="C173" s="102" t="s">
        <v>323</v>
      </c>
      <c r="D173" s="1192">
        <v>450</v>
      </c>
      <c r="E173"/>
      <c r="F173"/>
      <c r="G173"/>
      <c r="H173"/>
      <c r="I173"/>
      <c r="K173"/>
    </row>
    <row r="174" spans="1:11">
      <c r="A174" s="308"/>
      <c r="B174" s="306">
        <v>5</v>
      </c>
      <c r="C174" s="102" t="s">
        <v>342</v>
      </c>
      <c r="D174" s="1192">
        <v>150</v>
      </c>
      <c r="E174"/>
      <c r="F174"/>
      <c r="G174"/>
      <c r="H174"/>
      <c r="I174"/>
      <c r="K174"/>
    </row>
    <row r="175" spans="1:11">
      <c r="A175" s="308"/>
      <c r="B175" s="306">
        <v>6</v>
      </c>
      <c r="C175" s="102" t="s">
        <v>742</v>
      </c>
      <c r="D175" s="1192">
        <v>200</v>
      </c>
      <c r="E175"/>
      <c r="F175"/>
      <c r="G175"/>
      <c r="H175"/>
      <c r="I175"/>
      <c r="K175"/>
    </row>
    <row r="176" spans="1:11">
      <c r="A176" s="308"/>
      <c r="B176" s="306">
        <v>7</v>
      </c>
      <c r="C176" s="102" t="s">
        <v>526</v>
      </c>
      <c r="D176" s="1192">
        <v>200</v>
      </c>
      <c r="E176"/>
      <c r="F176"/>
      <c r="G176"/>
      <c r="H176"/>
      <c r="I176"/>
      <c r="K176"/>
    </row>
    <row r="177" spans="1:11">
      <c r="A177" s="308"/>
      <c r="B177" s="306">
        <v>8</v>
      </c>
      <c r="C177" s="102" t="s">
        <v>690</v>
      </c>
      <c r="D177" s="1192">
        <v>300</v>
      </c>
      <c r="E177"/>
      <c r="F177"/>
      <c r="G177"/>
      <c r="H177"/>
      <c r="I177"/>
      <c r="K177"/>
    </row>
    <row r="178" spans="1:11">
      <c r="A178" s="308"/>
      <c r="B178" s="306">
        <v>9</v>
      </c>
      <c r="C178" s="102" t="s">
        <v>324</v>
      </c>
      <c r="D178" s="1192">
        <v>100</v>
      </c>
      <c r="E178"/>
      <c r="F178"/>
      <c r="G178"/>
      <c r="H178"/>
      <c r="I178"/>
      <c r="K178"/>
    </row>
    <row r="179" spans="1:11">
      <c r="A179" s="308"/>
      <c r="B179" s="306">
        <v>10</v>
      </c>
      <c r="C179" s="102" t="s">
        <v>341</v>
      </c>
      <c r="D179" s="1398">
        <v>50</v>
      </c>
      <c r="E179"/>
      <c r="F179"/>
      <c r="G179"/>
      <c r="H179"/>
      <c r="I179"/>
      <c r="K179"/>
    </row>
    <row r="180" spans="1:11" ht="16.5" thickBot="1">
      <c r="A180" s="308"/>
      <c r="B180" s="1399">
        <v>11</v>
      </c>
      <c r="C180" s="1400" t="s">
        <v>743</v>
      </c>
      <c r="D180" s="1397">
        <v>50</v>
      </c>
      <c r="E180"/>
      <c r="F180"/>
      <c r="G180"/>
      <c r="H180"/>
    </row>
    <row r="181" spans="1:11" ht="16.5" thickBot="1">
      <c r="A181" s="309"/>
      <c r="B181" s="253"/>
      <c r="C181" s="1393" t="s">
        <v>343</v>
      </c>
      <c r="D181" s="1394"/>
      <c r="E181" s="497"/>
    </row>
    <row r="182" spans="1:11">
      <c r="D182" s="156"/>
    </row>
    <row r="183" spans="1:11">
      <c r="D183" s="156"/>
    </row>
    <row r="184" spans="1:11">
      <c r="B184" s="498" t="s">
        <v>325</v>
      </c>
      <c r="D184" s="156"/>
    </row>
    <row r="185" spans="1:11">
      <c r="B185" s="101">
        <v>1</v>
      </c>
      <c r="C185" s="223" t="s">
        <v>344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J120"/>
  <sheetViews>
    <sheetView topLeftCell="A82" zoomScale="125" zoomScaleNormal="125" zoomScalePageLayoutView="125" workbookViewId="0">
      <selection activeCell="B87" sqref="B87"/>
    </sheetView>
  </sheetViews>
  <sheetFormatPr defaultColWidth="11" defaultRowHeight="15.75"/>
  <cols>
    <col min="1" max="1" width="5.375" customWidth="1"/>
    <col min="2" max="2" width="73.5" customWidth="1"/>
  </cols>
  <sheetData>
    <row r="1" spans="1:36" ht="21">
      <c r="A1" s="4"/>
      <c r="B1" s="22" t="s">
        <v>41</v>
      </c>
    </row>
    <row r="2" spans="1:36">
      <c r="A2" s="4"/>
      <c r="B2" t="s">
        <v>42</v>
      </c>
    </row>
    <row r="3" spans="1:36">
      <c r="A3" s="4"/>
      <c r="B3" t="s">
        <v>43</v>
      </c>
    </row>
    <row r="4" spans="1:36">
      <c r="A4" s="4"/>
    </row>
    <row r="5" spans="1:36" ht="16.5" thickBot="1">
      <c r="A5" s="100"/>
      <c r="B5" s="100" t="s">
        <v>500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</row>
    <row r="6" spans="1:36">
      <c r="A6" s="100"/>
      <c r="C6" s="630" t="s">
        <v>406</v>
      </c>
      <c r="D6" s="631"/>
      <c r="E6" s="631"/>
      <c r="F6" s="631"/>
      <c r="G6" s="631"/>
      <c r="H6" s="631"/>
      <c r="I6" s="631"/>
      <c r="J6" s="281"/>
      <c r="K6" s="101"/>
      <c r="L6" s="101"/>
      <c r="M6" s="101"/>
      <c r="N6" s="101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</row>
    <row r="7" spans="1:36">
      <c r="A7" s="100"/>
      <c r="C7" s="317">
        <v>2</v>
      </c>
      <c r="D7" s="626"/>
      <c r="E7" s="626"/>
      <c r="F7" s="626"/>
      <c r="G7" s="626"/>
      <c r="H7" s="626"/>
      <c r="I7" s="626"/>
      <c r="J7" s="224"/>
      <c r="K7" s="101"/>
      <c r="L7" s="101"/>
      <c r="M7" s="101"/>
      <c r="N7" s="101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</row>
    <row r="8" spans="1:36">
      <c r="A8" s="100"/>
      <c r="C8" s="317">
        <v>15</v>
      </c>
      <c r="D8" s="626"/>
      <c r="E8" s="626"/>
      <c r="F8" s="626"/>
      <c r="G8" s="626"/>
      <c r="H8" s="626"/>
      <c r="I8" s="626"/>
      <c r="J8" s="224"/>
      <c r="K8" s="101"/>
      <c r="L8" s="101"/>
      <c r="M8" s="101"/>
      <c r="N8" s="101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spans="1:36" ht="16.5" thickBot="1">
      <c r="A9" s="100"/>
      <c r="C9" s="318">
        <v>2000</v>
      </c>
      <c r="D9" s="632"/>
      <c r="E9" s="632"/>
      <c r="F9" s="632"/>
      <c r="G9" s="632"/>
      <c r="H9" s="632"/>
      <c r="I9" s="632"/>
      <c r="J9" s="284"/>
      <c r="K9" s="101"/>
      <c r="L9" s="101"/>
      <c r="M9" s="101"/>
      <c r="N9" s="101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</row>
    <row r="10" spans="1:36">
      <c r="A10" s="100"/>
      <c r="B10" s="223"/>
      <c r="C10" s="239"/>
      <c r="D10" s="239"/>
      <c r="E10" s="239"/>
      <c r="F10" s="239"/>
      <c r="G10" s="239"/>
      <c r="H10" s="239"/>
      <c r="I10" s="239"/>
      <c r="J10" s="239"/>
      <c r="K10" s="101"/>
      <c r="L10" s="101"/>
      <c r="M10" s="101"/>
      <c r="N10" s="101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</row>
    <row r="11" spans="1:36">
      <c r="A11" s="4"/>
      <c r="B11" s="40" t="s">
        <v>86</v>
      </c>
      <c r="C11" s="92"/>
      <c r="D11" s="92"/>
      <c r="E11" s="92"/>
      <c r="F11" s="92"/>
      <c r="G11" s="92"/>
      <c r="H11" s="92"/>
      <c r="I11" s="92"/>
      <c r="J11" s="92"/>
    </row>
    <row r="12" spans="1:36" ht="16.5" thickBot="1">
      <c r="A12" s="24"/>
      <c r="B12" s="39"/>
      <c r="C12" s="664" t="s">
        <v>503</v>
      </c>
      <c r="D12" s="665"/>
      <c r="E12" s="92"/>
      <c r="F12" s="92"/>
      <c r="G12" s="92"/>
      <c r="H12" s="92"/>
      <c r="I12" s="92"/>
      <c r="J12" s="92"/>
    </row>
    <row r="13" spans="1:36" ht="19.5" thickBot="1">
      <c r="A13" s="578">
        <v>3</v>
      </c>
      <c r="B13" s="656" t="s">
        <v>56</v>
      </c>
      <c r="C13" s="579" t="s">
        <v>504</v>
      </c>
    </row>
    <row r="14" spans="1:36" s="2" customFormat="1" ht="18.75">
      <c r="A14" s="41">
        <v>1</v>
      </c>
      <c r="B14" s="15" t="s">
        <v>448</v>
      </c>
      <c r="C14" s="583">
        <v>0</v>
      </c>
    </row>
    <row r="15" spans="1:36">
      <c r="A15" s="23">
        <v>2</v>
      </c>
      <c r="B15" s="8" t="s">
        <v>449</v>
      </c>
      <c r="C15" s="582">
        <v>0</v>
      </c>
    </row>
    <row r="16" spans="1:36">
      <c r="A16" s="23">
        <v>3</v>
      </c>
      <c r="B16" s="8" t="s">
        <v>450</v>
      </c>
      <c r="C16" s="582">
        <v>0</v>
      </c>
    </row>
    <row r="17" spans="1:4">
      <c r="A17" s="23">
        <v>4</v>
      </c>
      <c r="B17" s="8" t="s">
        <v>451</v>
      </c>
      <c r="C17" s="582">
        <v>0</v>
      </c>
      <c r="D17" s="42"/>
    </row>
    <row r="18" spans="1:4">
      <c r="A18" s="23">
        <v>5</v>
      </c>
      <c r="B18" s="8" t="s">
        <v>452</v>
      </c>
      <c r="C18" s="582">
        <v>0</v>
      </c>
    </row>
    <row r="19" spans="1:4" s="2" customFormat="1" ht="18.75">
      <c r="A19" s="23">
        <v>6</v>
      </c>
      <c r="B19" s="8" t="s">
        <v>453</v>
      </c>
      <c r="C19" s="582">
        <v>0</v>
      </c>
    </row>
    <row r="20" spans="1:4">
      <c r="A20" s="23">
        <v>7</v>
      </c>
      <c r="B20" s="8" t="s">
        <v>454</v>
      </c>
      <c r="C20" s="582">
        <v>0</v>
      </c>
    </row>
    <row r="21" spans="1:4">
      <c r="A21" s="23">
        <v>8</v>
      </c>
      <c r="B21" s="8" t="s">
        <v>455</v>
      </c>
      <c r="C21" s="582">
        <v>0</v>
      </c>
    </row>
    <row r="22" spans="1:4">
      <c r="A22" s="23">
        <v>9</v>
      </c>
      <c r="B22" s="8" t="s">
        <v>456</v>
      </c>
      <c r="C22" s="582">
        <v>0</v>
      </c>
    </row>
    <row r="23" spans="1:4">
      <c r="A23" s="23">
        <v>10</v>
      </c>
      <c r="B23" s="8" t="s">
        <v>457</v>
      </c>
      <c r="C23" s="582">
        <v>0</v>
      </c>
    </row>
    <row r="24" spans="1:4">
      <c r="A24" s="23">
        <v>11</v>
      </c>
      <c r="B24" s="8" t="s">
        <v>458</v>
      </c>
      <c r="C24" s="582">
        <v>0</v>
      </c>
    </row>
    <row r="25" spans="1:4">
      <c r="A25" s="23">
        <v>12</v>
      </c>
      <c r="B25" s="8" t="s">
        <v>459</v>
      </c>
      <c r="C25" s="582">
        <v>0</v>
      </c>
    </row>
    <row r="26" spans="1:4">
      <c r="A26" s="23">
        <v>13</v>
      </c>
      <c r="B26" s="8" t="s">
        <v>460</v>
      </c>
      <c r="C26" s="582">
        <v>0</v>
      </c>
    </row>
    <row r="27" spans="1:4">
      <c r="A27" s="23">
        <v>14</v>
      </c>
      <c r="B27" s="8" t="s">
        <v>461</v>
      </c>
      <c r="C27" s="582">
        <v>0</v>
      </c>
    </row>
    <row r="28" spans="1:4" s="60" customFormat="1" ht="19.5" thickBot="1">
      <c r="A28" s="24">
        <v>15</v>
      </c>
      <c r="B28" s="13" t="s">
        <v>462</v>
      </c>
      <c r="C28" s="582">
        <v>0</v>
      </c>
    </row>
    <row r="29" spans="1:4" ht="16.5" thickBot="1">
      <c r="A29" s="4"/>
      <c r="B29" s="6" t="s">
        <v>464</v>
      </c>
      <c r="C29" s="577">
        <f>SUM(C14:C28)/15</f>
        <v>0</v>
      </c>
    </row>
    <row r="30" spans="1:4" ht="16.5" thickBot="1">
      <c r="A30" s="587">
        <v>3</v>
      </c>
      <c r="B30" s="584" t="s">
        <v>465</v>
      </c>
      <c r="C30" s="585">
        <f>IF(C29&gt;=90%,Cenovnik!$D$65, IF(C29&gt;=50%, Cenovnik!$D$64, IF(C29&gt;=20%,Cenovnik!$D$63,IF(C29&gt;=5%,1,0))))</f>
        <v>0</v>
      </c>
    </row>
    <row r="31" spans="1:4" ht="16.5" thickBot="1">
      <c r="A31" s="43"/>
      <c r="B31" s="14" t="s">
        <v>87</v>
      </c>
      <c r="C31" s="44"/>
    </row>
    <row r="32" spans="1:4" ht="18.75">
      <c r="A32" s="25">
        <v>4</v>
      </c>
      <c r="B32" s="660" t="s">
        <v>412</v>
      </c>
      <c r="C32" s="634"/>
    </row>
    <row r="33" spans="1:6">
      <c r="A33" s="23"/>
      <c r="B33" s="604" t="s">
        <v>400</v>
      </c>
      <c r="C33" s="636">
        <f>C75</f>
        <v>0</v>
      </c>
    </row>
    <row r="34" spans="1:6">
      <c r="A34" s="23">
        <v>1</v>
      </c>
      <c r="B34" s="604" t="s">
        <v>413</v>
      </c>
      <c r="C34" s="636" t="e">
        <f>C33/(C29*C30)</f>
        <v>#DIV/0!</v>
      </c>
    </row>
    <row r="35" spans="1:6">
      <c r="A35" s="23">
        <v>2</v>
      </c>
      <c r="B35" s="604" t="s">
        <v>414</v>
      </c>
      <c r="C35" s="637" t="e">
        <f>C34/C31</f>
        <v>#DIV/0!</v>
      </c>
    </row>
    <row r="36" spans="1:6" ht="16.5" thickBot="1">
      <c r="A36" s="28">
        <v>3</v>
      </c>
      <c r="B36" s="633" t="s">
        <v>415</v>
      </c>
      <c r="C36" s="1183" t="e">
        <f>IF(C35&gt;=120%,Cenovnik!$D$73,IF(C35&gt;=110%,Cenovnik!$D$72,IF(C35&gt;=90%,Cenovnik!$D$71,IF(C35&gt;=80%,Cenovnik!$D$70,IF(C35&gt;=70%,Cenovnik!$D$69,IF(C35&gt;=30%,Cenovnik!$D$68,0))))))</f>
        <v>#DIV/0!</v>
      </c>
    </row>
    <row r="37" spans="1:6">
      <c r="A37" s="41"/>
      <c r="B37" s="1188" t="s">
        <v>701</v>
      </c>
      <c r="C37" s="1189" t="s">
        <v>702</v>
      </c>
    </row>
    <row r="38" spans="1:6">
      <c r="A38" s="23"/>
      <c r="B38" s="1187" t="s">
        <v>703</v>
      </c>
      <c r="C38" s="1192">
        <v>2000</v>
      </c>
    </row>
    <row r="39" spans="1:6">
      <c r="A39" s="23"/>
      <c r="B39" s="1187" t="s">
        <v>704</v>
      </c>
      <c r="C39" s="1192"/>
    </row>
    <row r="40" spans="1:6" ht="16.5" thickBot="1">
      <c r="A40" s="24"/>
      <c r="B40" s="1190" t="s">
        <v>705</v>
      </c>
      <c r="C40" s="1191"/>
      <c r="D40" s="658"/>
      <c r="E40" s="658"/>
      <c r="F40" s="659"/>
    </row>
    <row r="41" spans="1:6" ht="19.5" thickBot="1">
      <c r="A41" s="1184">
        <v>5</v>
      </c>
      <c r="B41" s="1185" t="s">
        <v>65</v>
      </c>
      <c r="C41" s="1186" t="s">
        <v>66</v>
      </c>
      <c r="D41" s="3"/>
      <c r="E41" s="45"/>
      <c r="F41" s="46"/>
    </row>
    <row r="42" spans="1:6">
      <c r="A42" s="41"/>
      <c r="B42" s="47" t="s">
        <v>88</v>
      </c>
      <c r="C42" s="48" t="s">
        <v>89</v>
      </c>
    </row>
    <row r="43" spans="1:6">
      <c r="A43" s="23">
        <v>1</v>
      </c>
      <c r="B43" s="29" t="s">
        <v>90</v>
      </c>
      <c r="C43" s="49"/>
      <c r="D43" s="42"/>
    </row>
    <row r="44" spans="1:6">
      <c r="A44" s="23">
        <v>2</v>
      </c>
      <c r="B44" s="32" t="s">
        <v>91</v>
      </c>
      <c r="C44" s="49"/>
      <c r="D44" s="42"/>
    </row>
    <row r="45" spans="1:6" s="5" customFormat="1" ht="18.75">
      <c r="A45" s="23">
        <v>3</v>
      </c>
      <c r="B45" s="32" t="s">
        <v>92</v>
      </c>
      <c r="C45" s="49"/>
      <c r="D45" s="42"/>
      <c r="E45"/>
      <c r="F45"/>
    </row>
    <row r="46" spans="1:6">
      <c r="A46" s="23">
        <v>4</v>
      </c>
      <c r="B46" s="32" t="s">
        <v>93</v>
      </c>
      <c r="C46" s="49"/>
      <c r="D46" s="42"/>
    </row>
    <row r="47" spans="1:6" ht="16.5" thickBot="1">
      <c r="A47" s="24">
        <v>5</v>
      </c>
      <c r="B47" s="35" t="s">
        <v>94</v>
      </c>
      <c r="C47" s="50"/>
      <c r="D47" s="42"/>
    </row>
    <row r="48" spans="1:6">
      <c r="A48" s="51"/>
      <c r="B48" s="52" t="s">
        <v>95</v>
      </c>
      <c r="C48" s="53">
        <f>SUM(C44:C47)</f>
        <v>0</v>
      </c>
      <c r="D48" s="42"/>
    </row>
    <row r="49" spans="1:6" ht="16.5" thickBot="1">
      <c r="A49" s="24"/>
      <c r="B49" s="54" t="s">
        <v>96</v>
      </c>
      <c r="C49" s="55" t="e">
        <f>C48/C43</f>
        <v>#DIV/0!</v>
      </c>
      <c r="D49" s="42" t="s">
        <v>97</v>
      </c>
    </row>
    <row r="50" spans="1:6" ht="38.25" thickBot="1">
      <c r="A50" s="56">
        <v>6</v>
      </c>
      <c r="B50" s="57" t="s">
        <v>70</v>
      </c>
      <c r="C50" s="58" t="s">
        <v>71</v>
      </c>
      <c r="D50" s="59"/>
      <c r="E50" s="60"/>
      <c r="F50" s="60"/>
    </row>
    <row r="51" spans="1:6" ht="32.25" thickBot="1">
      <c r="A51" s="61"/>
      <c r="B51" s="62" t="s">
        <v>98</v>
      </c>
      <c r="C51" s="63" t="s">
        <v>99</v>
      </c>
      <c r="D51" s="42"/>
    </row>
    <row r="52" spans="1:6">
      <c r="A52" s="41">
        <v>1</v>
      </c>
      <c r="B52" s="64" t="s">
        <v>100</v>
      </c>
      <c r="C52" s="65"/>
      <c r="D52" s="42"/>
    </row>
    <row r="53" spans="1:6">
      <c r="A53" s="23">
        <v>2</v>
      </c>
      <c r="B53" s="66" t="s">
        <v>101</v>
      </c>
      <c r="C53" s="67"/>
      <c r="D53" s="42"/>
    </row>
    <row r="54" spans="1:6">
      <c r="A54" s="23">
        <v>3</v>
      </c>
      <c r="B54" s="66" t="s">
        <v>102</v>
      </c>
      <c r="C54" s="67"/>
      <c r="D54" s="42"/>
    </row>
    <row r="55" spans="1:6">
      <c r="A55" s="23">
        <v>4</v>
      </c>
      <c r="B55" s="66" t="s">
        <v>103</v>
      </c>
      <c r="C55" s="67"/>
      <c r="D55" s="42"/>
    </row>
    <row r="56" spans="1:6">
      <c r="A56" s="28">
        <v>5</v>
      </c>
      <c r="B56" s="66" t="s">
        <v>104</v>
      </c>
      <c r="C56" s="68"/>
      <c r="D56" s="42"/>
    </row>
    <row r="57" spans="1:6">
      <c r="A57" s="28">
        <v>6</v>
      </c>
      <c r="B57" s="66" t="s">
        <v>105</v>
      </c>
      <c r="C57" s="68"/>
      <c r="D57" s="42"/>
    </row>
    <row r="58" spans="1:6">
      <c r="A58" s="28">
        <v>7</v>
      </c>
      <c r="B58" s="66" t="s">
        <v>106</v>
      </c>
      <c r="C58" s="68"/>
      <c r="D58" s="42"/>
    </row>
    <row r="59" spans="1:6">
      <c r="A59" s="28">
        <v>8</v>
      </c>
      <c r="B59" s="66" t="s">
        <v>107</v>
      </c>
      <c r="C59" s="68"/>
      <c r="D59" s="42"/>
    </row>
    <row r="60" spans="1:6" ht="16.5" thickBot="1">
      <c r="A60" s="24">
        <v>5</v>
      </c>
      <c r="B60" s="33" t="s">
        <v>108</v>
      </c>
      <c r="C60" s="69"/>
      <c r="D60" s="42"/>
    </row>
    <row r="61" spans="1:6">
      <c r="A61" s="51"/>
      <c r="B61" s="70" t="s">
        <v>109</v>
      </c>
      <c r="C61" s="71">
        <f>SUM(C52:C59)</f>
        <v>0</v>
      </c>
    </row>
    <row r="62" spans="1:6" ht="16.5" thickBot="1">
      <c r="A62" s="28"/>
      <c r="B62" s="72" t="s">
        <v>110</v>
      </c>
      <c r="C62" s="73" t="e">
        <f>C61/C60</f>
        <v>#DIV/0!</v>
      </c>
      <c r="D62" s="42"/>
    </row>
    <row r="63" spans="1:6" ht="19.5" thickBot="1">
      <c r="A63" s="31">
        <v>7</v>
      </c>
      <c r="B63" s="36" t="s">
        <v>77</v>
      </c>
      <c r="C63" s="74" t="s">
        <v>78</v>
      </c>
      <c r="D63" s="5"/>
      <c r="E63" s="5"/>
      <c r="F63" s="5"/>
    </row>
    <row r="64" spans="1:6" ht="16.5" thickBot="1">
      <c r="A64" s="41">
        <v>1</v>
      </c>
      <c r="B64" s="15" t="s">
        <v>510</v>
      </c>
      <c r="C64" s="10"/>
      <c r="D64" s="42"/>
    </row>
    <row r="65" spans="1:4" ht="16.5" thickBot="1">
      <c r="A65" s="24">
        <v>2</v>
      </c>
      <c r="B65" s="15" t="s">
        <v>511</v>
      </c>
      <c r="C65" s="75"/>
      <c r="D65" s="42"/>
    </row>
    <row r="66" spans="1:4" ht="16.5" thickBot="1">
      <c r="A66" s="76"/>
      <c r="B66" s="77" t="s">
        <v>111</v>
      </c>
      <c r="C66" s="78">
        <f>C64/C8</f>
        <v>0</v>
      </c>
      <c r="D66" s="42"/>
    </row>
    <row r="67" spans="1:4" ht="18.75">
      <c r="A67" s="25">
        <v>8</v>
      </c>
      <c r="B67" s="26" t="s">
        <v>79</v>
      </c>
      <c r="C67" s="27" t="s">
        <v>80</v>
      </c>
    </row>
    <row r="68" spans="1:4" ht="16.5" thickBot="1">
      <c r="A68" s="18"/>
      <c r="B68" s="17" t="s">
        <v>112</v>
      </c>
      <c r="C68" s="18" t="s">
        <v>512</v>
      </c>
    </row>
    <row r="69" spans="1:4">
      <c r="A69" s="41">
        <v>1</v>
      </c>
      <c r="B69" s="93" t="s">
        <v>16</v>
      </c>
      <c r="C69" s="94"/>
      <c r="D69" s="79"/>
    </row>
    <row r="70" spans="1:4">
      <c r="A70" s="23">
        <v>2</v>
      </c>
      <c r="B70" s="95" t="s">
        <v>17</v>
      </c>
      <c r="C70" s="96"/>
      <c r="D70" s="79"/>
    </row>
    <row r="71" spans="1:4">
      <c r="A71" s="23">
        <v>3</v>
      </c>
      <c r="B71" s="95" t="s">
        <v>18</v>
      </c>
      <c r="C71" s="96"/>
      <c r="D71" s="79"/>
    </row>
    <row r="72" spans="1:4">
      <c r="A72" s="23">
        <v>4</v>
      </c>
      <c r="B72" s="95" t="s">
        <v>34</v>
      </c>
      <c r="C72" s="96"/>
      <c r="D72" s="79"/>
    </row>
    <row r="73" spans="1:4">
      <c r="A73" s="23">
        <v>5</v>
      </c>
      <c r="B73" s="95" t="s">
        <v>19</v>
      </c>
      <c r="C73" s="96"/>
      <c r="D73" s="79"/>
    </row>
    <row r="74" spans="1:4">
      <c r="A74" s="23">
        <v>6</v>
      </c>
      <c r="B74" s="95" t="s">
        <v>20</v>
      </c>
      <c r="C74" s="96"/>
      <c r="D74" s="79"/>
    </row>
    <row r="75" spans="1:4">
      <c r="A75" s="23">
        <v>7</v>
      </c>
      <c r="B75" s="95" t="s">
        <v>21</v>
      </c>
      <c r="C75" s="96"/>
      <c r="D75" s="79"/>
    </row>
    <row r="76" spans="1:4">
      <c r="A76" s="23">
        <v>8</v>
      </c>
      <c r="B76" s="95" t="s">
        <v>22</v>
      </c>
      <c r="C76" s="96"/>
      <c r="D76" s="79"/>
    </row>
    <row r="77" spans="1:4">
      <c r="A77" s="23">
        <v>9</v>
      </c>
      <c r="B77" s="95" t="s">
        <v>23</v>
      </c>
      <c r="C77" s="96"/>
      <c r="D77" s="79"/>
    </row>
    <row r="78" spans="1:4">
      <c r="A78" s="23">
        <v>10</v>
      </c>
      <c r="B78" s="95" t="s">
        <v>24</v>
      </c>
      <c r="C78" s="96"/>
      <c r="D78" s="79"/>
    </row>
    <row r="79" spans="1:4">
      <c r="A79" s="23">
        <v>11</v>
      </c>
      <c r="B79" s="95" t="s">
        <v>28</v>
      </c>
      <c r="C79" s="96"/>
      <c r="D79" s="79"/>
    </row>
    <row r="80" spans="1:4">
      <c r="A80" s="23">
        <v>12</v>
      </c>
      <c r="B80" s="95" t="s">
        <v>29</v>
      </c>
      <c r="C80" s="96"/>
      <c r="D80" s="79"/>
    </row>
    <row r="81" spans="1:4" ht="31.5">
      <c r="A81" s="23">
        <v>13</v>
      </c>
      <c r="B81" s="95" t="s">
        <v>27</v>
      </c>
      <c r="C81" s="96"/>
      <c r="D81" s="79"/>
    </row>
    <row r="82" spans="1:4">
      <c r="A82" s="23">
        <v>14</v>
      </c>
      <c r="B82" s="95" t="s">
        <v>25</v>
      </c>
      <c r="C82" s="96"/>
      <c r="D82" s="79"/>
    </row>
    <row r="83" spans="1:4">
      <c r="A83" s="23">
        <v>15</v>
      </c>
      <c r="B83" s="95" t="s">
        <v>26</v>
      </c>
      <c r="C83" s="96"/>
      <c r="D83" s="79"/>
    </row>
    <row r="84" spans="1:4">
      <c r="A84" s="23">
        <v>16</v>
      </c>
      <c r="B84" s="95" t="s">
        <v>31</v>
      </c>
      <c r="C84" s="96"/>
      <c r="D84" s="79"/>
    </row>
    <row r="85" spans="1:4" ht="31.5">
      <c r="A85" s="23">
        <v>17</v>
      </c>
      <c r="B85" s="95" t="s">
        <v>33</v>
      </c>
      <c r="C85" s="96"/>
      <c r="D85" s="79"/>
    </row>
    <row r="86" spans="1:4" ht="31.5">
      <c r="A86" s="23">
        <v>18</v>
      </c>
      <c r="B86" s="95" t="s">
        <v>36</v>
      </c>
      <c r="C86" s="96"/>
      <c r="D86" s="79"/>
    </row>
    <row r="87" spans="1:4">
      <c r="A87" s="23">
        <v>19</v>
      </c>
      <c r="B87" s="95" t="s">
        <v>38</v>
      </c>
      <c r="C87" s="96"/>
      <c r="D87" s="79"/>
    </row>
    <row r="88" spans="1:4" ht="32.25" thickBot="1">
      <c r="A88" s="24">
        <v>20</v>
      </c>
      <c r="B88" s="97" t="s">
        <v>40</v>
      </c>
      <c r="C88" s="98"/>
      <c r="D88" s="79"/>
    </row>
    <row r="89" spans="1:4">
      <c r="A89" s="80"/>
      <c r="B89" s="81" t="s">
        <v>113</v>
      </c>
      <c r="C89" s="82">
        <f>SUM(C69:C82)/14</f>
        <v>0</v>
      </c>
      <c r="D89" s="79"/>
    </row>
    <row r="90" spans="1:4">
      <c r="A90" s="4"/>
      <c r="B90" s="83" t="s">
        <v>114</v>
      </c>
      <c r="D90" s="79"/>
    </row>
    <row r="91" spans="1:4">
      <c r="A91" s="4"/>
      <c r="B91" s="83" t="s">
        <v>115</v>
      </c>
      <c r="D91" s="79"/>
    </row>
    <row r="92" spans="1:4">
      <c r="A92" s="4"/>
    </row>
    <row r="93" spans="1:4">
      <c r="A93" s="4"/>
    </row>
    <row r="94" spans="1:4">
      <c r="A94" s="4"/>
      <c r="B94" s="86" t="s">
        <v>116</v>
      </c>
    </row>
    <row r="95" spans="1:4">
      <c r="A95" s="4"/>
      <c r="B95" s="86" t="s">
        <v>117</v>
      </c>
    </row>
    <row r="96" spans="1:4">
      <c r="A96" s="4"/>
      <c r="B96" s="86" t="s">
        <v>505</v>
      </c>
    </row>
    <row r="97" spans="1:2">
      <c r="A97" s="4"/>
      <c r="B97" s="86" t="s">
        <v>506</v>
      </c>
    </row>
    <row r="98" spans="1:2">
      <c r="A98" s="4"/>
      <c r="B98" s="86" t="s">
        <v>507</v>
      </c>
    </row>
    <row r="99" spans="1:2">
      <c r="A99" s="4"/>
    </row>
    <row r="100" spans="1:2">
      <c r="A100" s="4"/>
    </row>
    <row r="101" spans="1:2">
      <c r="A101" s="4"/>
      <c r="B101" s="1" t="s">
        <v>119</v>
      </c>
    </row>
    <row r="102" spans="1:2" ht="16.5" thickBot="1">
      <c r="A102" s="4"/>
      <c r="B102" t="s">
        <v>120</v>
      </c>
    </row>
    <row r="103" spans="1:2">
      <c r="A103" s="4"/>
      <c r="B103" s="87" t="s">
        <v>121</v>
      </c>
    </row>
    <row r="104" spans="1:2">
      <c r="A104" s="4"/>
      <c r="B104" s="88" t="s">
        <v>122</v>
      </c>
    </row>
    <row r="105" spans="1:2">
      <c r="A105" s="4"/>
      <c r="B105" s="88" t="s">
        <v>123</v>
      </c>
    </row>
    <row r="106" spans="1:2">
      <c r="A106" s="4"/>
      <c r="B106" s="88" t="s">
        <v>124</v>
      </c>
    </row>
    <row r="107" spans="1:2">
      <c r="A107" s="4"/>
      <c r="B107" s="89" t="s">
        <v>125</v>
      </c>
    </row>
    <row r="108" spans="1:2">
      <c r="A108" s="4"/>
      <c r="B108" s="89" t="s">
        <v>126</v>
      </c>
    </row>
    <row r="109" spans="1:2">
      <c r="A109" s="4"/>
      <c r="B109" s="89" t="s">
        <v>127</v>
      </c>
    </row>
    <row r="110" spans="1:2">
      <c r="A110" s="4"/>
      <c r="B110" s="89" t="s">
        <v>128</v>
      </c>
    </row>
    <row r="111" spans="1:2">
      <c r="A111" s="4"/>
      <c r="B111" s="90" t="s">
        <v>129</v>
      </c>
    </row>
    <row r="112" spans="1:2">
      <c r="A112" s="4"/>
      <c r="B112" s="90" t="s">
        <v>130</v>
      </c>
    </row>
    <row r="113" spans="1:2">
      <c r="A113" s="4"/>
      <c r="B113" s="90" t="s">
        <v>131</v>
      </c>
    </row>
    <row r="114" spans="1:2">
      <c r="A114" s="4"/>
      <c r="B114" s="90" t="s">
        <v>132</v>
      </c>
    </row>
    <row r="115" spans="1:2">
      <c r="A115" s="84"/>
      <c r="B115" s="90" t="s">
        <v>133</v>
      </c>
    </row>
    <row r="116" spans="1:2">
      <c r="A116" s="84"/>
      <c r="B116" s="90" t="s">
        <v>134</v>
      </c>
    </row>
    <row r="117" spans="1:2">
      <c r="A117" s="84"/>
      <c r="B117" s="90" t="s">
        <v>135</v>
      </c>
    </row>
    <row r="118" spans="1:2">
      <c r="A118" s="4"/>
      <c r="B118" s="90" t="s">
        <v>508</v>
      </c>
    </row>
    <row r="119" spans="1:2">
      <c r="A119" s="4"/>
      <c r="B119" s="657" t="s">
        <v>509</v>
      </c>
    </row>
    <row r="120" spans="1:2" ht="16.5" thickBot="1">
      <c r="A120" s="4"/>
      <c r="B120" s="91" t="s">
        <v>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N242"/>
  <sheetViews>
    <sheetView tabSelected="1" zoomScale="75" zoomScaleNormal="75" zoomScalePageLayoutView="125" workbookViewId="0">
      <selection activeCell="O13" sqref="O13"/>
    </sheetView>
  </sheetViews>
  <sheetFormatPr defaultColWidth="11" defaultRowHeight="15.75"/>
  <cols>
    <col min="1" max="1" width="5.625" style="109" customWidth="1"/>
    <col min="2" max="2" width="46.625" style="109" customWidth="1"/>
    <col min="3" max="5" width="9" style="110" customWidth="1"/>
    <col min="6" max="9" width="8.5" style="110" customWidth="1"/>
    <col min="10" max="10" width="9" style="101" customWidth="1"/>
    <col min="11" max="11" width="10.125" style="101" customWidth="1"/>
    <col min="12" max="13" width="10" style="101" customWidth="1"/>
  </cols>
  <sheetData>
    <row r="1" spans="2:19" s="100" customFormat="1" thickBot="1">
      <c r="B1" s="121" t="s">
        <v>680</v>
      </c>
    </row>
    <row r="2" spans="2:19" s="112" customFormat="1" ht="15">
      <c r="B2" s="1606"/>
      <c r="C2" s="1607"/>
      <c r="D2" s="1608"/>
      <c r="E2" s="685"/>
      <c r="L2" s="559"/>
      <c r="M2" s="124"/>
      <c r="N2" s="124"/>
    </row>
    <row r="3" spans="2:19" s="112" customFormat="1" ht="15">
      <c r="B3" s="686" t="s">
        <v>138</v>
      </c>
      <c r="C3" s="1604"/>
      <c r="D3" s="1605"/>
      <c r="M3" s="112">
        <f>I4</f>
        <v>0</v>
      </c>
    </row>
    <row r="4" spans="2:19" s="112" customFormat="1" thickBot="1">
      <c r="B4" s="687" t="s">
        <v>177</v>
      </c>
      <c r="C4" s="688"/>
      <c r="D4" s="689"/>
      <c r="M4" s="690"/>
      <c r="N4" s="690"/>
      <c r="O4" s="690"/>
      <c r="P4" s="690"/>
      <c r="Q4" s="690"/>
      <c r="R4" s="690"/>
      <c r="S4" s="690"/>
    </row>
    <row r="5" spans="2:19" s="112" customFormat="1">
      <c r="B5" s="269" t="s">
        <v>175</v>
      </c>
      <c r="C5" s="127">
        <f>IF(C4=0,0,IF(C3="Saradnik",Cenovnik!D11,IF(C3="Asistent",Cenovnik!D12,IF(C3="Predavač",Cenovnik!D13,IF(C3="Viši predavač",Cenovnik!D14,IF(C3="Docent",Cenovnik!D15,IF(C3="Vanr. profesor",Cenovnik!D16,IF(C3="Red. profesor",Cenovnik!D17))))))))</f>
        <v>0</v>
      </c>
      <c r="D5" s="691"/>
      <c r="G5" s="113"/>
      <c r="L5" s="559"/>
      <c r="M5" s="128"/>
      <c r="N5" s="128"/>
      <c r="O5" s="690"/>
      <c r="P5" s="690"/>
      <c r="Q5" s="690"/>
      <c r="R5" s="690"/>
      <c r="S5" s="690"/>
    </row>
    <row r="6" spans="2:19" s="112" customFormat="1" ht="15">
      <c r="B6" s="692" t="s">
        <v>140</v>
      </c>
      <c r="C6" s="693"/>
      <c r="D6" s="694"/>
      <c r="E6" s="130" t="s">
        <v>141</v>
      </c>
      <c r="G6" s="113"/>
      <c r="L6" s="559"/>
      <c r="M6" s="128"/>
      <c r="N6" s="128"/>
      <c r="O6" s="690"/>
      <c r="P6" s="690"/>
      <c r="Q6" s="690"/>
      <c r="R6" s="690"/>
      <c r="S6" s="690"/>
    </row>
    <row r="7" spans="2:19" s="112" customFormat="1" ht="15">
      <c r="B7" s="686" t="s">
        <v>142</v>
      </c>
      <c r="C7" s="114"/>
      <c r="D7" s="695"/>
      <c r="G7" s="696"/>
      <c r="H7" s="155"/>
      <c r="M7" s="690"/>
      <c r="N7" s="690"/>
      <c r="O7" s="690"/>
      <c r="P7" s="690"/>
      <c r="Q7" s="690"/>
      <c r="R7" s="690"/>
      <c r="S7" s="690"/>
    </row>
    <row r="8" spans="2:19" s="112" customFormat="1" ht="15">
      <c r="B8" s="697" t="s">
        <v>143</v>
      </c>
      <c r="C8" s="698"/>
      <c r="D8" s="699"/>
      <c r="G8" s="700"/>
      <c r="H8" s="132"/>
      <c r="M8" s="690"/>
      <c r="N8" s="690"/>
      <c r="O8" s="690"/>
      <c r="P8" s="690"/>
      <c r="Q8" s="690"/>
      <c r="R8" s="690"/>
      <c r="S8" s="690"/>
    </row>
    <row r="9" spans="2:19" s="112" customFormat="1" ht="15">
      <c r="B9" s="686" t="s">
        <v>144</v>
      </c>
      <c r="C9" s="114"/>
      <c r="D9" s="701"/>
      <c r="G9" s="700"/>
    </row>
    <row r="10" spans="2:19" s="112" customFormat="1" thickBot="1">
      <c r="B10" s="702" t="s">
        <v>145</v>
      </c>
      <c r="C10" s="116"/>
      <c r="D10" s="703"/>
      <c r="G10" s="700"/>
    </row>
    <row r="11" spans="2:19" s="112" customFormat="1" ht="16.5" thickBot="1">
      <c r="B11" s="704" t="s">
        <v>176</v>
      </c>
      <c r="C11" s="134">
        <f>Cenovnik!$D$7</f>
        <v>100</v>
      </c>
      <c r="D11" s="706"/>
    </row>
    <row r="12" spans="2:19" s="112" customFormat="1" ht="15">
      <c r="B12" s="707" t="s">
        <v>147</v>
      </c>
      <c r="C12" s="708">
        <v>0</v>
      </c>
      <c r="D12" s="709" t="s">
        <v>139</v>
      </c>
    </row>
    <row r="13" spans="2:19" s="112" customFormat="1" ht="15">
      <c r="B13" s="136" t="s">
        <v>148</v>
      </c>
      <c r="C13" s="137" t="s">
        <v>149</v>
      </c>
      <c r="D13" s="138" t="s">
        <v>146</v>
      </c>
      <c r="F13" s="124" t="s">
        <v>150</v>
      </c>
    </row>
    <row r="14" spans="2:19" s="112" customFormat="1" thickBot="1">
      <c r="B14" s="710"/>
      <c r="C14" s="307"/>
      <c r="D14" s="139">
        <f>C14*C11</f>
        <v>0</v>
      </c>
      <c r="K14" s="112" t="s">
        <v>151</v>
      </c>
    </row>
    <row r="15" spans="2:19" s="112" customFormat="1" ht="17.25" thickTop="1" thickBot="1">
      <c r="B15" s="1100" t="s">
        <v>152</v>
      </c>
      <c r="C15" s="711">
        <f>C5*C7*C8*C9*C10+C12+C14</f>
        <v>0</v>
      </c>
      <c r="D15" s="1101">
        <f>C15*C11</f>
        <v>0</v>
      </c>
      <c r="E15" s="1102"/>
      <c r="F15" s="1103"/>
      <c r="G15" s="1104"/>
      <c r="H15" s="1104"/>
      <c r="I15" s="1104"/>
      <c r="J15" s="1105" t="s">
        <v>490</v>
      </c>
      <c r="K15" s="1106">
        <f>SUM(K18:K23)</f>
        <v>0</v>
      </c>
      <c r="L15" s="1107">
        <f>SUM(L18:L23)</f>
        <v>0</v>
      </c>
      <c r="M15" s="613" t="s">
        <v>492</v>
      </c>
    </row>
    <row r="16" spans="2:19" s="112" customFormat="1" ht="16.5" thickBot="1">
      <c r="B16" s="611" t="s">
        <v>468</v>
      </c>
      <c r="C16" s="144"/>
      <c r="D16" s="712" t="s">
        <v>153</v>
      </c>
      <c r="E16" s="713"/>
      <c r="F16" s="714" t="s">
        <v>154</v>
      </c>
      <c r="G16" s="715" t="s">
        <v>155</v>
      </c>
      <c r="H16" s="716" t="s">
        <v>156</v>
      </c>
      <c r="I16" s="715" t="s">
        <v>157</v>
      </c>
      <c r="J16" s="1108" t="s">
        <v>491</v>
      </c>
      <c r="K16" s="1109">
        <f>SUM(K24:K29)</f>
        <v>0</v>
      </c>
      <c r="L16" s="1110">
        <f>SUM(L24:L29)</f>
        <v>0</v>
      </c>
      <c r="M16" s="1111">
        <f>15*(L15+L16)/(12*2)</f>
        <v>0</v>
      </c>
    </row>
    <row r="17" spans="1:15" s="112" customFormat="1" ht="16.5" thickBot="1">
      <c r="A17" s="501" t="s">
        <v>158</v>
      </c>
      <c r="B17" s="716" t="s">
        <v>159</v>
      </c>
      <c r="C17" s="717" t="s">
        <v>160</v>
      </c>
      <c r="D17" s="718" t="s">
        <v>161</v>
      </c>
      <c r="E17" s="719" t="s">
        <v>162</v>
      </c>
      <c r="F17" s="720"/>
      <c r="G17" s="721" t="s">
        <v>162</v>
      </c>
      <c r="H17" s="722" t="s">
        <v>163</v>
      </c>
      <c r="I17" s="722"/>
      <c r="J17" s="723" t="s">
        <v>165</v>
      </c>
      <c r="K17" s="724" t="s">
        <v>778</v>
      </c>
      <c r="L17" s="1112" t="s">
        <v>779</v>
      </c>
      <c r="M17" s="725" t="s">
        <v>166</v>
      </c>
    </row>
    <row r="18" spans="1:15" s="112" customFormat="1">
      <c r="A18" s="310" t="s">
        <v>167</v>
      </c>
      <c r="B18" s="726"/>
      <c r="C18" s="727"/>
      <c r="D18" s="728"/>
      <c r="E18" s="729"/>
      <c r="F18" s="730"/>
      <c r="G18" s="731"/>
      <c r="H18" s="554">
        <f>(D18+E18)*G18</f>
        <v>0</v>
      </c>
      <c r="I18" s="118"/>
      <c r="J18" s="538"/>
      <c r="K18" s="548">
        <f>$C$9*$C$10*IF(J18="Klas.",Cenovnik!$D$42, IF(J18="Hibr.",Cenovnik!$D$43,Cenovnik!$D$44))*(C18*IF($C$3="Red. profesor",Cenovnik!$D$39,IF($C$3="Vanr. profesor",Cenovnik!$D$38,IF($C$3="Docent",Cenovnik!$D$37,Cenovnik!$D$36)))*IF(E36&gt;0,1,Cenovnik!$D$40)+H18*Cenovnik!$D$35)</f>
        <v>0</v>
      </c>
      <c r="L18" s="1107">
        <f t="shared" ref="L18:L29" si="0">K18*$C$11</f>
        <v>0</v>
      </c>
      <c r="M18" s="1107">
        <f>15*L18</f>
        <v>0</v>
      </c>
      <c r="O18" s="696"/>
    </row>
    <row r="19" spans="1:15" s="112" customFormat="1">
      <c r="A19" s="732" t="s">
        <v>167</v>
      </c>
      <c r="B19" s="733"/>
      <c r="C19" s="734"/>
      <c r="D19" s="668"/>
      <c r="E19" s="669"/>
      <c r="F19" s="735"/>
      <c r="G19" s="736"/>
      <c r="H19" s="370">
        <f t="shared" ref="H19:H29" si="1">(D19+E19)*G19</f>
        <v>0</v>
      </c>
      <c r="I19" s="737"/>
      <c r="J19" s="536"/>
      <c r="K19" s="558">
        <f>$C$9*$C$10*IF(J19="Klas.",Cenovnik!$D$42, IF(J19="Hibr.",Cenovnik!$D$43,Cenovnik!$D$44))*(C19*IF($C$3="Red. profesor",Cenovnik!$D$39,IF($C$3="Vanr. profesor",Cenovnik!$D$38,IF($C$3="Docent",Cenovnik!$D$37,Cenovnik!$D$36)))*IF(F36&gt;0,1,Cenovnik!$D$40)+H19*Cenovnik!$D$35)</f>
        <v>0</v>
      </c>
      <c r="L19" s="1113">
        <f t="shared" si="0"/>
        <v>0</v>
      </c>
      <c r="M19" s="1113">
        <f t="shared" ref="M19:M29" si="2">15*L19</f>
        <v>0</v>
      </c>
      <c r="O19" s="696"/>
    </row>
    <row r="20" spans="1:15" s="112" customFormat="1">
      <c r="A20" s="732" t="s">
        <v>167</v>
      </c>
      <c r="B20" s="733"/>
      <c r="C20" s="734"/>
      <c r="D20" s="668"/>
      <c r="E20" s="669"/>
      <c r="F20" s="735"/>
      <c r="G20" s="736"/>
      <c r="H20" s="370">
        <f t="shared" ref="H20:H21" si="3">(D20+E20)*G20</f>
        <v>0</v>
      </c>
      <c r="I20" s="737"/>
      <c r="J20" s="536"/>
      <c r="K20" s="558">
        <f>$C$9*$C$10*IF(J20="Klas.",Cenovnik!$D$42, IF(J20="Hibr.",Cenovnik!$D$43,Cenovnik!$D$44))*(C20*IF($C$3="Red. profesor",Cenovnik!$D$39,IF($C$3="Vanr. profesor",Cenovnik!$D$38,IF($C$3="Docent",Cenovnik!$D$37,Cenovnik!$D$36)))*IF(I34&gt;0,1,Cenovnik!$D$40)+H20*Cenovnik!$D$35)</f>
        <v>0</v>
      </c>
      <c r="L20" s="1113">
        <f t="shared" ref="L20:L21" si="4">K20*$C$11</f>
        <v>0</v>
      </c>
      <c r="M20" s="1113">
        <f t="shared" ref="M20:M21" si="5">15*L20</f>
        <v>0</v>
      </c>
      <c r="O20" s="696"/>
    </row>
    <row r="21" spans="1:15" s="112" customFormat="1">
      <c r="A21" s="732" t="s">
        <v>167</v>
      </c>
      <c r="B21" s="733"/>
      <c r="C21" s="734"/>
      <c r="D21" s="668"/>
      <c r="E21" s="669"/>
      <c r="F21" s="735"/>
      <c r="G21" s="736"/>
      <c r="H21" s="370">
        <f t="shared" si="3"/>
        <v>0</v>
      </c>
      <c r="I21" s="737"/>
      <c r="J21" s="536"/>
      <c r="K21" s="558">
        <f>$C$9*$C$10*IF(J21="Klas.",Cenovnik!$D$42, IF(J21="Hibr.",Cenovnik!$D$43,Cenovnik!$D$44))*(C21*IF($C$3="Red. profesor",Cenovnik!$D$39,IF($C$3="Vanr. profesor",Cenovnik!$D$38,IF($C$3="Docent",Cenovnik!$D$37,Cenovnik!$D$36)))*IF(I35&gt;0,1,Cenovnik!$D$40)+H21*Cenovnik!$D$35)</f>
        <v>0</v>
      </c>
      <c r="L21" s="1113">
        <f t="shared" si="4"/>
        <v>0</v>
      </c>
      <c r="M21" s="1113">
        <f t="shared" si="5"/>
        <v>0</v>
      </c>
      <c r="O21" s="696"/>
    </row>
    <row r="22" spans="1:15" s="112" customFormat="1">
      <c r="A22" s="732" t="s">
        <v>167</v>
      </c>
      <c r="B22" s="733"/>
      <c r="C22" s="734"/>
      <c r="D22" s="668"/>
      <c r="E22" s="669"/>
      <c r="F22" s="735"/>
      <c r="G22" s="736"/>
      <c r="H22" s="370">
        <f t="shared" si="1"/>
        <v>0</v>
      </c>
      <c r="I22" s="737"/>
      <c r="J22" s="536"/>
      <c r="K22" s="558">
        <f>$C$9*$C$10*IF(J22="Klas.",Cenovnik!$D$42, IF(J22="Hibr.",Cenovnik!$D$43,Cenovnik!$D$44))*(C22*IF($C$3="Red. profesor",Cenovnik!$D$39,IF($C$3="Vanr. profesor",Cenovnik!$D$38,IF($C$3="Docent",Cenovnik!$D$37,Cenovnik!$D$36)))*IF(I36&gt;0,1,Cenovnik!$D$40)+H22*Cenovnik!$D$35)</f>
        <v>0</v>
      </c>
      <c r="L22" s="1113">
        <f t="shared" si="0"/>
        <v>0</v>
      </c>
      <c r="M22" s="1113">
        <f t="shared" si="2"/>
        <v>0</v>
      </c>
      <c r="O22" s="696"/>
    </row>
    <row r="23" spans="1:15" s="112" customFormat="1" ht="16.5" thickBot="1">
      <c r="A23" s="738" t="s">
        <v>167</v>
      </c>
      <c r="B23" s="739"/>
      <c r="C23" s="740"/>
      <c r="D23" s="741"/>
      <c r="E23" s="742"/>
      <c r="F23" s="743"/>
      <c r="G23" s="744"/>
      <c r="H23" s="745">
        <f t="shared" si="1"/>
        <v>0</v>
      </c>
      <c r="I23" s="117"/>
      <c r="J23" s="746"/>
      <c r="K23" s="747">
        <f>$C$9*$C$10*IF(J23="Klas.",Cenovnik!$D$42, IF(J23="Hibr.",Cenovnik!$D$43,Cenovnik!$D$44))*(C23*IF($C$3="Red. profesor",Cenovnik!$D$39,IF($C$3="Vanr. profesor",Cenovnik!$D$38,IF($C$3="Docent",Cenovnik!$D$37,Cenovnik!$D$36)))*IF(J36&gt;0,1,Cenovnik!$D$40)+H23*Cenovnik!$D$35)</f>
        <v>0</v>
      </c>
      <c r="L23" s="1110">
        <f t="shared" si="0"/>
        <v>0</v>
      </c>
      <c r="M23" s="1110">
        <f t="shared" si="2"/>
        <v>0</v>
      </c>
      <c r="O23" s="696"/>
    </row>
    <row r="24" spans="1:15" s="112" customFormat="1">
      <c r="A24" s="748" t="s">
        <v>173</v>
      </c>
      <c r="B24" s="588"/>
      <c r="C24" s="203"/>
      <c r="D24" s="106"/>
      <c r="E24" s="248"/>
      <c r="F24" s="749"/>
      <c r="G24" s="750"/>
      <c r="H24" s="370">
        <f t="shared" si="1"/>
        <v>0</v>
      </c>
      <c r="I24" s="737"/>
      <c r="J24" s="529"/>
      <c r="K24" s="751">
        <f>$C$9*$C$10*IF(J24="Klas.",Cenovnik!$D$42, IF(J24="Hibr.",Cenovnik!$D$43,Cenovnik!$D$44))*(C24*IF($C$3="Red. profesor",Cenovnik!$D$39,IF($C$3="Vanr. profesor",Cenovnik!$D$38,IF($C$3="Docent",Cenovnik!$D$37,Cenovnik!$D$36)))*IF(K36&gt;0,1,Cenovnik!$D$40)+H24*Cenovnik!$D$35)</f>
        <v>0</v>
      </c>
      <c r="L24" s="1114">
        <f t="shared" si="0"/>
        <v>0</v>
      </c>
      <c r="M24" s="1114">
        <f t="shared" si="2"/>
        <v>0</v>
      </c>
    </row>
    <row r="25" spans="1:15" s="112" customFormat="1">
      <c r="A25" s="732" t="s">
        <v>173</v>
      </c>
      <c r="B25" s="588"/>
      <c r="C25" s="413"/>
      <c r="D25" s="106"/>
      <c r="E25" s="248"/>
      <c r="F25" s="749"/>
      <c r="G25" s="736"/>
      <c r="H25" s="370">
        <f t="shared" ref="H25:H26" si="6">(D25+E25)*G25</f>
        <v>0</v>
      </c>
      <c r="I25" s="737"/>
      <c r="J25" s="536"/>
      <c r="K25" s="558">
        <f>$C$9*$C$10*IF(J25="Klas.",Cenovnik!$D$42, IF(J25="Hibr.",Cenovnik!$D$43,Cenovnik!$D$44))*(C25*IF($C$3="Red. profesor",Cenovnik!$D$39,IF($C$3="Vanr. profesor",Cenovnik!$D$38,IF($C$3="Docent",Cenovnik!$D$37,Cenovnik!$D$36)))*IF(N34&gt;0,1,Cenovnik!$D$40)+H25*Cenovnik!$D$35)</f>
        <v>0</v>
      </c>
      <c r="L25" s="1113">
        <f t="shared" ref="L25:L26" si="7">K25*$C$11</f>
        <v>0</v>
      </c>
      <c r="M25" s="1113">
        <f t="shared" ref="M25:M26" si="8">15*L25</f>
        <v>0</v>
      </c>
    </row>
    <row r="26" spans="1:15" s="112" customFormat="1">
      <c r="A26" s="732" t="s">
        <v>173</v>
      </c>
      <c r="B26" s="588"/>
      <c r="C26" s="413"/>
      <c r="D26" s="106"/>
      <c r="E26" s="248"/>
      <c r="F26" s="749"/>
      <c r="G26" s="736"/>
      <c r="H26" s="370">
        <f t="shared" si="6"/>
        <v>0</v>
      </c>
      <c r="I26" s="737"/>
      <c r="J26" s="536"/>
      <c r="K26" s="558">
        <f>$C$9*$C$10*IF(J26="Klas.",Cenovnik!$D$42, IF(J26="Hibr.",Cenovnik!$D$43,Cenovnik!$D$44))*(C26*IF($C$3="Red. profesor",Cenovnik!$D$39,IF($C$3="Vanr. profesor",Cenovnik!$D$38,IF($C$3="Docent",Cenovnik!$D$37,Cenovnik!$D$36)))*IF(N35&gt;0,1,Cenovnik!$D$40)+H26*Cenovnik!$D$35)</f>
        <v>0</v>
      </c>
      <c r="L26" s="1113">
        <f t="shared" si="7"/>
        <v>0</v>
      </c>
      <c r="M26" s="1113">
        <f t="shared" si="8"/>
        <v>0</v>
      </c>
    </row>
    <row r="27" spans="1:15" s="112" customFormat="1" ht="16.5" thickBot="1">
      <c r="A27" s="732" t="s">
        <v>173</v>
      </c>
      <c r="B27" s="588"/>
      <c r="C27" s="413"/>
      <c r="D27" s="106"/>
      <c r="E27" s="248"/>
      <c r="F27" s="749"/>
      <c r="G27" s="736"/>
      <c r="H27" s="370">
        <f t="shared" si="1"/>
        <v>0</v>
      </c>
      <c r="I27" s="737"/>
      <c r="J27" s="536"/>
      <c r="K27" s="558">
        <f>$C$9*$C$10*IF(J27="Klas.",Cenovnik!$D$42, IF(J27="Hibr.",Cenovnik!$D$43,Cenovnik!$D$44))*(C27*IF($C$3="Red. profesor",Cenovnik!$D$39,IF($C$3="Vanr. profesor",Cenovnik!$D$38,IF($C$3="Docent",Cenovnik!$D$37,Cenovnik!$D$36)))*IF(N36&gt;0,1,Cenovnik!$D$40)+H27*Cenovnik!$D$35)</f>
        <v>0</v>
      </c>
      <c r="L27" s="1113">
        <f t="shared" si="0"/>
        <v>0</v>
      </c>
      <c r="M27" s="1113">
        <f t="shared" si="2"/>
        <v>0</v>
      </c>
    </row>
    <row r="28" spans="1:15" s="112" customFormat="1">
      <c r="A28" s="752" t="s">
        <v>173</v>
      </c>
      <c r="B28" s="590"/>
      <c r="C28" s="203"/>
      <c r="D28" s="106"/>
      <c r="E28" s="248"/>
      <c r="F28" s="749"/>
      <c r="G28" s="753"/>
      <c r="H28" s="370">
        <f t="shared" si="1"/>
        <v>0</v>
      </c>
      <c r="I28" s="737"/>
      <c r="J28" s="536"/>
      <c r="K28" s="548">
        <f>$C$9*$C$10*IF(J28="Klas.",Cenovnik!$D$42, IF(J28="Hibr.",Cenovnik!$D$43,Cenovnik!$D$44))*(C28*IF($C$3="Red. profesor",Cenovnik!$D$39,IF($C$3="Vanr. profesor",Cenovnik!$D$38,IF($C$3="Docent",Cenovnik!$D$37,Cenovnik!$D$36)))*IF(O36&gt;0,1,Cenovnik!$D$40)+H28*Cenovnik!$D$35)</f>
        <v>0</v>
      </c>
      <c r="L28" s="1113">
        <f t="shared" si="0"/>
        <v>0</v>
      </c>
      <c r="M28" s="1113">
        <f t="shared" si="2"/>
        <v>0</v>
      </c>
    </row>
    <row r="29" spans="1:15" s="112" customFormat="1" ht="16.5" thickBot="1">
      <c r="A29" s="738" t="s">
        <v>173</v>
      </c>
      <c r="B29" s="612"/>
      <c r="C29" s="207"/>
      <c r="D29" s="561"/>
      <c r="E29" s="249"/>
      <c r="F29" s="749"/>
      <c r="G29" s="744"/>
      <c r="H29" s="370">
        <f t="shared" si="1"/>
        <v>0</v>
      </c>
      <c r="I29" s="115"/>
      <c r="J29" s="746"/>
      <c r="K29" s="558">
        <f>$C$9*$C$10*IF(J29="Klas.",Cenovnik!$D$42, IF(J29="Hibr.",Cenovnik!$D$43,Cenovnik!$D$44))*(C29*IF($C$3="Red. profesor",Cenovnik!$D$39,IF($C$3="Vanr. profesor",Cenovnik!$D$38,IF($C$3="Docent",Cenovnik!$D$37,Cenovnik!$D$36)))*IF(P36&gt;0,1,Cenovnik!$D$40)+H29*Cenovnik!$D$35)</f>
        <v>0</v>
      </c>
      <c r="L29" s="1110">
        <f t="shared" si="0"/>
        <v>0</v>
      </c>
      <c r="M29" s="1113">
        <f t="shared" si="2"/>
        <v>0</v>
      </c>
    </row>
    <row r="30" spans="1:15" s="100" customFormat="1" ht="15">
      <c r="A30" s="109"/>
      <c r="B30" s="109" t="s">
        <v>366</v>
      </c>
      <c r="C30" s="110"/>
      <c r="D30" s="110"/>
      <c r="E30" s="110"/>
      <c r="F30" s="110"/>
      <c r="G30" s="110"/>
      <c r="H30" s="110"/>
      <c r="I30" s="110"/>
      <c r="J30" s="101"/>
      <c r="K30" s="101"/>
      <c r="L30" s="101"/>
      <c r="M30" s="101"/>
    </row>
    <row r="31" spans="1:15" s="100" customFormat="1">
      <c r="A31" s="109"/>
      <c r="B31" s="109"/>
      <c r="C31" s="110"/>
      <c r="D31" s="110"/>
      <c r="E31" s="110"/>
      <c r="F31" s="110"/>
      <c r="G31" s="110"/>
      <c r="H31" s="110"/>
      <c r="I31" s="110"/>
      <c r="J31" s="101"/>
      <c r="K31" s="101"/>
      <c r="L31" s="1493"/>
      <c r="M31" s="101"/>
    </row>
    <row r="32" spans="1:15" s="100" customFormat="1" thickBot="1">
      <c r="A32" s="109"/>
      <c r="B32" s="109"/>
      <c r="C32" s="110"/>
      <c r="D32" s="110"/>
      <c r="E32" s="110"/>
      <c r="F32" s="110"/>
      <c r="G32" s="110"/>
      <c r="H32" s="1495"/>
      <c r="I32" s="110"/>
      <c r="J32" s="1496" t="s">
        <v>499</v>
      </c>
      <c r="K32" s="101"/>
      <c r="L32" s="101"/>
      <c r="M32" s="101"/>
    </row>
    <row r="33" spans="1:17" s="100" customFormat="1" ht="16.5" thickBot="1">
      <c r="B33" s="547" t="s">
        <v>178</v>
      </c>
      <c r="C33" s="101"/>
      <c r="D33" s="101"/>
      <c r="E33" s="1473"/>
      <c r="F33" s="674"/>
      <c r="G33" s="1494" t="s">
        <v>364</v>
      </c>
      <c r="H33" s="1485"/>
      <c r="I33" s="674"/>
      <c r="J33" s="1492"/>
      <c r="K33" s="674"/>
      <c r="L33" s="1474"/>
      <c r="M33" s="674" t="s">
        <v>365</v>
      </c>
      <c r="N33" s="1481"/>
      <c r="O33" s="1481"/>
      <c r="P33" s="1482"/>
    </row>
    <row r="34" spans="1:17" s="100" customFormat="1" thickBot="1">
      <c r="C34" s="101"/>
      <c r="D34" s="101"/>
      <c r="E34" s="253">
        <v>1</v>
      </c>
      <c r="F34" s="1488">
        <v>2</v>
      </c>
      <c r="G34" s="1488">
        <v>3</v>
      </c>
      <c r="H34" s="1488">
        <v>4</v>
      </c>
      <c r="I34" s="1488">
        <v>5</v>
      </c>
      <c r="J34" s="1489">
        <v>6</v>
      </c>
      <c r="K34" s="253">
        <v>1</v>
      </c>
      <c r="L34" s="1490">
        <v>2</v>
      </c>
      <c r="M34" s="1490">
        <v>3</v>
      </c>
      <c r="N34" s="1488">
        <v>4</v>
      </c>
      <c r="O34" s="1488">
        <v>5</v>
      </c>
      <c r="P34" s="1491">
        <v>6</v>
      </c>
      <c r="Q34" s="101"/>
    </row>
    <row r="35" spans="1:17" s="112" customFormat="1" ht="27.95" customHeight="1" thickBot="1">
      <c r="A35" s="551"/>
      <c r="B35" s="552" t="s">
        <v>180</v>
      </c>
      <c r="C35" s="553" t="s">
        <v>184</v>
      </c>
      <c r="D35" s="789" t="s">
        <v>185</v>
      </c>
      <c r="E35" s="1095"/>
      <c r="F35" s="1096"/>
      <c r="G35" s="1096"/>
      <c r="H35" s="1096"/>
      <c r="I35" s="1096"/>
      <c r="J35" s="1097"/>
      <c r="K35" s="1098"/>
      <c r="L35" s="1098"/>
      <c r="M35" s="1098"/>
      <c r="N35" s="1096"/>
      <c r="O35" s="1096"/>
      <c r="P35" s="1097"/>
      <c r="Q35" s="113"/>
    </row>
    <row r="36" spans="1:17" s="112" customFormat="1" ht="27.95" customHeight="1" thickBot="1">
      <c r="A36" s="551"/>
      <c r="B36" s="1099" t="s">
        <v>699</v>
      </c>
      <c r="C36" s="553"/>
      <c r="D36" s="789"/>
      <c r="E36" s="1115">
        <v>1</v>
      </c>
      <c r="F36" s="1115">
        <v>1</v>
      </c>
      <c r="G36" s="1115">
        <v>1</v>
      </c>
      <c r="H36" s="1115">
        <v>1</v>
      </c>
      <c r="I36" s="1115">
        <v>1</v>
      </c>
      <c r="J36" s="1115">
        <v>1</v>
      </c>
      <c r="K36" s="1115">
        <v>1</v>
      </c>
      <c r="L36" s="1115">
        <v>1</v>
      </c>
      <c r="M36" s="1115">
        <v>1</v>
      </c>
      <c r="N36" s="1115">
        <v>1</v>
      </c>
      <c r="O36" s="1115">
        <v>1</v>
      </c>
      <c r="P36" s="1115">
        <v>1</v>
      </c>
      <c r="Q36" s="113"/>
    </row>
    <row r="37" spans="1:17" s="112" customFormat="1" ht="27.95" customHeight="1">
      <c r="A37" s="554">
        <v>1</v>
      </c>
      <c r="B37" s="786" t="s">
        <v>356</v>
      </c>
      <c r="C37" s="555">
        <v>1</v>
      </c>
      <c r="D37" s="790">
        <v>1.2</v>
      </c>
      <c r="E37" s="791">
        <f>$C$9</f>
        <v>0</v>
      </c>
      <c r="F37" s="791">
        <f t="shared" ref="F37:P37" si="9">$C$9</f>
        <v>0</v>
      </c>
      <c r="G37" s="791">
        <f t="shared" si="9"/>
        <v>0</v>
      </c>
      <c r="H37" s="791">
        <f t="shared" si="9"/>
        <v>0</v>
      </c>
      <c r="I37" s="791">
        <f t="shared" si="9"/>
        <v>0</v>
      </c>
      <c r="J37" s="791">
        <f t="shared" si="9"/>
        <v>0</v>
      </c>
      <c r="K37" s="791">
        <f t="shared" si="9"/>
        <v>0</v>
      </c>
      <c r="L37" s="791">
        <f t="shared" si="9"/>
        <v>0</v>
      </c>
      <c r="M37" s="791">
        <f t="shared" si="9"/>
        <v>0</v>
      </c>
      <c r="N37" s="791">
        <f t="shared" si="9"/>
        <v>0</v>
      </c>
      <c r="O37" s="791">
        <f t="shared" si="9"/>
        <v>0</v>
      </c>
      <c r="P37" s="791">
        <f t="shared" si="9"/>
        <v>0</v>
      </c>
      <c r="Q37" s="113"/>
    </row>
    <row r="38" spans="1:17" s="112" customFormat="1" ht="27.95" customHeight="1">
      <c r="A38" s="372">
        <v>2</v>
      </c>
      <c r="B38" s="787" t="s">
        <v>357</v>
      </c>
      <c r="C38" s="549">
        <v>0.8</v>
      </c>
      <c r="D38" s="792">
        <v>1.2</v>
      </c>
      <c r="E38" s="793">
        <f>IF($C$3="Red. profesor",Cenovnik!$D$55,IF($C$3="Vanr. profesor",Cenovnik!$D$54,IF($C$3="Docent",Cenovnik!$D$53,Cenovnik!$D$52)))</f>
        <v>0.8</v>
      </c>
      <c r="F38" s="793">
        <f>IF($C$3="Red. profesor",Cenovnik!$D$55,IF($C$3="Vanr. profesor",Cenovnik!$D$54,IF($C$3="Docent",Cenovnik!$D$53,Cenovnik!$D$52)))</f>
        <v>0.8</v>
      </c>
      <c r="G38" s="793">
        <f>IF($C$3="Red. profesor",Cenovnik!$D$55,IF($C$3="Vanr. profesor",Cenovnik!$D$54,IF($C$3="Docent",Cenovnik!$D$53,Cenovnik!$D$52)))</f>
        <v>0.8</v>
      </c>
      <c r="H38" s="793">
        <f>IF($C$3="Red. profesor",Cenovnik!$D$55,IF($C$3="Vanr. profesor",Cenovnik!$D$54,IF($C$3="Docent",Cenovnik!$D$53,Cenovnik!$D$52)))</f>
        <v>0.8</v>
      </c>
      <c r="I38" s="793">
        <f>IF($C$3="Red. profesor",Cenovnik!$D$55,IF($C$3="Vanr. profesor",Cenovnik!$D$54,IF($C$3="Docent",Cenovnik!$D$53,Cenovnik!$D$52)))</f>
        <v>0.8</v>
      </c>
      <c r="J38" s="793">
        <f>IF($C$3="Red. profesor",Cenovnik!$D$55,IF($C$3="Vanr. profesor",Cenovnik!$D$54,IF($C$3="Docent",Cenovnik!$D$53,Cenovnik!$D$52)))</f>
        <v>0.8</v>
      </c>
      <c r="K38" s="793">
        <f>IF($C$3="Red. profesor",Cenovnik!$D$55,IF($C$3="Vanr. profesor",Cenovnik!$D$54,IF($C$3="Docent",Cenovnik!$D$53,Cenovnik!$D$52)))</f>
        <v>0.8</v>
      </c>
      <c r="L38" s="793">
        <f>IF($C$3="Red. profesor",Cenovnik!$D$55,IF($C$3="Vanr. profesor",Cenovnik!$D$54,IF($C$3="Docent",Cenovnik!$D$53,Cenovnik!$D$52)))</f>
        <v>0.8</v>
      </c>
      <c r="M38" s="793">
        <f>IF($C$3="Red. profesor",Cenovnik!$D$55,IF($C$3="Vanr. profesor",Cenovnik!$D$54,IF($C$3="Docent",Cenovnik!$D$53,Cenovnik!$D$52)))</f>
        <v>0.8</v>
      </c>
      <c r="N38" s="793">
        <f>IF($C$3="Red. profesor",Cenovnik!$D$55,IF($C$3="Vanr. profesor",Cenovnik!$D$54,IF($C$3="Docent",Cenovnik!$D$53,Cenovnik!$D$52)))</f>
        <v>0.8</v>
      </c>
      <c r="O38" s="793">
        <f>IF($C$3="Red. profesor",Cenovnik!$D$55,IF($C$3="Vanr. profesor",Cenovnik!$D$54,IF($C$3="Docent",Cenovnik!$D$53,Cenovnik!$D$52)))</f>
        <v>0.8</v>
      </c>
      <c r="P38" s="793">
        <f>IF($C$3="Red. profesor",Cenovnik!$D$55,IF($C$3="Vanr. profesor",Cenovnik!$D$54,IF($C$3="Docent",Cenovnik!$D$53,Cenovnik!$D$52)))</f>
        <v>0.8</v>
      </c>
      <c r="Q38" s="113"/>
    </row>
    <row r="39" spans="1:17" s="112" customFormat="1" ht="27.95" customHeight="1">
      <c r="A39" s="372">
        <v>3</v>
      </c>
      <c r="B39" s="787" t="s">
        <v>358</v>
      </c>
      <c r="C39" s="549">
        <v>1</v>
      </c>
      <c r="D39" s="792">
        <v>1.333</v>
      </c>
      <c r="E39" s="795">
        <f>C85</f>
        <v>0</v>
      </c>
      <c r="F39" s="795">
        <f t="shared" ref="F39:P39" si="10">D85</f>
        <v>0</v>
      </c>
      <c r="G39" s="795">
        <f t="shared" si="10"/>
        <v>0</v>
      </c>
      <c r="H39" s="795">
        <f t="shared" si="10"/>
        <v>0</v>
      </c>
      <c r="I39" s="795">
        <f t="shared" si="10"/>
        <v>0</v>
      </c>
      <c r="J39" s="795">
        <f t="shared" si="10"/>
        <v>0</v>
      </c>
      <c r="K39" s="795">
        <f t="shared" si="10"/>
        <v>0</v>
      </c>
      <c r="L39" s="795">
        <f t="shared" si="10"/>
        <v>0</v>
      </c>
      <c r="M39" s="795">
        <f t="shared" si="10"/>
        <v>0</v>
      </c>
      <c r="N39" s="795">
        <f t="shared" si="10"/>
        <v>0</v>
      </c>
      <c r="O39" s="795">
        <f t="shared" si="10"/>
        <v>0</v>
      </c>
      <c r="P39" s="795">
        <f t="shared" si="10"/>
        <v>0</v>
      </c>
      <c r="Q39" s="113"/>
    </row>
    <row r="40" spans="1:17" s="112" customFormat="1" ht="27.95" customHeight="1">
      <c r="A40" s="372">
        <v>4</v>
      </c>
      <c r="B40" s="787" t="s">
        <v>359</v>
      </c>
      <c r="C40" s="549">
        <v>0.7</v>
      </c>
      <c r="D40" s="792">
        <v>1.1000000000000001</v>
      </c>
      <c r="E40" s="793" t="e">
        <f>C118</f>
        <v>#DIV/0!</v>
      </c>
      <c r="F40" s="793" t="e">
        <f t="shared" ref="F40:P40" si="11">D118</f>
        <v>#DIV/0!</v>
      </c>
      <c r="G40" s="793" t="e">
        <f t="shared" si="11"/>
        <v>#DIV/0!</v>
      </c>
      <c r="H40" s="793" t="e">
        <f t="shared" si="11"/>
        <v>#DIV/0!</v>
      </c>
      <c r="I40" s="793" t="e">
        <f t="shared" si="11"/>
        <v>#DIV/0!</v>
      </c>
      <c r="J40" s="793" t="e">
        <f t="shared" si="11"/>
        <v>#DIV/0!</v>
      </c>
      <c r="K40" s="793" t="e">
        <f t="shared" si="11"/>
        <v>#DIV/0!</v>
      </c>
      <c r="L40" s="793" t="e">
        <f t="shared" si="11"/>
        <v>#DIV/0!</v>
      </c>
      <c r="M40" s="793" t="e">
        <f t="shared" si="11"/>
        <v>#DIV/0!</v>
      </c>
      <c r="N40" s="793" t="e">
        <f t="shared" si="11"/>
        <v>#DIV/0!</v>
      </c>
      <c r="O40" s="793" t="e">
        <f t="shared" si="11"/>
        <v>#DIV/0!</v>
      </c>
      <c r="P40" s="793" t="e">
        <f t="shared" si="11"/>
        <v>#VALUE!</v>
      </c>
      <c r="Q40" s="113"/>
    </row>
    <row r="41" spans="1:17" s="112" customFormat="1" ht="27.95" customHeight="1">
      <c r="A41" s="372">
        <v>5</v>
      </c>
      <c r="B41" s="787" t="s">
        <v>360</v>
      </c>
      <c r="C41" s="549">
        <v>0.95</v>
      </c>
      <c r="D41" s="792">
        <v>1.1499999999999999</v>
      </c>
      <c r="E41" s="793" t="e">
        <f>C119</f>
        <v>#DIV/0!</v>
      </c>
      <c r="F41" s="793" t="e">
        <f t="shared" ref="F41:P41" si="12">D119</f>
        <v>#DIV/0!</v>
      </c>
      <c r="G41" s="793" t="e">
        <f t="shared" si="12"/>
        <v>#DIV/0!</v>
      </c>
      <c r="H41" s="793" t="e">
        <f t="shared" si="12"/>
        <v>#DIV/0!</v>
      </c>
      <c r="I41" s="793" t="e">
        <f t="shared" si="12"/>
        <v>#DIV/0!</v>
      </c>
      <c r="J41" s="793" t="e">
        <f t="shared" si="12"/>
        <v>#DIV/0!</v>
      </c>
      <c r="K41" s="793" t="e">
        <f t="shared" si="12"/>
        <v>#DIV/0!</v>
      </c>
      <c r="L41" s="793" t="e">
        <f t="shared" si="12"/>
        <v>#DIV/0!</v>
      </c>
      <c r="M41" s="793" t="e">
        <f t="shared" si="12"/>
        <v>#DIV/0!</v>
      </c>
      <c r="N41" s="793" t="e">
        <f t="shared" si="12"/>
        <v>#DIV/0!</v>
      </c>
      <c r="O41" s="793" t="e">
        <f t="shared" si="12"/>
        <v>#DIV/0!</v>
      </c>
      <c r="P41" s="793" t="e">
        <f t="shared" si="12"/>
        <v>#DIV/0!</v>
      </c>
      <c r="Q41" s="113"/>
    </row>
    <row r="42" spans="1:17" s="112" customFormat="1" ht="27.95" customHeight="1">
      <c r="A42" s="372">
        <v>6</v>
      </c>
      <c r="B42" s="787" t="s">
        <v>361</v>
      </c>
      <c r="C42" s="549">
        <v>0.97499999999999998</v>
      </c>
      <c r="D42" s="792">
        <v>1.075</v>
      </c>
      <c r="E42" s="793">
        <f>C120</f>
        <v>0.97499999999999998</v>
      </c>
      <c r="F42" s="793">
        <f t="shared" ref="F42:P42" si="13">D120</f>
        <v>0.97499999999999998</v>
      </c>
      <c r="G42" s="793">
        <f t="shared" si="13"/>
        <v>0.97499999999999998</v>
      </c>
      <c r="H42" s="793">
        <f t="shared" si="13"/>
        <v>0.97499999999999998</v>
      </c>
      <c r="I42" s="793">
        <f t="shared" si="13"/>
        <v>0.97499999999999998</v>
      </c>
      <c r="J42" s="793">
        <f t="shared" si="13"/>
        <v>0.97499999999999998</v>
      </c>
      <c r="K42" s="793">
        <f t="shared" si="13"/>
        <v>0.97499999999999998</v>
      </c>
      <c r="L42" s="793">
        <f t="shared" si="13"/>
        <v>0.97499999999999998</v>
      </c>
      <c r="M42" s="793">
        <f t="shared" si="13"/>
        <v>0.97499999999999998</v>
      </c>
      <c r="N42" s="793">
        <f t="shared" si="13"/>
        <v>0.97499999999999998</v>
      </c>
      <c r="O42" s="793">
        <f t="shared" si="13"/>
        <v>0.97499999999999998</v>
      </c>
      <c r="P42" s="793">
        <f t="shared" si="13"/>
        <v>0.97499999999999998</v>
      </c>
      <c r="Q42" s="113"/>
    </row>
    <row r="43" spans="1:17" s="112" customFormat="1" ht="27.95" customHeight="1">
      <c r="A43" s="372">
        <v>7</v>
      </c>
      <c r="B43" s="787" t="s">
        <v>362</v>
      </c>
      <c r="C43" s="549">
        <v>0.97499999999999998</v>
      </c>
      <c r="D43" s="792">
        <v>1.1000000000000001</v>
      </c>
      <c r="E43" s="793">
        <f>C121</f>
        <v>0.97500000000000009</v>
      </c>
      <c r="F43" s="793">
        <f t="shared" ref="F43:P43" si="14">D121</f>
        <v>0.97500000000000009</v>
      </c>
      <c r="G43" s="793">
        <f t="shared" si="14"/>
        <v>0.97500000000000009</v>
      </c>
      <c r="H43" s="793">
        <f t="shared" si="14"/>
        <v>0.97500000000000009</v>
      </c>
      <c r="I43" s="793">
        <f t="shared" si="14"/>
        <v>0.97500000000000009</v>
      </c>
      <c r="J43" s="793">
        <f t="shared" si="14"/>
        <v>0.97500000000000009</v>
      </c>
      <c r="K43" s="793">
        <f t="shared" si="14"/>
        <v>0.97500000000000009</v>
      </c>
      <c r="L43" s="793">
        <f t="shared" si="14"/>
        <v>0.97500000000000009</v>
      </c>
      <c r="M43" s="793">
        <f t="shared" si="14"/>
        <v>0.97500000000000009</v>
      </c>
      <c r="N43" s="793">
        <f t="shared" si="14"/>
        <v>0.97500000000000009</v>
      </c>
      <c r="O43" s="793">
        <f t="shared" si="14"/>
        <v>0.97500000000000009</v>
      </c>
      <c r="P43" s="793">
        <f t="shared" si="14"/>
        <v>0.97500000000000009</v>
      </c>
      <c r="Q43" s="113"/>
    </row>
    <row r="44" spans="1:17" s="112" customFormat="1" ht="48.95" customHeight="1" thickBot="1">
      <c r="A44" s="374">
        <v>8</v>
      </c>
      <c r="B44" s="788" t="s">
        <v>363</v>
      </c>
      <c r="C44" s="550">
        <v>0.5</v>
      </c>
      <c r="D44" s="796">
        <v>1.1000000000000001</v>
      </c>
      <c r="E44" s="797">
        <f>C113</f>
        <v>0</v>
      </c>
      <c r="F44" s="797">
        <f t="shared" ref="F44:P44" si="15">D113</f>
        <v>0</v>
      </c>
      <c r="G44" s="797">
        <f t="shared" si="15"/>
        <v>0</v>
      </c>
      <c r="H44" s="797">
        <f t="shared" si="15"/>
        <v>0</v>
      </c>
      <c r="I44" s="797">
        <f t="shared" si="15"/>
        <v>0</v>
      </c>
      <c r="J44" s="797">
        <f t="shared" si="15"/>
        <v>0</v>
      </c>
      <c r="K44" s="797">
        <f t="shared" si="15"/>
        <v>0</v>
      </c>
      <c r="L44" s="797">
        <f t="shared" si="15"/>
        <v>0</v>
      </c>
      <c r="M44" s="797">
        <f t="shared" si="15"/>
        <v>0</v>
      </c>
      <c r="N44" s="797">
        <f t="shared" si="15"/>
        <v>0</v>
      </c>
      <c r="O44" s="797">
        <f t="shared" si="15"/>
        <v>0</v>
      </c>
      <c r="P44" s="797">
        <f t="shared" si="15"/>
        <v>0</v>
      </c>
      <c r="Q44" s="113"/>
    </row>
    <row r="45" spans="1:17" s="112" customFormat="1" ht="27.95" customHeight="1" thickBot="1">
      <c r="A45" s="798"/>
      <c r="B45" s="799" t="s">
        <v>179</v>
      </c>
      <c r="C45" s="800">
        <f>C37*C38*C39*C40*C41*C42*C43*C44</f>
        <v>0.25286624999999996</v>
      </c>
      <c r="D45" s="801">
        <f t="shared" ref="D45:P45" si="16">D37*D38*D39*D40*D41*D42*D43*D44</f>
        <v>3.1584717845999997</v>
      </c>
      <c r="E45" s="802" t="e">
        <f t="shared" si="16"/>
        <v>#DIV/0!</v>
      </c>
      <c r="F45" s="802" t="e">
        <f t="shared" si="16"/>
        <v>#DIV/0!</v>
      </c>
      <c r="G45" s="802" t="e">
        <f t="shared" si="16"/>
        <v>#DIV/0!</v>
      </c>
      <c r="H45" s="802" t="e">
        <f t="shared" si="16"/>
        <v>#DIV/0!</v>
      </c>
      <c r="I45" s="802" t="e">
        <f t="shared" si="16"/>
        <v>#DIV/0!</v>
      </c>
      <c r="J45" s="802" t="e">
        <f t="shared" si="16"/>
        <v>#DIV/0!</v>
      </c>
      <c r="K45" s="802" t="e">
        <f t="shared" si="16"/>
        <v>#DIV/0!</v>
      </c>
      <c r="L45" s="802" t="e">
        <f t="shared" si="16"/>
        <v>#DIV/0!</v>
      </c>
      <c r="M45" s="802" t="e">
        <f t="shared" si="16"/>
        <v>#DIV/0!</v>
      </c>
      <c r="N45" s="802" t="e">
        <f t="shared" si="16"/>
        <v>#DIV/0!</v>
      </c>
      <c r="O45" s="802" t="e">
        <f t="shared" si="16"/>
        <v>#DIV/0!</v>
      </c>
      <c r="P45" s="802" t="e">
        <f t="shared" si="16"/>
        <v>#VALUE!</v>
      </c>
      <c r="Q45" s="113"/>
    </row>
    <row r="46" spans="1:17" s="112" customFormat="1" ht="23.1" customHeight="1">
      <c r="C46" s="113"/>
      <c r="D46" s="559" t="s">
        <v>181</v>
      </c>
      <c r="E46" s="803">
        <f>IF(C18&gt;=3,900,IF(C18&gt;=2,600, IF(C18&gt;=0, 0)))*E36</f>
        <v>0</v>
      </c>
      <c r="F46" s="803">
        <f>IF(C19&gt;=3,900,IF(C19&gt;=2,600, IF(C19&gt;=0, 0)))*F36</f>
        <v>0</v>
      </c>
      <c r="G46" s="803">
        <f>IF(C20&gt;=3,900,IF(C20&gt;=2,600, IF(C20&gt;=0, 0)))*G36</f>
        <v>0</v>
      </c>
      <c r="H46" s="803">
        <f>IF(C21&gt;=3,900,IF(C21&gt;=2,600, IF(C21&gt;=0, 0)))*H36</f>
        <v>0</v>
      </c>
      <c r="I46" s="803">
        <f>IF(C22&gt;=3,900,IF(C22&gt;=2,600, IF(C22&gt;=0, 0)))*I36</f>
        <v>0</v>
      </c>
      <c r="J46" s="803">
        <f>IF(C23&gt;=3,900,IF(C23&gt;=2,600, IF(C23&gt;=0, 0)))*J36</f>
        <v>0</v>
      </c>
      <c r="K46" s="803">
        <f>IF(C24&gt;=3,900,IF(C24&gt;=2,600, IF(C24&gt;=0, 0)))*K36</f>
        <v>0</v>
      </c>
      <c r="L46" s="803">
        <f>IF(C25&gt;=3,900,IF(C25&gt;=2,600, IF(C25&gt;=0, 0)))*L36</f>
        <v>0</v>
      </c>
      <c r="M46" s="803">
        <f>IF(C26&gt;=3,900,IF(C26&gt;=2,600, IF(C26&gt;=0, 0)))*M36</f>
        <v>0</v>
      </c>
      <c r="N46" s="803">
        <f>IF(C27&gt;=3,900,IF(C27&gt;=2,600, IF(C27&gt;=0, 0)))*N36</f>
        <v>0</v>
      </c>
      <c r="O46" s="803">
        <f>IF(C28&gt;=3,900,IF(C28&gt;=2,600, IF(C28&gt;=0, 0)))*O36</f>
        <v>0</v>
      </c>
      <c r="P46" s="803">
        <f>IF(C29&gt;=3,900,IF(C29&gt;=2,600, IF(C29&gt;=0, 0)))*P36</f>
        <v>0</v>
      </c>
      <c r="Q46" s="113"/>
    </row>
    <row r="47" spans="1:17" s="112" customFormat="1" ht="23.1" customHeight="1" thickBot="1">
      <c r="C47" s="113"/>
      <c r="D47" s="559" t="s">
        <v>182</v>
      </c>
      <c r="E47" s="804" t="e">
        <f>E46*E45</f>
        <v>#DIV/0!</v>
      </c>
      <c r="F47" s="804" t="e">
        <f t="shared" ref="F47:P47" si="17">F46*F45</f>
        <v>#DIV/0!</v>
      </c>
      <c r="G47" s="804" t="e">
        <f t="shared" si="17"/>
        <v>#DIV/0!</v>
      </c>
      <c r="H47" s="804" t="e">
        <f t="shared" si="17"/>
        <v>#DIV/0!</v>
      </c>
      <c r="I47" s="804" t="e">
        <f t="shared" si="17"/>
        <v>#DIV/0!</v>
      </c>
      <c r="J47" s="804" t="e">
        <f t="shared" si="17"/>
        <v>#DIV/0!</v>
      </c>
      <c r="K47" s="804" t="e">
        <f t="shared" si="17"/>
        <v>#DIV/0!</v>
      </c>
      <c r="L47" s="804" t="e">
        <f t="shared" si="17"/>
        <v>#DIV/0!</v>
      </c>
      <c r="M47" s="804" t="e">
        <f t="shared" si="17"/>
        <v>#DIV/0!</v>
      </c>
      <c r="N47" s="804" t="e">
        <f t="shared" si="17"/>
        <v>#DIV/0!</v>
      </c>
      <c r="O47" s="804" t="e">
        <f t="shared" si="17"/>
        <v>#DIV/0!</v>
      </c>
      <c r="P47" s="804" t="e">
        <f t="shared" si="17"/>
        <v>#VALUE!</v>
      </c>
      <c r="Q47" s="113"/>
    </row>
    <row r="48" spans="1:17" s="112" customFormat="1" ht="23.1" customHeight="1" thickBot="1">
      <c r="B48" s="805"/>
      <c r="C48" s="806"/>
      <c r="D48" s="807" t="s">
        <v>183</v>
      </c>
      <c r="E48" s="808" t="e">
        <f>E47*Cenovnik!$D$7</f>
        <v>#DIV/0!</v>
      </c>
      <c r="F48" s="808" t="e">
        <f>F47*Cenovnik!$D$7</f>
        <v>#DIV/0!</v>
      </c>
      <c r="G48" s="808" t="e">
        <f>G47*Cenovnik!$D$7</f>
        <v>#DIV/0!</v>
      </c>
      <c r="H48" s="808" t="e">
        <f>H47*Cenovnik!$D$7</f>
        <v>#DIV/0!</v>
      </c>
      <c r="I48" s="808" t="e">
        <f>I47*Cenovnik!$D$7</f>
        <v>#DIV/0!</v>
      </c>
      <c r="J48" s="808" t="e">
        <f>J47*Cenovnik!$D$7</f>
        <v>#DIV/0!</v>
      </c>
      <c r="K48" s="808" t="e">
        <f>K47*Cenovnik!$D$7</f>
        <v>#DIV/0!</v>
      </c>
      <c r="L48" s="808" t="e">
        <f>L47*Cenovnik!$D$7</f>
        <v>#DIV/0!</v>
      </c>
      <c r="M48" s="808" t="e">
        <f>M47*Cenovnik!$D$7</f>
        <v>#DIV/0!</v>
      </c>
      <c r="N48" s="808" t="e">
        <f>N47*Cenovnik!$D$7</f>
        <v>#DIV/0!</v>
      </c>
      <c r="O48" s="808" t="e">
        <f>O47*Cenovnik!$D$7</f>
        <v>#DIV/0!</v>
      </c>
      <c r="P48" s="808" t="e">
        <f>P47*Cenovnik!$D$7</f>
        <v>#VALUE!</v>
      </c>
      <c r="Q48" s="113"/>
    </row>
    <row r="49" spans="1:17" s="100" customFormat="1" thickBot="1">
      <c r="B49" s="809" t="s">
        <v>494</v>
      </c>
      <c r="C49" s="674"/>
      <c r="D49" s="675"/>
      <c r="E49" s="810" t="e">
        <f>(E47-E46)*Cenovnik!$D$7</f>
        <v>#DIV/0!</v>
      </c>
      <c r="F49" s="810" t="e">
        <f>(F47-F46)*Cenovnik!$D$7</f>
        <v>#DIV/0!</v>
      </c>
      <c r="G49" s="810" t="e">
        <f>(G47-G46)*Cenovnik!$D$7</f>
        <v>#DIV/0!</v>
      </c>
      <c r="H49" s="810" t="e">
        <f>(H47-H46)*Cenovnik!$D$7</f>
        <v>#DIV/0!</v>
      </c>
      <c r="I49" s="810" t="e">
        <f>(I47-I46)*Cenovnik!$D$7</f>
        <v>#DIV/0!</v>
      </c>
      <c r="J49" s="810" t="e">
        <f>(J47-J46)*Cenovnik!$D$7</f>
        <v>#DIV/0!</v>
      </c>
      <c r="K49" s="810" t="e">
        <f>(K47-K46)*Cenovnik!$D$7</f>
        <v>#DIV/0!</v>
      </c>
      <c r="L49" s="810" t="e">
        <f>(L47-L46)*Cenovnik!$D$7</f>
        <v>#DIV/0!</v>
      </c>
      <c r="M49" s="810" t="e">
        <f>(M47-M46)*Cenovnik!$D$7</f>
        <v>#DIV/0!</v>
      </c>
      <c r="N49" s="810" t="e">
        <f>(N47-N46)*Cenovnik!$D$7</f>
        <v>#DIV/0!</v>
      </c>
      <c r="O49" s="810" t="e">
        <f>(O47-O46)*Cenovnik!$D$7</f>
        <v>#DIV/0!</v>
      </c>
      <c r="P49" s="810" t="e">
        <f>(P47-P46)*Cenovnik!$D$7</f>
        <v>#VALUE!</v>
      </c>
      <c r="Q49" s="101"/>
    </row>
    <row r="50" spans="1:17" s="100" customFormat="1" ht="15">
      <c r="A50" s="109"/>
      <c r="B50" s="109"/>
      <c r="C50" s="110"/>
      <c r="D50" s="110"/>
      <c r="E50" s="110"/>
      <c r="F50" s="110"/>
      <c r="G50" s="110"/>
      <c r="H50" s="110"/>
      <c r="I50" s="110"/>
      <c r="J50" s="101"/>
      <c r="K50" s="101"/>
      <c r="L50" s="101"/>
      <c r="M50" s="101"/>
    </row>
    <row r="51" spans="1:17" s="100" customFormat="1" thickBot="1">
      <c r="A51" s="109"/>
      <c r="B51" s="109"/>
      <c r="C51" s="110"/>
      <c r="D51" s="110"/>
      <c r="E51" s="110"/>
      <c r="F51" s="110"/>
      <c r="G51" s="110"/>
      <c r="H51" s="110"/>
      <c r="I51" s="110"/>
      <c r="J51" s="101"/>
      <c r="K51" s="101"/>
      <c r="L51" s="101"/>
      <c r="M51" s="101"/>
    </row>
    <row r="52" spans="1:17" s="109" customFormat="1" ht="13.5" thickBot="1">
      <c r="B52" s="154"/>
      <c r="C52" s="592" t="s">
        <v>475</v>
      </c>
      <c r="D52" s="593"/>
      <c r="E52" s="594"/>
      <c r="F52" s="600" t="s">
        <v>476</v>
      </c>
      <c r="G52" s="601"/>
      <c r="H52" s="602" t="s">
        <v>477</v>
      </c>
      <c r="I52" s="603"/>
      <c r="J52" s="594"/>
      <c r="K52" s="110"/>
      <c r="L52" s="110"/>
      <c r="M52" s="110"/>
      <c r="N52" s="110"/>
      <c r="O52" s="110"/>
    </row>
    <row r="53" spans="1:17" s="109" customFormat="1" ht="39" thickBot="1">
      <c r="B53" s="595" t="s">
        <v>478</v>
      </c>
      <c r="C53" s="596" t="s">
        <v>364</v>
      </c>
      <c r="D53" s="597" t="s">
        <v>365</v>
      </c>
      <c r="E53" s="598" t="s">
        <v>745</v>
      </c>
      <c r="F53" s="599" t="s">
        <v>488</v>
      </c>
      <c r="G53" s="622" t="s">
        <v>489</v>
      </c>
      <c r="H53" s="623" t="s">
        <v>488</v>
      </c>
      <c r="I53" s="624" t="s">
        <v>489</v>
      </c>
      <c r="J53" s="625" t="s">
        <v>745</v>
      </c>
      <c r="K53" s="110"/>
      <c r="L53" s="110"/>
      <c r="M53" s="110"/>
      <c r="N53" s="110"/>
      <c r="O53" s="110"/>
    </row>
    <row r="54" spans="1:17" s="100" customFormat="1" ht="15">
      <c r="B54" s="754" t="s">
        <v>479</v>
      </c>
      <c r="C54" s="755">
        <f>C57*Cenovnik!$F$3</f>
        <v>0</v>
      </c>
      <c r="D54" s="756">
        <f>D57*Cenovnik!$F$3</f>
        <v>0</v>
      </c>
      <c r="E54" s="757">
        <f>E57*Cenovnik!$F$3</f>
        <v>0</v>
      </c>
      <c r="F54" s="758"/>
      <c r="G54" s="759"/>
      <c r="H54" s="760">
        <f>H57*Cenovnik!$F$3</f>
        <v>0</v>
      </c>
      <c r="I54" s="761">
        <f>I57*Cenovnik!$F$3</f>
        <v>0</v>
      </c>
      <c r="J54" s="762">
        <f>J57*Cenovnik!$F$3</f>
        <v>0</v>
      </c>
      <c r="K54" s="101"/>
      <c r="L54" s="101"/>
      <c r="M54" s="101"/>
      <c r="N54" s="101"/>
      <c r="O54" s="101"/>
    </row>
    <row r="55" spans="1:17" s="100" customFormat="1" ht="15">
      <c r="B55" s="763" t="s">
        <v>480</v>
      </c>
      <c r="C55" s="764" t="e">
        <f>C58*Cenovnik!$D$3</f>
        <v>#DIV/0!</v>
      </c>
      <c r="D55" s="765" t="e">
        <f>D58*Cenovnik!$D$3</f>
        <v>#DIV/0!</v>
      </c>
      <c r="E55" s="766" t="e">
        <f>E58*Cenovnik!$D$3</f>
        <v>#DIV/0!</v>
      </c>
      <c r="F55" s="767"/>
      <c r="G55" s="768"/>
      <c r="H55" s="764" t="e">
        <f>H58*Cenovnik!$D$3</f>
        <v>#DIV/0!</v>
      </c>
      <c r="I55" s="765" t="e">
        <f>I58*Cenovnik!$D$3</f>
        <v>#DIV/0!</v>
      </c>
      <c r="J55" s="766" t="e">
        <f>J58*Cenovnik!$D$3</f>
        <v>#DIV/0!</v>
      </c>
      <c r="K55" s="101"/>
      <c r="L55" s="101"/>
      <c r="M55" s="101"/>
      <c r="N55" s="101"/>
      <c r="O55" s="101"/>
    </row>
    <row r="56" spans="1:17" s="100" customFormat="1" ht="16.5" thickBot="1">
      <c r="B56" s="813" t="s">
        <v>481</v>
      </c>
      <c r="C56" s="814" t="e">
        <f>C54+C55</f>
        <v>#DIV/0!</v>
      </c>
      <c r="D56" s="815" t="e">
        <f t="shared" ref="D56:E56" si="18">D54+D55</f>
        <v>#DIV/0!</v>
      </c>
      <c r="E56" s="816" t="e">
        <f t="shared" si="18"/>
        <v>#DIV/0!</v>
      </c>
      <c r="F56" s="769"/>
      <c r="G56" s="770"/>
      <c r="H56" s="817" t="e">
        <f>H54+H55</f>
        <v>#DIV/0!</v>
      </c>
      <c r="I56" s="818" t="e">
        <f t="shared" ref="I56" si="19">I54+I55</f>
        <v>#DIV/0!</v>
      </c>
      <c r="J56" s="819" t="e">
        <f t="shared" ref="J56" si="20">J54+J55</f>
        <v>#DIV/0!</v>
      </c>
      <c r="K56" s="101"/>
      <c r="L56" s="101"/>
      <c r="M56" s="101"/>
      <c r="N56" s="101"/>
      <c r="O56" s="101"/>
    </row>
    <row r="57" spans="1:17" s="100" customFormat="1">
      <c r="B57" s="771" t="s">
        <v>484</v>
      </c>
      <c r="C57" s="772">
        <f>D15*6+L15*15</f>
        <v>0</v>
      </c>
      <c r="D57" s="773">
        <f>D15*6+L16*15</f>
        <v>0</v>
      </c>
      <c r="E57" s="774">
        <f>C57+D57</f>
        <v>0</v>
      </c>
      <c r="F57" s="820">
        <f>L127+L135</f>
        <v>0</v>
      </c>
      <c r="G57" s="821">
        <f>F57*$C$11</f>
        <v>0</v>
      </c>
      <c r="H57" s="760">
        <f>C57+F57</f>
        <v>0</v>
      </c>
      <c r="I57" s="761">
        <f t="shared" ref="I57:I58" si="21">D57+G57</f>
        <v>0</v>
      </c>
      <c r="J57" s="762">
        <f>H57+I57</f>
        <v>0</v>
      </c>
      <c r="K57" s="101"/>
      <c r="L57" s="101"/>
      <c r="M57" s="101"/>
      <c r="N57" s="101"/>
      <c r="O57" s="101"/>
    </row>
    <row r="58" spans="1:17" s="100" customFormat="1" ht="16.5" thickBot="1">
      <c r="B58" s="775" t="s">
        <v>485</v>
      </c>
      <c r="C58" s="776" t="e">
        <f>SUM(E47:J47)</f>
        <v>#DIV/0!</v>
      </c>
      <c r="D58" s="777" t="e">
        <f>SUM(K47:P47)</f>
        <v>#DIV/0!</v>
      </c>
      <c r="E58" s="778" t="e">
        <f>C58+D58</f>
        <v>#DIV/0!</v>
      </c>
      <c r="F58" s="822">
        <v>0</v>
      </c>
      <c r="G58" s="823" t="e">
        <f>SUM(K48:P48)</f>
        <v>#DIV/0!</v>
      </c>
      <c r="H58" s="764" t="e">
        <f>C58+F58</f>
        <v>#DIV/0!</v>
      </c>
      <c r="I58" s="765" t="e">
        <f t="shared" si="21"/>
        <v>#DIV/0!</v>
      </c>
      <c r="J58" s="766" t="e">
        <f>H58+I58</f>
        <v>#DIV/0!</v>
      </c>
      <c r="K58" s="101"/>
      <c r="L58" s="101"/>
      <c r="M58" s="101"/>
      <c r="N58" s="101"/>
      <c r="O58" s="101"/>
    </row>
    <row r="59" spans="1:17" s="100" customFormat="1">
      <c r="B59" s="824" t="s">
        <v>486</v>
      </c>
      <c r="C59" s="825">
        <f>C57/6</f>
        <v>0</v>
      </c>
      <c r="D59" s="826">
        <f>D57/6</f>
        <v>0</v>
      </c>
      <c r="E59" s="827">
        <f>E57/12</f>
        <v>0</v>
      </c>
      <c r="F59" s="779"/>
      <c r="G59" s="780"/>
      <c r="H59" s="828">
        <f>H57/12</f>
        <v>0</v>
      </c>
      <c r="I59" s="829"/>
      <c r="J59" s="830">
        <f>H59*$C$11</f>
        <v>0</v>
      </c>
      <c r="K59" s="101"/>
      <c r="L59" s="101"/>
      <c r="M59" s="101"/>
      <c r="N59" s="101"/>
      <c r="O59" s="101"/>
    </row>
    <row r="60" spans="1:17" s="100" customFormat="1">
      <c r="B60" s="831" t="s">
        <v>482</v>
      </c>
      <c r="C60" s="832" t="e">
        <f>C58/6</f>
        <v>#DIV/0!</v>
      </c>
      <c r="D60" s="833" t="e">
        <f>D58/6</f>
        <v>#DIV/0!</v>
      </c>
      <c r="E60" s="834" t="e">
        <f>E58/12</f>
        <v>#DIV/0!</v>
      </c>
      <c r="F60" s="758"/>
      <c r="G60" s="759"/>
      <c r="H60" s="832" t="e">
        <f>H58/12</f>
        <v>#DIV/0!</v>
      </c>
      <c r="I60" s="833"/>
      <c r="J60" s="834" t="e">
        <f>H60*$C$11</f>
        <v>#DIV/0!</v>
      </c>
      <c r="K60" s="101"/>
      <c r="L60" s="101"/>
      <c r="M60" s="101"/>
      <c r="N60" s="101"/>
      <c r="O60" s="101"/>
    </row>
    <row r="61" spans="1:17" s="100" customFormat="1" ht="16.5" thickBot="1">
      <c r="B61" s="835" t="s">
        <v>487</v>
      </c>
      <c r="C61" s="836" t="e">
        <f>C60+C59</f>
        <v>#DIV/0!</v>
      </c>
      <c r="D61" s="837" t="e">
        <f>D60+D59</f>
        <v>#DIV/0!</v>
      </c>
      <c r="E61" s="838" t="e">
        <f>E60+E59</f>
        <v>#DIV/0!</v>
      </c>
      <c r="F61" s="781"/>
      <c r="G61" s="782"/>
      <c r="H61" s="839" t="e">
        <f>H60+H59</f>
        <v>#DIV/0!</v>
      </c>
      <c r="I61" s="837"/>
      <c r="J61" s="838" t="e">
        <f>J60+J59</f>
        <v>#DIV/0!</v>
      </c>
      <c r="K61" s="101"/>
      <c r="L61" s="101"/>
      <c r="M61" s="101"/>
      <c r="N61" s="101"/>
      <c r="O61" s="101"/>
    </row>
    <row r="62" spans="1:17" s="100" customFormat="1">
      <c r="B62" s="783"/>
      <c r="C62" s="784"/>
      <c r="D62" s="784"/>
      <c r="E62" s="840" t="s">
        <v>483</v>
      </c>
      <c r="F62" s="841" t="e">
        <f>SUM(G57:G58)</f>
        <v>#DIV/0!</v>
      </c>
      <c r="G62" s="112"/>
      <c r="H62" s="112"/>
      <c r="I62" s="101"/>
      <c r="J62" s="101"/>
      <c r="K62" s="101"/>
      <c r="L62" s="101"/>
      <c r="M62" s="101"/>
    </row>
    <row r="65" spans="1:14">
      <c r="B65" s="572" t="s">
        <v>495</v>
      </c>
    </row>
    <row r="66" spans="1:14" ht="16.5" thickBot="1">
      <c r="B66" s="100" t="s">
        <v>502</v>
      </c>
      <c r="J66" s="1485"/>
    </row>
    <row r="67" spans="1:14" s="100" customFormat="1" ht="16.5" thickBot="1">
      <c r="C67" s="673"/>
      <c r="D67" s="674"/>
      <c r="E67" s="674"/>
      <c r="F67" s="653"/>
      <c r="G67" s="674"/>
      <c r="H67" s="674"/>
      <c r="I67" s="1487" t="s">
        <v>463</v>
      </c>
      <c r="J67" s="1485"/>
      <c r="K67" s="1481"/>
      <c r="L67" s="1481"/>
      <c r="M67" s="1481"/>
      <c r="N67" s="1482"/>
    </row>
    <row r="68" spans="1:14" s="100" customFormat="1" ht="18.75" thickBot="1">
      <c r="A68" s="676">
        <v>3</v>
      </c>
      <c r="B68" s="677" t="s">
        <v>56</v>
      </c>
      <c r="C68" s="579"/>
      <c r="D68" s="580"/>
      <c r="E68" s="580"/>
      <c r="F68" s="580"/>
      <c r="G68" s="580"/>
      <c r="H68" s="580"/>
      <c r="I68" s="580"/>
      <c r="J68" s="1486"/>
      <c r="K68" s="580"/>
      <c r="L68" s="580"/>
      <c r="M68" s="580"/>
      <c r="N68" s="581"/>
    </row>
    <row r="69" spans="1:14" s="100" customFormat="1" ht="15">
      <c r="A69" s="198">
        <v>1</v>
      </c>
      <c r="B69" s="301" t="s">
        <v>448</v>
      </c>
      <c r="C69" s="635"/>
      <c r="D69" s="635"/>
      <c r="E69" s="635"/>
      <c r="F69" s="635"/>
      <c r="G69" s="635"/>
      <c r="H69" s="635"/>
      <c r="I69" s="635"/>
      <c r="J69" s="635"/>
      <c r="K69" s="635"/>
      <c r="L69" s="635"/>
      <c r="M69" s="635"/>
      <c r="N69" s="678"/>
    </row>
    <row r="70" spans="1:14" s="100" customFormat="1" ht="15">
      <c r="A70" s="203">
        <v>2</v>
      </c>
      <c r="B70" s="105" t="s">
        <v>449</v>
      </c>
      <c r="C70" s="569"/>
      <c r="D70" s="569"/>
      <c r="E70" s="569"/>
      <c r="F70" s="569"/>
      <c r="G70" s="569"/>
      <c r="H70" s="569"/>
      <c r="I70" s="569"/>
      <c r="J70" s="569"/>
      <c r="K70" s="569"/>
      <c r="L70" s="569"/>
      <c r="M70" s="569"/>
      <c r="N70" s="571"/>
    </row>
    <row r="71" spans="1:14" s="100" customFormat="1" ht="15">
      <c r="A71" s="203">
        <v>3</v>
      </c>
      <c r="B71" s="105" t="s">
        <v>450</v>
      </c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71"/>
    </row>
    <row r="72" spans="1:14" s="100" customFormat="1" ht="15">
      <c r="A72" s="203">
        <v>4</v>
      </c>
      <c r="B72" s="105" t="s">
        <v>451</v>
      </c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71"/>
    </row>
    <row r="73" spans="1:14" s="100" customFormat="1" ht="15">
      <c r="A73" s="203">
        <v>5</v>
      </c>
      <c r="B73" s="105" t="s">
        <v>452</v>
      </c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71"/>
    </row>
    <row r="74" spans="1:14" s="100" customFormat="1" ht="15">
      <c r="A74" s="203">
        <v>6</v>
      </c>
      <c r="B74" s="105" t="s">
        <v>453</v>
      </c>
      <c r="C74" s="569"/>
      <c r="D74" s="569"/>
      <c r="E74" s="569"/>
      <c r="F74" s="569"/>
      <c r="G74" s="569"/>
      <c r="H74" s="569"/>
      <c r="I74" s="569"/>
      <c r="J74" s="569"/>
      <c r="K74" s="569"/>
      <c r="L74" s="569"/>
      <c r="M74" s="569"/>
      <c r="N74" s="571"/>
    </row>
    <row r="75" spans="1:14" s="100" customFormat="1" ht="15">
      <c r="A75" s="203">
        <v>7</v>
      </c>
      <c r="B75" s="105" t="s">
        <v>454</v>
      </c>
      <c r="C75" s="569"/>
      <c r="D75" s="569"/>
      <c r="E75" s="569"/>
      <c r="F75" s="569"/>
      <c r="G75" s="569"/>
      <c r="H75" s="569"/>
      <c r="I75" s="569"/>
      <c r="J75" s="569"/>
      <c r="K75" s="569"/>
      <c r="L75" s="569"/>
      <c r="M75" s="569"/>
      <c r="N75" s="571"/>
    </row>
    <row r="76" spans="1:14" s="100" customFormat="1" ht="15">
      <c r="A76" s="203">
        <v>8</v>
      </c>
      <c r="B76" s="105" t="s">
        <v>455</v>
      </c>
      <c r="C76" s="569"/>
      <c r="D76" s="569"/>
      <c r="E76" s="569"/>
      <c r="F76" s="569"/>
      <c r="G76" s="569"/>
      <c r="H76" s="569"/>
      <c r="I76" s="569"/>
      <c r="J76" s="569"/>
      <c r="K76" s="569"/>
      <c r="L76" s="569"/>
      <c r="M76" s="569"/>
      <c r="N76" s="571"/>
    </row>
    <row r="77" spans="1:14" s="100" customFormat="1" ht="15">
      <c r="A77" s="203">
        <v>9</v>
      </c>
      <c r="B77" s="105" t="s">
        <v>456</v>
      </c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71"/>
    </row>
    <row r="78" spans="1:14" s="100" customFormat="1" ht="15">
      <c r="A78" s="203">
        <v>10</v>
      </c>
      <c r="B78" s="105" t="s">
        <v>457</v>
      </c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71"/>
    </row>
    <row r="79" spans="1:14" s="100" customFormat="1" ht="15">
      <c r="A79" s="203">
        <v>11</v>
      </c>
      <c r="B79" s="105" t="s">
        <v>458</v>
      </c>
      <c r="C79" s="569"/>
      <c r="D79" s="569"/>
      <c r="E79" s="569"/>
      <c r="F79" s="569"/>
      <c r="G79" s="569"/>
      <c r="H79" s="569"/>
      <c r="I79" s="569"/>
      <c r="J79" s="569"/>
      <c r="K79" s="569"/>
      <c r="L79" s="569"/>
      <c r="M79" s="569"/>
      <c r="N79" s="571"/>
    </row>
    <row r="80" spans="1:14" s="100" customFormat="1" ht="15">
      <c r="A80" s="203">
        <v>12</v>
      </c>
      <c r="B80" s="105" t="s">
        <v>459</v>
      </c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71"/>
    </row>
    <row r="81" spans="1:14" s="100" customFormat="1" ht="15">
      <c r="A81" s="203">
        <v>13</v>
      </c>
      <c r="B81" s="105" t="s">
        <v>460</v>
      </c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71"/>
    </row>
    <row r="82" spans="1:14" s="100" customFormat="1" ht="15">
      <c r="A82" s="203">
        <v>14</v>
      </c>
      <c r="B82" s="105" t="s">
        <v>461</v>
      </c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71"/>
    </row>
    <row r="83" spans="1:14" s="100" customFormat="1" thickBot="1">
      <c r="A83" s="207">
        <v>15</v>
      </c>
      <c r="B83" s="236" t="s">
        <v>462</v>
      </c>
      <c r="C83" s="679"/>
      <c r="D83" s="679"/>
      <c r="E83" s="679"/>
      <c r="F83" s="679"/>
      <c r="G83" s="679"/>
      <c r="H83" s="679"/>
      <c r="I83" s="679"/>
      <c r="J83" s="679"/>
      <c r="K83" s="679"/>
      <c r="L83" s="679"/>
      <c r="M83" s="679"/>
      <c r="N83" s="680"/>
    </row>
    <row r="84" spans="1:14" s="100" customFormat="1" ht="16.5" thickBot="1">
      <c r="A84" s="101"/>
      <c r="B84" s="574" t="s">
        <v>464</v>
      </c>
      <c r="C84" s="681">
        <f>SUM(C69:C83)/15</f>
        <v>0</v>
      </c>
      <c r="D84" s="681">
        <f t="shared" ref="D84:N84" si="22">SUM(D69:D83)/15</f>
        <v>0</v>
      </c>
      <c r="E84" s="681">
        <f t="shared" si="22"/>
        <v>0</v>
      </c>
      <c r="F84" s="681">
        <f t="shared" si="22"/>
        <v>0</v>
      </c>
      <c r="G84" s="681">
        <f t="shared" si="22"/>
        <v>0</v>
      </c>
      <c r="H84" s="681">
        <f t="shared" si="22"/>
        <v>0</v>
      </c>
      <c r="I84" s="681">
        <f t="shared" si="22"/>
        <v>0</v>
      </c>
      <c r="J84" s="681">
        <f t="shared" si="22"/>
        <v>0</v>
      </c>
      <c r="K84" s="681">
        <f t="shared" si="22"/>
        <v>0</v>
      </c>
      <c r="L84" s="681">
        <f t="shared" si="22"/>
        <v>0</v>
      </c>
      <c r="M84" s="681">
        <f t="shared" si="22"/>
        <v>0</v>
      </c>
      <c r="N84" s="681">
        <f t="shared" si="22"/>
        <v>0</v>
      </c>
    </row>
    <row r="85" spans="1:14" s="100" customFormat="1" ht="16.5" thickBot="1">
      <c r="A85" s="682">
        <v>8</v>
      </c>
      <c r="B85" s="683" t="s">
        <v>465</v>
      </c>
      <c r="C85" s="684">
        <f>IF(C84&gt;=90%,Cenovnik!$D$65, IF(C84&gt;=50%, Cenovnik!$D$64, IF(C84&gt;=20%,Cenovnik!$D$63,IF(C84&gt;=5%,1,0))))</f>
        <v>0</v>
      </c>
      <c r="D85" s="684">
        <f>IF(D84&gt;=90%,Cenovnik!$D$65, IF(D84&gt;=50%, Cenovnik!$D$64, IF(D84&gt;=20%,Cenovnik!$D$63,IF(D84&gt;=5%,1,0))))</f>
        <v>0</v>
      </c>
      <c r="E85" s="684">
        <f>IF(E84&gt;=90%,Cenovnik!$D$65, IF(E84&gt;=50%, Cenovnik!$D$64, IF(E84&gt;=20%,Cenovnik!$D$63,IF(E84&gt;=5%,1,0))))</f>
        <v>0</v>
      </c>
      <c r="F85" s="684">
        <f>IF(F84&gt;=90%,Cenovnik!$D$65, IF(F84&gt;=50%, Cenovnik!$D$64, IF(F84&gt;=20%,Cenovnik!$D$63,IF(F84&gt;=5%,1,0))))</f>
        <v>0</v>
      </c>
      <c r="G85" s="684">
        <f>IF(G84&gt;=90%,Cenovnik!$D$65, IF(G84&gt;=50%, Cenovnik!$D$64, IF(G84&gt;=20%,Cenovnik!$D$63,IF(G84&gt;=5%,1,0))))</f>
        <v>0</v>
      </c>
      <c r="H85" s="684">
        <f>IF(H84&gt;=90%,Cenovnik!$D$65, IF(H84&gt;=50%, Cenovnik!$D$64, IF(H84&gt;=20%,Cenovnik!$D$63,IF(H84&gt;=5%,1,0))))</f>
        <v>0</v>
      </c>
      <c r="I85" s="684">
        <f>IF(I84&gt;=90%,Cenovnik!$D$65, IF(I84&gt;=50%, Cenovnik!$D$64, IF(I84&gt;=20%,Cenovnik!$D$63,IF(I84&gt;=5%,1,0))))</f>
        <v>0</v>
      </c>
      <c r="J85" s="684">
        <f>IF(J84&gt;=90%,Cenovnik!$D$65, IF(J84&gt;=50%, Cenovnik!$D$64, IF(J84&gt;=20%,Cenovnik!$D$63,IF(J84&gt;=5%,1,0))))</f>
        <v>0</v>
      </c>
      <c r="K85" s="684">
        <f>IF(K84&gt;=90%,Cenovnik!$D$65, IF(K84&gt;=50%, Cenovnik!$D$64, IF(K84&gt;=20%,Cenovnik!$D$63,IF(K84&gt;=5%,1,0))))</f>
        <v>0</v>
      </c>
      <c r="L85" s="684">
        <f>IF(L84&gt;=90%,Cenovnik!$D$65, IF(L84&gt;=50%, Cenovnik!$D$64, IF(L84&gt;=20%,Cenovnik!$D$63,IF(L84&gt;=5%,1,0))))</f>
        <v>0</v>
      </c>
      <c r="M85" s="684">
        <f>IF(M84&gt;=90%,Cenovnik!$D$65, IF(M84&gt;=50%, Cenovnik!$D$64, IF(M84&gt;=20%,Cenovnik!$D$63,IF(M84&gt;=5%,1,0))))</f>
        <v>0</v>
      </c>
      <c r="N85" s="684">
        <f>IF(N84&gt;=90%,Cenovnik!$D$65, IF(N84&gt;=50%, Cenovnik!$D$64, IF(N84&gt;=20%,Cenovnik!$D$63,IF(N84&gt;=5%,1,0))))</f>
        <v>0</v>
      </c>
    </row>
    <row r="86" spans="1:14">
      <c r="A86"/>
      <c r="B86"/>
      <c r="C86" s="4"/>
      <c r="D86" s="4"/>
      <c r="E86" s="4"/>
      <c r="F86" s="4"/>
      <c r="G86" s="4"/>
      <c r="H86" s="4"/>
      <c r="I86" s="4"/>
      <c r="J86" s="4"/>
      <c r="K86"/>
      <c r="L86"/>
      <c r="M86"/>
    </row>
    <row r="87" spans="1:14" s="100" customFormat="1" ht="15">
      <c r="C87" s="101"/>
      <c r="D87" s="101"/>
      <c r="E87" s="101"/>
      <c r="F87" s="101"/>
      <c r="G87" s="101"/>
      <c r="H87" s="101"/>
      <c r="I87" s="101"/>
      <c r="J87" s="101"/>
    </row>
    <row r="88" spans="1:14" ht="16.5" thickBot="1">
      <c r="A88"/>
      <c r="B88"/>
      <c r="C88" s="4"/>
      <c r="D88" s="4"/>
      <c r="E88" s="4"/>
      <c r="F88" s="4"/>
      <c r="G88" s="4"/>
      <c r="H88" s="4"/>
      <c r="I88" s="4"/>
      <c r="J88" s="4"/>
      <c r="K88" s="1480"/>
      <c r="L88"/>
      <c r="M88"/>
    </row>
    <row r="89" spans="1:14" s="112" customFormat="1" ht="16.5" thickBot="1">
      <c r="A89" s="113"/>
      <c r="B89" s="533" t="s">
        <v>346</v>
      </c>
      <c r="C89" s="1460"/>
      <c r="D89" s="653"/>
      <c r="E89" s="653"/>
      <c r="F89" s="654"/>
      <c r="G89" s="653"/>
      <c r="H89" s="653" t="s">
        <v>345</v>
      </c>
      <c r="I89" s="653"/>
      <c r="J89" s="653"/>
      <c r="K89" s="1479"/>
      <c r="L89" s="1476"/>
      <c r="M89" s="1476"/>
      <c r="N89" s="1477"/>
    </row>
    <row r="90" spans="1:14" s="100" customFormat="1" ht="16.5" thickBot="1">
      <c r="A90" s="389">
        <v>8</v>
      </c>
      <c r="B90" s="586" t="s">
        <v>497</v>
      </c>
      <c r="C90" s="575"/>
      <c r="D90" s="534"/>
      <c r="E90" s="534"/>
      <c r="F90" s="534"/>
      <c r="G90" s="534"/>
      <c r="H90" s="534"/>
      <c r="I90" s="534"/>
      <c r="J90" s="534"/>
      <c r="K90" s="1478"/>
      <c r="L90" s="534"/>
      <c r="M90" s="534"/>
      <c r="N90" s="576"/>
    </row>
    <row r="91" spans="1:14" s="100" customFormat="1" ht="27.95" customHeight="1">
      <c r="A91" s="535" t="s">
        <v>1</v>
      </c>
      <c r="B91" s="666" t="s">
        <v>16</v>
      </c>
      <c r="C91" s="668"/>
      <c r="D91" s="668"/>
      <c r="E91" s="668"/>
      <c r="F91" s="668"/>
      <c r="G91" s="668"/>
      <c r="H91" s="668"/>
      <c r="I91" s="668"/>
      <c r="J91" s="668"/>
      <c r="K91" s="668"/>
      <c r="L91" s="668"/>
      <c r="M91" s="668"/>
      <c r="N91" s="669"/>
    </row>
    <row r="92" spans="1:14" s="100" customFormat="1" ht="27.95" customHeight="1">
      <c r="A92" s="535" t="s">
        <v>2</v>
      </c>
      <c r="B92" s="666" t="s">
        <v>17</v>
      </c>
      <c r="C92" s="668"/>
      <c r="D92" s="668"/>
      <c r="E92" s="668"/>
      <c r="F92" s="668"/>
      <c r="G92" s="668"/>
      <c r="H92" s="668"/>
      <c r="I92" s="668"/>
      <c r="J92" s="668"/>
      <c r="K92" s="668"/>
      <c r="L92" s="668"/>
      <c r="M92" s="668"/>
      <c r="N92" s="669"/>
    </row>
    <row r="93" spans="1:14" s="100" customFormat="1" ht="27.95" customHeight="1">
      <c r="A93" s="535" t="s">
        <v>3</v>
      </c>
      <c r="B93" s="666" t="s">
        <v>18</v>
      </c>
      <c r="C93" s="668"/>
      <c r="D93" s="668"/>
      <c r="E93" s="668"/>
      <c r="F93" s="668"/>
      <c r="G93" s="668"/>
      <c r="H93" s="668"/>
      <c r="I93" s="668"/>
      <c r="J93" s="668"/>
      <c r="K93" s="668"/>
      <c r="L93" s="668"/>
      <c r="M93" s="668"/>
      <c r="N93" s="669"/>
    </row>
    <row r="94" spans="1:14" s="100" customFormat="1" ht="27.95" customHeight="1">
      <c r="A94" s="535" t="s">
        <v>4</v>
      </c>
      <c r="B94" s="666" t="s">
        <v>34</v>
      </c>
      <c r="C94" s="668"/>
      <c r="D94" s="668"/>
      <c r="E94" s="668"/>
      <c r="F94" s="668"/>
      <c r="G94" s="668"/>
      <c r="H94" s="668"/>
      <c r="I94" s="668"/>
      <c r="J94" s="668"/>
      <c r="K94" s="668"/>
      <c r="L94" s="668"/>
      <c r="M94" s="668"/>
      <c r="N94" s="669"/>
    </row>
    <row r="95" spans="1:14" s="100" customFormat="1" ht="27.95" customHeight="1">
      <c r="A95" s="535" t="s">
        <v>5</v>
      </c>
      <c r="B95" s="666" t="s">
        <v>19</v>
      </c>
      <c r="C95" s="668"/>
      <c r="D95" s="668"/>
      <c r="E95" s="668"/>
      <c r="F95" s="668"/>
      <c r="G95" s="668"/>
      <c r="H95" s="668"/>
      <c r="I95" s="668"/>
      <c r="J95" s="668"/>
      <c r="K95" s="668"/>
      <c r="L95" s="668"/>
      <c r="M95" s="668"/>
      <c r="N95" s="669"/>
    </row>
    <row r="96" spans="1:14" s="100" customFormat="1" ht="27.95" customHeight="1">
      <c r="A96" s="535" t="s">
        <v>6</v>
      </c>
      <c r="B96" s="666" t="s">
        <v>20</v>
      </c>
      <c r="C96" s="668"/>
      <c r="D96" s="668"/>
      <c r="E96" s="668"/>
      <c r="F96" s="668"/>
      <c r="G96" s="668"/>
      <c r="H96" s="668"/>
      <c r="I96" s="668"/>
      <c r="J96" s="668"/>
      <c r="K96" s="668"/>
      <c r="L96" s="668"/>
      <c r="M96" s="668"/>
      <c r="N96" s="669"/>
    </row>
    <row r="97" spans="1:15" s="100" customFormat="1" ht="27.95" customHeight="1">
      <c r="A97" s="535" t="s">
        <v>7</v>
      </c>
      <c r="B97" s="666" t="s">
        <v>21</v>
      </c>
      <c r="C97" s="668"/>
      <c r="D97" s="668"/>
      <c r="E97" s="668"/>
      <c r="F97" s="668"/>
      <c r="G97" s="668"/>
      <c r="H97" s="668"/>
      <c r="I97" s="668"/>
      <c r="J97" s="668"/>
      <c r="K97" s="668"/>
      <c r="L97" s="668"/>
      <c r="M97" s="668"/>
      <c r="N97" s="669"/>
    </row>
    <row r="98" spans="1:15" s="100" customFormat="1" ht="27.95" customHeight="1">
      <c r="A98" s="535" t="s">
        <v>8</v>
      </c>
      <c r="B98" s="666" t="s">
        <v>22</v>
      </c>
      <c r="C98" s="668"/>
      <c r="D98" s="668"/>
      <c r="E98" s="668"/>
      <c r="F98" s="668"/>
      <c r="G98" s="668"/>
      <c r="H98" s="668"/>
      <c r="I98" s="668"/>
      <c r="J98" s="668"/>
      <c r="K98" s="668"/>
      <c r="L98" s="668"/>
      <c r="M98" s="668"/>
      <c r="N98" s="669"/>
    </row>
    <row r="99" spans="1:15" s="100" customFormat="1" ht="27.95" customHeight="1">
      <c r="A99" s="535" t="s">
        <v>9</v>
      </c>
      <c r="B99" s="666" t="s">
        <v>23</v>
      </c>
      <c r="C99" s="668"/>
      <c r="D99" s="668"/>
      <c r="E99" s="668"/>
      <c r="F99" s="668"/>
      <c r="G99" s="668"/>
      <c r="H99" s="668"/>
      <c r="I99" s="668"/>
      <c r="J99" s="668"/>
      <c r="K99" s="668"/>
      <c r="L99" s="668"/>
      <c r="M99" s="668"/>
      <c r="N99" s="669"/>
    </row>
    <row r="100" spans="1:15" s="100" customFormat="1" ht="27.95" customHeight="1">
      <c r="A100" s="535" t="s">
        <v>10</v>
      </c>
      <c r="B100" s="666" t="s">
        <v>24</v>
      </c>
      <c r="C100" s="668"/>
      <c r="D100" s="670"/>
      <c r="E100" s="670"/>
      <c r="F100" s="670"/>
      <c r="G100" s="670"/>
      <c r="H100" s="670"/>
      <c r="I100" s="670"/>
      <c r="J100" s="670"/>
      <c r="K100" s="670"/>
      <c r="L100" s="670"/>
      <c r="M100" s="670"/>
      <c r="N100" s="669"/>
    </row>
    <row r="101" spans="1:15" s="100" customFormat="1" ht="27.95" customHeight="1">
      <c r="A101" s="535" t="s">
        <v>11</v>
      </c>
      <c r="B101" s="666" t="s">
        <v>28</v>
      </c>
      <c r="C101" s="668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69"/>
    </row>
    <row r="102" spans="1:15" s="100" customFormat="1" ht="27.95" customHeight="1">
      <c r="A102" s="535" t="s">
        <v>12</v>
      </c>
      <c r="B102" s="666" t="s">
        <v>29</v>
      </c>
      <c r="C102" s="668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69"/>
    </row>
    <row r="103" spans="1:15" s="100" customFormat="1" ht="27.95" customHeight="1">
      <c r="A103" s="535" t="s">
        <v>13</v>
      </c>
      <c r="B103" s="666" t="s">
        <v>27</v>
      </c>
      <c r="C103" s="668"/>
      <c r="D103" s="670"/>
      <c r="E103" s="670"/>
      <c r="F103" s="670"/>
      <c r="G103" s="670"/>
      <c r="H103" s="670"/>
      <c r="I103" s="670"/>
      <c r="J103" s="670"/>
      <c r="K103" s="670"/>
      <c r="L103" s="670"/>
      <c r="M103" s="670"/>
      <c r="N103" s="669"/>
    </row>
    <row r="104" spans="1:15" s="100" customFormat="1" ht="27.95" customHeight="1">
      <c r="A104" s="535" t="s">
        <v>14</v>
      </c>
      <c r="B104" s="666" t="s">
        <v>25</v>
      </c>
      <c r="C104" s="668"/>
      <c r="D104" s="668"/>
      <c r="E104" s="668"/>
      <c r="F104" s="668"/>
      <c r="G104" s="668"/>
      <c r="H104" s="668"/>
      <c r="I104" s="668"/>
      <c r="J104" s="668"/>
      <c r="K104" s="668"/>
      <c r="L104" s="668"/>
      <c r="M104" s="668"/>
      <c r="N104" s="669"/>
    </row>
    <row r="105" spans="1:15" s="100" customFormat="1" ht="27.95" customHeight="1">
      <c r="A105" s="536" t="s">
        <v>15</v>
      </c>
      <c r="B105" s="666" t="s">
        <v>26</v>
      </c>
      <c r="C105" s="668"/>
      <c r="D105" s="668"/>
      <c r="E105" s="668"/>
      <c r="F105" s="668"/>
      <c r="G105" s="668"/>
      <c r="H105" s="668"/>
      <c r="I105" s="668"/>
      <c r="J105" s="668"/>
      <c r="K105" s="668"/>
      <c r="L105" s="668"/>
      <c r="M105" s="668"/>
      <c r="N105" s="669"/>
    </row>
    <row r="106" spans="1:15" s="100" customFormat="1" ht="27.95" customHeight="1">
      <c r="A106" s="536" t="s">
        <v>30</v>
      </c>
      <c r="B106" s="666" t="s">
        <v>347</v>
      </c>
      <c r="C106" s="668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69"/>
    </row>
    <row r="107" spans="1:15" s="100" customFormat="1" ht="27.95" customHeight="1">
      <c r="A107" s="536" t="s">
        <v>32</v>
      </c>
      <c r="B107" s="666" t="s">
        <v>348</v>
      </c>
      <c r="C107" s="668"/>
      <c r="D107" s="670"/>
      <c r="E107" s="670"/>
      <c r="F107" s="670"/>
      <c r="G107" s="670"/>
      <c r="H107" s="670"/>
      <c r="I107" s="670"/>
      <c r="J107" s="670"/>
      <c r="K107" s="670"/>
      <c r="L107" s="670"/>
      <c r="M107" s="670"/>
      <c r="N107" s="669"/>
    </row>
    <row r="108" spans="1:15" s="100" customFormat="1" ht="39.950000000000003" customHeight="1">
      <c r="A108" s="536" t="s">
        <v>35</v>
      </c>
      <c r="B108" s="666" t="s">
        <v>349</v>
      </c>
      <c r="C108" s="668"/>
      <c r="D108" s="670"/>
      <c r="E108" s="670"/>
      <c r="F108" s="670"/>
      <c r="G108" s="670"/>
      <c r="H108" s="670"/>
      <c r="I108" s="670"/>
      <c r="J108" s="670"/>
      <c r="K108" s="670"/>
      <c r="L108" s="670"/>
      <c r="M108" s="670"/>
      <c r="N108" s="669"/>
    </row>
    <row r="109" spans="1:15" s="100" customFormat="1" ht="27.95" customHeight="1">
      <c r="A109" s="536" t="s">
        <v>37</v>
      </c>
      <c r="B109" s="666" t="s">
        <v>350</v>
      </c>
      <c r="C109" s="668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69"/>
    </row>
    <row r="110" spans="1:15" s="100" customFormat="1" ht="27.95" customHeight="1" thickBot="1">
      <c r="A110" s="537" t="s">
        <v>39</v>
      </c>
      <c r="B110" s="667" t="s">
        <v>351</v>
      </c>
      <c r="C110" s="668"/>
      <c r="D110" s="671"/>
      <c r="E110" s="671"/>
      <c r="F110" s="671"/>
      <c r="G110" s="671"/>
      <c r="H110" s="671"/>
      <c r="I110" s="671"/>
      <c r="J110" s="671"/>
      <c r="K110" s="671"/>
      <c r="L110" s="671"/>
      <c r="M110" s="671"/>
      <c r="N110" s="672"/>
      <c r="O110" s="1475"/>
    </row>
    <row r="111" spans="1:15" s="100" customFormat="1" ht="27.95" customHeight="1">
      <c r="A111" s="538"/>
      <c r="B111" s="539" t="s">
        <v>352</v>
      </c>
      <c r="C111" s="540">
        <f>(0.95*SUM(C91:C110)+C100)/20</f>
        <v>0</v>
      </c>
      <c r="D111" s="540">
        <f t="shared" ref="D111:N111" si="23">(0.95*SUM(D91:D110)+D100)/20</f>
        <v>0</v>
      </c>
      <c r="E111" s="540">
        <f t="shared" si="23"/>
        <v>0</v>
      </c>
      <c r="F111" s="540">
        <f t="shared" si="23"/>
        <v>0</v>
      </c>
      <c r="G111" s="540">
        <f t="shared" si="23"/>
        <v>0</v>
      </c>
      <c r="H111" s="540">
        <f t="shared" si="23"/>
        <v>0</v>
      </c>
      <c r="I111" s="540">
        <f t="shared" si="23"/>
        <v>0</v>
      </c>
      <c r="J111" s="540">
        <f t="shared" si="23"/>
        <v>0</v>
      </c>
      <c r="K111" s="540">
        <f t="shared" si="23"/>
        <v>0</v>
      </c>
      <c r="L111" s="540">
        <f t="shared" si="23"/>
        <v>0</v>
      </c>
      <c r="M111" s="540">
        <f t="shared" si="23"/>
        <v>0</v>
      </c>
      <c r="N111" s="540">
        <f t="shared" si="23"/>
        <v>0</v>
      </c>
      <c r="O111" s="1475"/>
    </row>
    <row r="112" spans="1:15" s="100" customFormat="1" ht="27.95" customHeight="1">
      <c r="A112" s="536"/>
      <c r="B112" s="542" t="s">
        <v>353</v>
      </c>
      <c r="C112" s="543">
        <f>C111</f>
        <v>0</v>
      </c>
      <c r="D112" s="543">
        <f t="shared" ref="D112:M112" si="24">D111</f>
        <v>0</v>
      </c>
      <c r="E112" s="543">
        <f t="shared" si="24"/>
        <v>0</v>
      </c>
      <c r="F112" s="543">
        <f t="shared" si="24"/>
        <v>0</v>
      </c>
      <c r="G112" s="543">
        <f t="shared" si="24"/>
        <v>0</v>
      </c>
      <c r="H112" s="543">
        <f t="shared" si="24"/>
        <v>0</v>
      </c>
      <c r="I112" s="543">
        <f t="shared" si="24"/>
        <v>0</v>
      </c>
      <c r="J112" s="543">
        <f t="shared" si="24"/>
        <v>0</v>
      </c>
      <c r="K112" s="543">
        <f t="shared" si="24"/>
        <v>0</v>
      </c>
      <c r="L112" s="543">
        <f t="shared" si="24"/>
        <v>0</v>
      </c>
      <c r="M112" s="543">
        <f t="shared" si="24"/>
        <v>0</v>
      </c>
      <c r="N112" s="543">
        <f>N111</f>
        <v>0</v>
      </c>
      <c r="O112" s="1475"/>
    </row>
    <row r="113" spans="1:40" s="100" customFormat="1" ht="27.95" customHeight="1" thickBot="1">
      <c r="A113" s="544">
        <v>8</v>
      </c>
      <c r="B113" s="545" t="s">
        <v>498</v>
      </c>
      <c r="C113" s="546">
        <f>IF(C112&gt;=4.5,Cenovnik!$D$97,  IF(C112&gt;=3.5,Cenovnik!$D$98,  IF(C112&gt;=2.5,Cenovnik!$D$99, IF(C112&gt;=1.5,Cenovnik!$D$100,Cenovnik!$D$101))))</f>
        <v>0</v>
      </c>
      <c r="D113" s="546">
        <f>IF(D112&gt;=4.5,Cenovnik!$D$97,  IF(D112&gt;=3.5,Cenovnik!$D$98,  IF(D112&gt;=2.5,Cenovnik!$D$99, IF(D112&gt;=1.5,Cenovnik!$D$100,Cenovnik!$D$101))))</f>
        <v>0</v>
      </c>
      <c r="E113" s="546">
        <f>IF(E112&gt;=4.5,Cenovnik!$D$97,  IF(E112&gt;=3.5,Cenovnik!$D$98,  IF(E112&gt;=2.5,Cenovnik!$D$99, IF(E112&gt;=1.5,Cenovnik!$D$100,Cenovnik!$D$101))))</f>
        <v>0</v>
      </c>
      <c r="F113" s="546">
        <f>IF(F112&gt;=4.5,Cenovnik!$D$97,  IF(F112&gt;=3.5,Cenovnik!$D$98,  IF(F112&gt;=2.5,Cenovnik!$D$99, IF(F112&gt;=1.5,Cenovnik!$D$100,Cenovnik!$D$101))))</f>
        <v>0</v>
      </c>
      <c r="G113" s="546">
        <f>IF(G112&gt;=4.5,Cenovnik!$D$97,  IF(G112&gt;=3.5,Cenovnik!$D$98,  IF(G112&gt;=2.5,Cenovnik!$D$99, IF(G112&gt;=1.5,Cenovnik!$D$100,Cenovnik!$D$101))))</f>
        <v>0</v>
      </c>
      <c r="H113" s="546">
        <f>IF(H112&gt;=4.5,Cenovnik!$D$97,  IF(H112&gt;=3.5,Cenovnik!$D$98,  IF(H112&gt;=2.5,Cenovnik!$D$99, IF(H112&gt;=1.5,Cenovnik!$D$100,Cenovnik!$D$101))))</f>
        <v>0</v>
      </c>
      <c r="I113" s="546">
        <f>IF(I112&gt;=4.5,Cenovnik!$D$97,  IF(I112&gt;=3.5,Cenovnik!$D$98,  IF(I112&gt;=2.5,Cenovnik!$D$99, IF(I112&gt;=1.5,Cenovnik!$D$100,Cenovnik!$D$101))))</f>
        <v>0</v>
      </c>
      <c r="J113" s="546">
        <f>IF(J112&gt;=4.5,Cenovnik!$D$97,  IF(J112&gt;=3.5,Cenovnik!$D$98,  IF(J112&gt;=2.5,Cenovnik!$D$99, IF(J112&gt;=1.5,Cenovnik!$D$100,Cenovnik!$D$101))))</f>
        <v>0</v>
      </c>
      <c r="K113" s="546">
        <f>IF(K112&gt;=4.5,Cenovnik!$D$97,  IF(K112&gt;=3.5,Cenovnik!$D$98,  IF(K112&gt;=2.5,Cenovnik!$D$99, IF(K112&gt;=1.5,Cenovnik!$D$100,Cenovnik!$D$101))))</f>
        <v>0</v>
      </c>
      <c r="L113" s="546">
        <f>IF(L112&gt;=4.5,Cenovnik!$D$97,  IF(L112&gt;=3.5,Cenovnik!$D$98,  IF(L112&gt;=2.5,Cenovnik!$D$99, IF(L112&gt;=1.5,Cenovnik!$D$100,Cenovnik!$D$101))))</f>
        <v>0</v>
      </c>
      <c r="M113" s="546">
        <f>IF(M112&gt;=4.5,Cenovnik!$D$97,  IF(M112&gt;=3.5,Cenovnik!$D$98,  IF(M112&gt;=2.5,Cenovnik!$D$99, IF(M112&gt;=1.5,Cenovnik!$D$100,Cenovnik!$D$101))))</f>
        <v>0</v>
      </c>
      <c r="N113" s="546">
        <f>IF(N112&gt;=4.5,Cenovnik!$D$97,  IF(N112&gt;=3.5,Cenovnik!$D$98,  IF(N112&gt;=2.5,Cenovnik!$D$99, IF(N112&gt;=1.5,Cenovnik!$D$100,Cenovnik!$D$101))))</f>
        <v>0</v>
      </c>
      <c r="O113" s="1475"/>
    </row>
    <row r="114" spans="1:40" s="100" customFormat="1" ht="15">
      <c r="A114" s="113"/>
      <c r="C114" s="101"/>
      <c r="D114" s="101"/>
      <c r="E114" s="101"/>
      <c r="F114" s="101"/>
      <c r="G114" s="101"/>
      <c r="H114" s="101"/>
      <c r="I114" s="101"/>
      <c r="J114" s="113"/>
    </row>
    <row r="115" spans="1:40" ht="18.75" thickBot="1">
      <c r="B115" s="652" t="s">
        <v>496</v>
      </c>
      <c r="J115" s="1485"/>
    </row>
    <row r="116" spans="1:40" s="100" customFormat="1" ht="16.5" thickBot="1">
      <c r="B116" s="547" t="s">
        <v>178</v>
      </c>
      <c r="C116" s="646"/>
      <c r="D116" s="647"/>
      <c r="E116" s="647"/>
      <c r="F116" s="648"/>
      <c r="G116" s="647"/>
      <c r="H116" s="647" t="s">
        <v>159</v>
      </c>
      <c r="I116" s="647"/>
      <c r="J116" s="1484"/>
      <c r="K116" s="674"/>
      <c r="L116" s="674"/>
      <c r="M116" s="1481"/>
      <c r="N116" s="1482"/>
    </row>
    <row r="117" spans="1:40" s="112" customFormat="1" ht="27.95" customHeight="1">
      <c r="A117" s="551"/>
      <c r="B117" s="663" t="s">
        <v>180</v>
      </c>
      <c r="C117" s="644"/>
      <c r="D117" s="644"/>
      <c r="E117" s="644"/>
      <c r="F117" s="644"/>
      <c r="G117" s="644"/>
      <c r="H117" s="644"/>
      <c r="I117" s="644"/>
      <c r="J117" s="1483"/>
      <c r="K117" s="644"/>
      <c r="L117" s="644"/>
      <c r="M117" s="644"/>
      <c r="N117" s="645"/>
      <c r="O117" s="553" t="s">
        <v>184</v>
      </c>
      <c r="P117" s="553" t="s">
        <v>185</v>
      </c>
    </row>
    <row r="118" spans="1:40" s="100" customFormat="1" ht="15">
      <c r="A118" s="649">
        <v>4</v>
      </c>
      <c r="B118" s="650" t="s">
        <v>466</v>
      </c>
      <c r="C118" s="119" t="e">
        <f t="shared" ref="C118:N118" si="25">C132</f>
        <v>#DIV/0!</v>
      </c>
      <c r="D118" s="119" t="e">
        <f t="shared" si="25"/>
        <v>#DIV/0!</v>
      </c>
      <c r="E118" s="119" t="e">
        <f t="shared" si="25"/>
        <v>#DIV/0!</v>
      </c>
      <c r="F118" s="119" t="e">
        <f t="shared" si="25"/>
        <v>#DIV/0!</v>
      </c>
      <c r="G118" s="119" t="e">
        <f t="shared" si="25"/>
        <v>#DIV/0!</v>
      </c>
      <c r="H118" s="119" t="e">
        <f t="shared" si="25"/>
        <v>#DIV/0!</v>
      </c>
      <c r="I118" s="119" t="e">
        <f t="shared" si="25"/>
        <v>#DIV/0!</v>
      </c>
      <c r="J118" s="119" t="e">
        <f t="shared" si="25"/>
        <v>#DIV/0!</v>
      </c>
      <c r="K118" s="119" t="e">
        <f t="shared" si="25"/>
        <v>#DIV/0!</v>
      </c>
      <c r="L118" s="119" t="e">
        <f t="shared" si="25"/>
        <v>#DIV/0!</v>
      </c>
      <c r="M118" s="119" t="e">
        <f t="shared" si="25"/>
        <v>#DIV/0!</v>
      </c>
      <c r="N118" s="119" t="e">
        <f t="shared" si="25"/>
        <v>#VALUE!</v>
      </c>
      <c r="O118" s="549">
        <v>0.7</v>
      </c>
      <c r="P118" s="556">
        <v>1.1000000000000001</v>
      </c>
    </row>
    <row r="119" spans="1:40" s="100" customFormat="1" ht="30">
      <c r="A119" s="649">
        <v>5</v>
      </c>
      <c r="B119" s="650" t="s">
        <v>513</v>
      </c>
      <c r="C119" s="119" t="e">
        <f t="shared" ref="C119:N119" si="26">C141</f>
        <v>#DIV/0!</v>
      </c>
      <c r="D119" s="119" t="e">
        <f t="shared" si="26"/>
        <v>#DIV/0!</v>
      </c>
      <c r="E119" s="119" t="e">
        <f t="shared" si="26"/>
        <v>#DIV/0!</v>
      </c>
      <c r="F119" s="119" t="e">
        <f t="shared" si="26"/>
        <v>#DIV/0!</v>
      </c>
      <c r="G119" s="119" t="e">
        <f t="shared" si="26"/>
        <v>#DIV/0!</v>
      </c>
      <c r="H119" s="119" t="e">
        <f t="shared" si="26"/>
        <v>#DIV/0!</v>
      </c>
      <c r="I119" s="119" t="e">
        <f t="shared" si="26"/>
        <v>#DIV/0!</v>
      </c>
      <c r="J119" s="119" t="e">
        <f t="shared" si="26"/>
        <v>#DIV/0!</v>
      </c>
      <c r="K119" s="119" t="e">
        <f t="shared" si="26"/>
        <v>#DIV/0!</v>
      </c>
      <c r="L119" s="119" t="e">
        <f t="shared" si="26"/>
        <v>#DIV/0!</v>
      </c>
      <c r="M119" s="119" t="e">
        <f t="shared" si="26"/>
        <v>#DIV/0!</v>
      </c>
      <c r="N119" s="119" t="e">
        <f t="shared" si="26"/>
        <v>#DIV/0!</v>
      </c>
      <c r="O119" s="549">
        <v>0.95</v>
      </c>
      <c r="P119" s="556">
        <v>1.1499999999999999</v>
      </c>
    </row>
    <row r="120" spans="1:40" s="100" customFormat="1" ht="30">
      <c r="A120" s="649">
        <v>6</v>
      </c>
      <c r="B120" s="650" t="s">
        <v>514</v>
      </c>
      <c r="C120" s="119">
        <f t="shared" ref="C120:N120" si="27">C152</f>
        <v>0.97499999999999998</v>
      </c>
      <c r="D120" s="119">
        <f t="shared" si="27"/>
        <v>0.97499999999999998</v>
      </c>
      <c r="E120" s="119">
        <f t="shared" si="27"/>
        <v>0.97499999999999998</v>
      </c>
      <c r="F120" s="119">
        <f t="shared" si="27"/>
        <v>0.97499999999999998</v>
      </c>
      <c r="G120" s="119">
        <f t="shared" si="27"/>
        <v>0.97499999999999998</v>
      </c>
      <c r="H120" s="119">
        <f t="shared" si="27"/>
        <v>0.97499999999999998</v>
      </c>
      <c r="I120" s="119">
        <f t="shared" si="27"/>
        <v>0.97499999999999998</v>
      </c>
      <c r="J120" s="119">
        <f t="shared" si="27"/>
        <v>0.97499999999999998</v>
      </c>
      <c r="K120" s="119">
        <f t="shared" si="27"/>
        <v>0.97499999999999998</v>
      </c>
      <c r="L120" s="119">
        <f t="shared" si="27"/>
        <v>0.97499999999999998</v>
      </c>
      <c r="M120" s="119">
        <f t="shared" si="27"/>
        <v>0.97499999999999998</v>
      </c>
      <c r="N120" s="119">
        <f t="shared" si="27"/>
        <v>0.97499999999999998</v>
      </c>
      <c r="O120" s="549">
        <v>0.97499999999999998</v>
      </c>
      <c r="P120" s="556">
        <v>1.075</v>
      </c>
    </row>
    <row r="121" spans="1:40" s="100" customFormat="1" ht="30.75" thickBot="1">
      <c r="A121" s="544">
        <v>7</v>
      </c>
      <c r="B121" s="651" t="s">
        <v>515</v>
      </c>
      <c r="C121" s="120">
        <f t="shared" ref="C121:N121" si="28">C158</f>
        <v>0.97500000000000009</v>
      </c>
      <c r="D121" s="120">
        <f t="shared" si="28"/>
        <v>0.97500000000000009</v>
      </c>
      <c r="E121" s="120">
        <f t="shared" si="28"/>
        <v>0.97500000000000009</v>
      </c>
      <c r="F121" s="120">
        <f t="shared" si="28"/>
        <v>0.97500000000000009</v>
      </c>
      <c r="G121" s="120">
        <f t="shared" si="28"/>
        <v>0.97500000000000009</v>
      </c>
      <c r="H121" s="120">
        <f t="shared" si="28"/>
        <v>0.97500000000000009</v>
      </c>
      <c r="I121" s="120">
        <f t="shared" si="28"/>
        <v>0.97500000000000009</v>
      </c>
      <c r="J121" s="120">
        <f t="shared" si="28"/>
        <v>0.97500000000000009</v>
      </c>
      <c r="K121" s="120">
        <f t="shared" si="28"/>
        <v>0.97500000000000009</v>
      </c>
      <c r="L121" s="120">
        <f t="shared" si="28"/>
        <v>0.97500000000000009</v>
      </c>
      <c r="M121" s="120">
        <f t="shared" si="28"/>
        <v>0.97500000000000009</v>
      </c>
      <c r="N121" s="120">
        <f t="shared" si="28"/>
        <v>0.97500000000000009</v>
      </c>
      <c r="O121" s="550">
        <v>0.97499999999999998</v>
      </c>
      <c r="P121" s="557">
        <v>1.1000000000000001</v>
      </c>
    </row>
    <row r="122" spans="1:40" s="112" customFormat="1" ht="27.95" customHeight="1">
      <c r="B122" s="568" t="s">
        <v>355</v>
      </c>
      <c r="C122" s="560" t="e">
        <f t="shared" ref="C122:N122" si="29">C118*C119*C120*C121</f>
        <v>#DIV/0!</v>
      </c>
      <c r="D122" s="560" t="e">
        <f t="shared" si="29"/>
        <v>#DIV/0!</v>
      </c>
      <c r="E122" s="560" t="e">
        <f t="shared" si="29"/>
        <v>#DIV/0!</v>
      </c>
      <c r="F122" s="560" t="e">
        <f t="shared" si="29"/>
        <v>#DIV/0!</v>
      </c>
      <c r="G122" s="560" t="e">
        <f t="shared" si="29"/>
        <v>#DIV/0!</v>
      </c>
      <c r="H122" s="560" t="e">
        <f t="shared" si="29"/>
        <v>#DIV/0!</v>
      </c>
      <c r="I122" s="560" t="e">
        <f t="shared" si="29"/>
        <v>#DIV/0!</v>
      </c>
      <c r="J122" s="560" t="e">
        <f t="shared" si="29"/>
        <v>#DIV/0!</v>
      </c>
      <c r="K122" s="560" t="e">
        <f t="shared" si="29"/>
        <v>#DIV/0!</v>
      </c>
      <c r="L122" s="560" t="e">
        <f t="shared" si="29"/>
        <v>#DIV/0!</v>
      </c>
      <c r="M122" s="560" t="e">
        <f t="shared" si="29"/>
        <v>#DIV/0!</v>
      </c>
      <c r="N122" s="560" t="e">
        <f t="shared" si="29"/>
        <v>#VALUE!</v>
      </c>
    </row>
    <row r="123" spans="1:40" ht="16.5" thickBot="1">
      <c r="A123" s="100"/>
      <c r="B123" s="100" t="s">
        <v>500</v>
      </c>
      <c r="C123" s="101"/>
      <c r="D123" s="101"/>
      <c r="E123" s="101"/>
      <c r="F123" s="101"/>
      <c r="G123" s="101"/>
      <c r="H123" s="101"/>
      <c r="I123" s="101"/>
      <c r="N123" s="101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</row>
    <row r="124" spans="1:40">
      <c r="A124" s="100"/>
      <c r="B124" s="627" t="s">
        <v>402</v>
      </c>
      <c r="C124" s="630"/>
      <c r="D124" s="631"/>
      <c r="E124" s="631"/>
      <c r="F124" s="631"/>
      <c r="G124" s="631"/>
      <c r="H124" s="631"/>
      <c r="I124" s="631"/>
      <c r="J124" s="631"/>
      <c r="K124" s="631"/>
      <c r="L124" s="631"/>
      <c r="M124" s="631"/>
      <c r="N124" s="281"/>
      <c r="O124" s="101"/>
      <c r="P124" s="101"/>
      <c r="Q124" s="101"/>
      <c r="R124" s="101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</row>
    <row r="125" spans="1:40">
      <c r="A125" s="100"/>
      <c r="B125" s="628" t="s">
        <v>403</v>
      </c>
      <c r="C125" s="317">
        <f>C18</f>
        <v>0</v>
      </c>
      <c r="D125" s="626">
        <f>C19</f>
        <v>0</v>
      </c>
      <c r="E125" s="626">
        <f>C22</f>
        <v>0</v>
      </c>
      <c r="F125" s="626">
        <f>C23</f>
        <v>0</v>
      </c>
      <c r="G125" s="626">
        <f>C24</f>
        <v>0</v>
      </c>
      <c r="H125" s="626">
        <f>C24</f>
        <v>0</v>
      </c>
      <c r="I125" s="626">
        <f>C25</f>
        <v>0</v>
      </c>
      <c r="J125" s="626">
        <f>C26</f>
        <v>0</v>
      </c>
      <c r="K125" s="626">
        <f>C27</f>
        <v>0</v>
      </c>
      <c r="L125" s="626">
        <f>C28</f>
        <v>0</v>
      </c>
      <c r="M125" s="626">
        <f>C29</f>
        <v>0</v>
      </c>
      <c r="N125" s="224">
        <f>C30</f>
        <v>0</v>
      </c>
      <c r="O125" s="101"/>
      <c r="P125" s="101"/>
      <c r="Q125" s="101"/>
      <c r="R125" s="101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</row>
    <row r="126" spans="1:40">
      <c r="A126" s="100"/>
      <c r="B126" s="628" t="s">
        <v>404</v>
      </c>
      <c r="C126" s="317">
        <v>15</v>
      </c>
      <c r="D126" s="626">
        <v>15</v>
      </c>
      <c r="E126" s="626">
        <v>15</v>
      </c>
      <c r="F126" s="626">
        <v>15</v>
      </c>
      <c r="G126" s="626">
        <v>15</v>
      </c>
      <c r="H126" s="626">
        <v>15</v>
      </c>
      <c r="I126" s="626">
        <v>15</v>
      </c>
      <c r="J126" s="626">
        <v>15</v>
      </c>
      <c r="K126" s="626">
        <v>15</v>
      </c>
      <c r="L126" s="626">
        <v>15</v>
      </c>
      <c r="M126" s="626">
        <v>15</v>
      </c>
      <c r="N126" s="224">
        <v>15</v>
      </c>
      <c r="O126" s="101"/>
      <c r="P126" s="101"/>
      <c r="Q126" s="101"/>
      <c r="R126" s="101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</row>
    <row r="127" spans="1:40" ht="16.5" thickBot="1">
      <c r="A127" s="100"/>
      <c r="B127" s="629" t="s">
        <v>405</v>
      </c>
      <c r="C127" s="318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284"/>
      <c r="O127" s="101"/>
      <c r="P127" s="101"/>
      <c r="Q127" s="101"/>
      <c r="R127" s="101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</row>
    <row r="128" spans="1:40">
      <c r="A128" s="100"/>
      <c r="B128" s="660" t="s">
        <v>412</v>
      </c>
      <c r="C128" s="634"/>
      <c r="D128" s="107"/>
      <c r="E128" s="635"/>
      <c r="F128" s="107"/>
      <c r="G128" s="107"/>
      <c r="H128" s="107"/>
      <c r="I128" s="107"/>
      <c r="J128" s="107"/>
      <c r="K128" s="107"/>
      <c r="L128" s="107"/>
      <c r="M128" s="107"/>
      <c r="N128" s="108"/>
      <c r="O128" s="101"/>
      <c r="P128" s="101"/>
      <c r="Q128" s="101"/>
      <c r="R128" s="101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</row>
    <row r="129" spans="1:40">
      <c r="A129" s="100"/>
      <c r="B129" s="604" t="s">
        <v>400</v>
      </c>
      <c r="C129" s="63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248" t="s">
        <v>784</v>
      </c>
      <c r="O129" s="101"/>
      <c r="P129" s="101"/>
      <c r="Q129" s="101"/>
      <c r="R129" s="101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</row>
    <row r="130" spans="1:40">
      <c r="A130" s="100"/>
      <c r="B130" s="604" t="s">
        <v>413</v>
      </c>
      <c r="C130" s="636" t="e">
        <f>C129/(C125*C126)</f>
        <v>#DIV/0!</v>
      </c>
      <c r="D130" s="636" t="e">
        <f t="shared" ref="D130:N130" si="30">D129/(D125*D126)</f>
        <v>#DIV/0!</v>
      </c>
      <c r="E130" s="636" t="e">
        <f t="shared" si="30"/>
        <v>#DIV/0!</v>
      </c>
      <c r="F130" s="636" t="e">
        <f t="shared" si="30"/>
        <v>#DIV/0!</v>
      </c>
      <c r="G130" s="636" t="e">
        <f t="shared" si="30"/>
        <v>#DIV/0!</v>
      </c>
      <c r="H130" s="636" t="e">
        <f t="shared" si="30"/>
        <v>#DIV/0!</v>
      </c>
      <c r="I130" s="636" t="e">
        <f t="shared" si="30"/>
        <v>#DIV/0!</v>
      </c>
      <c r="J130" s="636" t="e">
        <f t="shared" si="30"/>
        <v>#DIV/0!</v>
      </c>
      <c r="K130" s="636" t="e">
        <f t="shared" si="30"/>
        <v>#DIV/0!</v>
      </c>
      <c r="L130" s="636" t="e">
        <f t="shared" si="30"/>
        <v>#DIV/0!</v>
      </c>
      <c r="M130" s="636" t="e">
        <f t="shared" si="30"/>
        <v>#DIV/0!</v>
      </c>
      <c r="N130" s="636" t="e">
        <f t="shared" si="30"/>
        <v>#VALUE!</v>
      </c>
      <c r="O130" s="101"/>
      <c r="P130" s="101"/>
      <c r="Q130" s="101"/>
      <c r="R130" s="101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</row>
    <row r="131" spans="1:40">
      <c r="A131" s="100"/>
      <c r="B131" s="604" t="s">
        <v>414</v>
      </c>
      <c r="C131" s="1121" t="e">
        <f>C130/C127</f>
        <v>#DIV/0!</v>
      </c>
      <c r="D131" s="1121" t="e">
        <f t="shared" ref="D131:N131" si="31">D130/D127</f>
        <v>#DIV/0!</v>
      </c>
      <c r="E131" s="1121" t="e">
        <f t="shared" si="31"/>
        <v>#DIV/0!</v>
      </c>
      <c r="F131" s="1121" t="e">
        <f t="shared" si="31"/>
        <v>#DIV/0!</v>
      </c>
      <c r="G131" s="1121" t="e">
        <f t="shared" si="31"/>
        <v>#DIV/0!</v>
      </c>
      <c r="H131" s="1121" t="e">
        <f t="shared" si="31"/>
        <v>#DIV/0!</v>
      </c>
      <c r="I131" s="1121" t="e">
        <f t="shared" si="31"/>
        <v>#DIV/0!</v>
      </c>
      <c r="J131" s="1121" t="e">
        <f t="shared" si="31"/>
        <v>#DIV/0!</v>
      </c>
      <c r="K131" s="1121" t="e">
        <f t="shared" si="31"/>
        <v>#DIV/0!</v>
      </c>
      <c r="L131" s="1121" t="e">
        <f t="shared" si="31"/>
        <v>#DIV/0!</v>
      </c>
      <c r="M131" s="1121" t="e">
        <f t="shared" si="31"/>
        <v>#DIV/0!</v>
      </c>
      <c r="N131" s="1121" t="e">
        <f t="shared" si="31"/>
        <v>#VALUE!</v>
      </c>
      <c r="O131" s="101"/>
      <c r="P131" s="101"/>
      <c r="Q131" s="101"/>
      <c r="R131" s="101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</row>
    <row r="132" spans="1:40" ht="16.5" thickBot="1">
      <c r="A132" s="100"/>
      <c r="B132" s="633" t="s">
        <v>415</v>
      </c>
      <c r="C132" s="638" t="e">
        <f>IF(C131&gt;=120%,Cenovnik!$D$73,IF(C131&gt;=110%,Cenovnik!$D$72,IF(C131&gt;=90%,Cenovnik!$D$71,IF(C131&gt;=80%,Cenovnik!$D$70,IF(C131&gt;=70%,Cenovnik!$D$69,IF(C131&gt;=30%,Cenovnik!$D$68,0))))))</f>
        <v>#DIV/0!</v>
      </c>
      <c r="D132" s="638" t="e">
        <f>IF(D131&gt;=120%,Cenovnik!$D$73,IF(D131&gt;=110%,Cenovnik!$D$72,IF(D131&gt;=90%,Cenovnik!$D$71,IF(D131&gt;=80%,Cenovnik!$D$70,IF(D131&gt;=70%,Cenovnik!$D$69,IF(D131&gt;=30%,Cenovnik!$D$68,0))))))</f>
        <v>#DIV/0!</v>
      </c>
      <c r="E132" s="638" t="e">
        <f>IF(E131&gt;=120%,Cenovnik!$D$73,IF(E131&gt;=110%,Cenovnik!$D$72,IF(E131&gt;=90%,Cenovnik!$D$71,IF(E131&gt;=80%,Cenovnik!$D$70,IF(E131&gt;=70%,Cenovnik!$D$69,IF(E131&gt;=30%,Cenovnik!$D$68,0))))))</f>
        <v>#DIV/0!</v>
      </c>
      <c r="F132" s="638" t="e">
        <f>IF(F131&gt;=120%,Cenovnik!$D$73,IF(F131&gt;=110%,Cenovnik!$D$72,IF(F131&gt;=90%,Cenovnik!$D$71,IF(F131&gt;=80%,Cenovnik!$D$70,IF(F131&gt;=70%,Cenovnik!$D$69,IF(F131&gt;=30%,Cenovnik!$D$68,0))))))</f>
        <v>#DIV/0!</v>
      </c>
      <c r="G132" s="638" t="e">
        <f>IF(G131&gt;=120%,Cenovnik!$D$73,IF(G131&gt;=110%,Cenovnik!$D$72,IF(G131&gt;=90%,Cenovnik!$D$71,IF(G131&gt;=80%,Cenovnik!$D$70,IF(G131&gt;=70%,Cenovnik!$D$69,IF(G131&gt;=30%,Cenovnik!$D$68,0))))))</f>
        <v>#DIV/0!</v>
      </c>
      <c r="H132" s="638" t="e">
        <f>IF(H131&gt;=120%,Cenovnik!$D$73,IF(H131&gt;=110%,Cenovnik!$D$72,IF(H131&gt;=90%,Cenovnik!$D$71,IF(H131&gt;=80%,Cenovnik!$D$70,IF(H131&gt;=70%,Cenovnik!$D$69,IF(H131&gt;=30%,Cenovnik!$D$68,0))))))</f>
        <v>#DIV/0!</v>
      </c>
      <c r="I132" s="638" t="e">
        <f>IF(I131&gt;=120%,Cenovnik!$D$73,IF(I131&gt;=110%,Cenovnik!$D$72,IF(I131&gt;=90%,Cenovnik!$D$71,IF(I131&gt;=80%,Cenovnik!$D$70,IF(I131&gt;=70%,Cenovnik!$D$69,IF(I131&gt;=30%,Cenovnik!$D$68,0))))))</f>
        <v>#DIV/0!</v>
      </c>
      <c r="J132" s="638" t="e">
        <f>IF(J131&gt;=120%,Cenovnik!$D$73,IF(J131&gt;=110%,Cenovnik!$D$72,IF(J131&gt;=90%,Cenovnik!$D$71,IF(J131&gt;=80%,Cenovnik!$D$70,IF(J131&gt;=70%,Cenovnik!$D$69,IF(J131&gt;=30%,Cenovnik!$D$68,0))))))</f>
        <v>#DIV/0!</v>
      </c>
      <c r="K132" s="638" t="e">
        <f>IF(K131&gt;=120%,Cenovnik!$D$73,IF(K131&gt;=110%,Cenovnik!$D$72,IF(K131&gt;=90%,Cenovnik!$D$71,IF(K131&gt;=80%,Cenovnik!$D$70,IF(K131&gt;=70%,Cenovnik!$D$69,IF(K131&gt;=30%,Cenovnik!$D$68,0))))))</f>
        <v>#DIV/0!</v>
      </c>
      <c r="L132" s="638" t="e">
        <f>IF(L131&gt;=120%,Cenovnik!$D$73,IF(L131&gt;=110%,Cenovnik!$D$72,IF(L131&gt;=90%,Cenovnik!$D$71,IF(L131&gt;=80%,Cenovnik!$D$70,IF(L131&gt;=70%,Cenovnik!$D$69,IF(L131&gt;=30%,Cenovnik!$D$68,0))))))</f>
        <v>#DIV/0!</v>
      </c>
      <c r="M132" s="638" t="e">
        <f>IF(M131&gt;=120%,Cenovnik!$D$73,IF(M131&gt;=110%,Cenovnik!$D$72,IF(M131&gt;=90%,Cenovnik!$D$71,IF(M131&gt;=80%,Cenovnik!$D$70,IF(M131&gt;=70%,Cenovnik!$D$69,IF(M131&gt;=30%,Cenovnik!$D$68,0))))))</f>
        <v>#DIV/0!</v>
      </c>
      <c r="N132" s="638" t="e">
        <f>IF(N131&gt;=120%,Cenovnik!$D$73,IF(N131&gt;=110%,Cenovnik!$D$72,IF(N131&gt;=90%,Cenovnik!$D$71,IF(N131&gt;=80%,Cenovnik!$D$70,IF(N131&gt;=70%,Cenovnik!$D$69,IF(N131&gt;=30%,Cenovnik!$D$68,0))))))</f>
        <v>#VALUE!</v>
      </c>
      <c r="O132" s="101"/>
      <c r="P132" s="101"/>
      <c r="Q132" s="101"/>
      <c r="R132" s="101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</row>
    <row r="133" spans="1:40">
      <c r="A133" s="100"/>
      <c r="B133" s="661" t="s">
        <v>416</v>
      </c>
      <c r="C133" s="230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8"/>
      <c r="O133" s="101"/>
      <c r="P133" s="101"/>
      <c r="Q133" s="101"/>
      <c r="R133" s="101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</row>
    <row r="134" spans="1:40">
      <c r="A134" s="100"/>
      <c r="B134" s="266" t="s">
        <v>417</v>
      </c>
      <c r="C134" s="265"/>
      <c r="D134" s="106"/>
      <c r="E134" s="655"/>
      <c r="F134" s="106"/>
      <c r="G134" s="106"/>
      <c r="H134" s="106"/>
      <c r="I134" s="106"/>
      <c r="J134" s="106"/>
      <c r="K134" s="106"/>
      <c r="L134" s="106"/>
      <c r="M134" s="106"/>
      <c r="N134" s="248"/>
      <c r="O134" s="101"/>
      <c r="P134" s="101"/>
      <c r="Q134" s="101"/>
      <c r="R134" s="101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</row>
    <row r="135" spans="1:40">
      <c r="A135" s="100"/>
      <c r="B135" s="266" t="s">
        <v>418</v>
      </c>
      <c r="C135" s="265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248"/>
      <c r="O135" s="101"/>
      <c r="P135" s="101"/>
      <c r="Q135" s="101"/>
      <c r="R135" s="101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</row>
    <row r="136" spans="1:40">
      <c r="A136" s="100"/>
      <c r="B136" s="266" t="s">
        <v>419</v>
      </c>
      <c r="C136" s="265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248"/>
      <c r="O136" s="101"/>
      <c r="P136" s="101"/>
      <c r="Q136" s="101"/>
      <c r="R136" s="101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</row>
    <row r="137" spans="1:40">
      <c r="A137" s="100"/>
      <c r="B137" s="266" t="s">
        <v>420</v>
      </c>
      <c r="C137" s="265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248"/>
      <c r="O137" s="101"/>
      <c r="P137" s="101"/>
      <c r="Q137" s="101"/>
      <c r="R137" s="101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</row>
    <row r="138" spans="1:40">
      <c r="A138" s="100"/>
      <c r="B138" s="266" t="s">
        <v>421</v>
      </c>
      <c r="C138" s="265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248"/>
      <c r="O138" s="101"/>
      <c r="P138" s="101"/>
      <c r="Q138" s="101"/>
      <c r="R138" s="101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</row>
    <row r="139" spans="1:40">
      <c r="A139" s="100"/>
      <c r="B139" s="570" t="s">
        <v>422</v>
      </c>
      <c r="C139" s="265">
        <f>SUM(C135:C138)</f>
        <v>0</v>
      </c>
      <c r="D139" s="265">
        <f t="shared" ref="D139:N139" si="32">SUM(D135:D138)</f>
        <v>0</v>
      </c>
      <c r="E139" s="265">
        <f t="shared" si="32"/>
        <v>0</v>
      </c>
      <c r="F139" s="265">
        <f t="shared" si="32"/>
        <v>0</v>
      </c>
      <c r="G139" s="265">
        <f t="shared" si="32"/>
        <v>0</v>
      </c>
      <c r="H139" s="265">
        <f t="shared" si="32"/>
        <v>0</v>
      </c>
      <c r="I139" s="265">
        <f t="shared" si="32"/>
        <v>0</v>
      </c>
      <c r="J139" s="265">
        <f t="shared" si="32"/>
        <v>0</v>
      </c>
      <c r="K139" s="265">
        <f t="shared" si="32"/>
        <v>0</v>
      </c>
      <c r="L139" s="265">
        <f t="shared" si="32"/>
        <v>0</v>
      </c>
      <c r="M139" s="265">
        <f t="shared" si="32"/>
        <v>0</v>
      </c>
      <c r="N139" s="265">
        <f t="shared" si="32"/>
        <v>0</v>
      </c>
      <c r="O139" s="101"/>
      <c r="P139" s="101"/>
      <c r="Q139" s="101"/>
      <c r="R139" s="101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</row>
    <row r="140" spans="1:40">
      <c r="A140" s="100"/>
      <c r="B140" s="570" t="s">
        <v>424</v>
      </c>
      <c r="C140" s="1122" t="e">
        <f>C139/C134</f>
        <v>#DIV/0!</v>
      </c>
      <c r="D140" s="1122" t="e">
        <f t="shared" ref="D140:N140" si="33">D139/D134</f>
        <v>#DIV/0!</v>
      </c>
      <c r="E140" s="1122" t="e">
        <f t="shared" si="33"/>
        <v>#DIV/0!</v>
      </c>
      <c r="F140" s="1122" t="e">
        <f t="shared" si="33"/>
        <v>#DIV/0!</v>
      </c>
      <c r="G140" s="1122" t="e">
        <f t="shared" si="33"/>
        <v>#DIV/0!</v>
      </c>
      <c r="H140" s="1122" t="e">
        <f t="shared" si="33"/>
        <v>#DIV/0!</v>
      </c>
      <c r="I140" s="1122" t="e">
        <f t="shared" si="33"/>
        <v>#DIV/0!</v>
      </c>
      <c r="J140" s="1122" t="e">
        <f t="shared" si="33"/>
        <v>#DIV/0!</v>
      </c>
      <c r="K140" s="1122" t="e">
        <f t="shared" si="33"/>
        <v>#DIV/0!</v>
      </c>
      <c r="L140" s="1122" t="e">
        <f t="shared" si="33"/>
        <v>#DIV/0!</v>
      </c>
      <c r="M140" s="1122" t="e">
        <f t="shared" si="33"/>
        <v>#DIV/0!</v>
      </c>
      <c r="N140" s="1122" t="e">
        <f t="shared" si="33"/>
        <v>#DIV/0!</v>
      </c>
      <c r="O140" s="101"/>
      <c r="P140" s="101"/>
      <c r="Q140" s="101"/>
      <c r="R140" s="101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</row>
    <row r="141" spans="1:40" ht="16.5" thickBot="1">
      <c r="A141" s="100"/>
      <c r="B141" s="573" t="s">
        <v>423</v>
      </c>
      <c r="C141" s="639" t="e">
        <f>(IF(C140&gt;=100%,Cenovnik!$D$78,IF(C140&gt;=50%,Cenovnik!$D$79,IF(C140&gt;=30%,Cenovnik!$D$80,IF(C140&gt;0%,Cenovnik!$D$81,Cenovnik!$D$82)))))</f>
        <v>#DIV/0!</v>
      </c>
      <c r="D141" s="639" t="e">
        <f>(IF(D140&gt;=100%,Cenovnik!$D$78,IF(D140&gt;=50%,Cenovnik!$D$79,IF(D140&gt;=30%,Cenovnik!$D$80,IF(D140&gt;0%,Cenovnik!$D$81,Cenovnik!$D$82)))))</f>
        <v>#DIV/0!</v>
      </c>
      <c r="E141" s="639" t="e">
        <f>(IF(E140&gt;=100%,Cenovnik!$D$78,IF(E140&gt;=50%,Cenovnik!$D$79,IF(E140&gt;=30%,Cenovnik!$D$80,IF(E140&gt;0%,Cenovnik!$D$81,Cenovnik!$D$82)))))</f>
        <v>#DIV/0!</v>
      </c>
      <c r="F141" s="639" t="e">
        <f>(IF(F140&gt;=100%,Cenovnik!$D$78,IF(F140&gt;=50%,Cenovnik!$D$79,IF(F140&gt;=30%,Cenovnik!$D$80,IF(F140&gt;0%,Cenovnik!$D$81,Cenovnik!$D$82)))))</f>
        <v>#DIV/0!</v>
      </c>
      <c r="G141" s="639" t="e">
        <f>(IF(G140&gt;=100%,Cenovnik!$D$78,IF(G140&gt;=50%,Cenovnik!$D$79,IF(G140&gt;=30%,Cenovnik!$D$80,IF(G140&gt;0%,Cenovnik!$D$81,Cenovnik!$D$82)))))</f>
        <v>#DIV/0!</v>
      </c>
      <c r="H141" s="639" t="e">
        <f>(IF(H140&gt;=100%,Cenovnik!$D$78,IF(H140&gt;=50%,Cenovnik!$D$79,IF(H140&gt;=30%,Cenovnik!$D$80,IF(H140&gt;0%,Cenovnik!$D$81,Cenovnik!$D$82)))))</f>
        <v>#DIV/0!</v>
      </c>
      <c r="I141" s="639" t="e">
        <f>(IF(I140&gt;=100%,Cenovnik!$D$78,IF(I140&gt;=50%,Cenovnik!$D$79,IF(I140&gt;=30%,Cenovnik!$D$80,IF(I140&gt;0%,Cenovnik!$D$81,Cenovnik!$D$82)))))</f>
        <v>#DIV/0!</v>
      </c>
      <c r="J141" s="639" t="e">
        <f>(IF(J140&gt;=100%,Cenovnik!$D$78,IF(J140&gt;=50%,Cenovnik!$D$79,IF(J140&gt;=30%,Cenovnik!$D$80,IF(J140&gt;0%,Cenovnik!$D$81,Cenovnik!$D$82)))))</f>
        <v>#DIV/0!</v>
      </c>
      <c r="K141" s="639" t="e">
        <f>(IF(K140&gt;=100%,Cenovnik!$D$78,IF(K140&gt;=50%,Cenovnik!$D$79,IF(K140&gt;=30%,Cenovnik!$D$80,IF(K140&gt;0%,Cenovnik!$D$81,Cenovnik!$D$82)))))</f>
        <v>#DIV/0!</v>
      </c>
      <c r="L141" s="639" t="e">
        <f>(IF(L140&gt;=100%,Cenovnik!$D$78,IF(L140&gt;=50%,Cenovnik!$D$79,IF(L140&gt;=30%,Cenovnik!$D$80,IF(L140&gt;0%,Cenovnik!$D$81,Cenovnik!$D$82)))))</f>
        <v>#DIV/0!</v>
      </c>
      <c r="M141" s="639" t="e">
        <f>(IF(M140&gt;=100%,Cenovnik!$D$78,IF(M140&gt;=50%,Cenovnik!$D$79,IF(M140&gt;=30%,Cenovnik!$D$80,IF(M140&gt;0%,Cenovnik!$D$81,Cenovnik!$D$82)))))</f>
        <v>#DIV/0!</v>
      </c>
      <c r="N141" s="639" t="e">
        <f>(IF(N140&gt;=100%,Cenovnik!$D$78,IF(N140&gt;=50%,Cenovnik!$D$79,IF(N140&gt;=30%,Cenovnik!$D$80,IF(N140&gt;0%,Cenovnik!$D$81,Cenovnik!$D$82)))))</f>
        <v>#DIV/0!</v>
      </c>
      <c r="O141" s="101"/>
      <c r="P141" s="101"/>
      <c r="Q141" s="101"/>
      <c r="R141" s="101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</row>
    <row r="142" spans="1:40">
      <c r="A142" s="100"/>
      <c r="B142" s="660" t="s">
        <v>432</v>
      </c>
      <c r="C142" s="634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8"/>
      <c r="O142" s="101"/>
      <c r="P142" s="101"/>
      <c r="Q142" s="101"/>
      <c r="R142" s="101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</row>
    <row r="143" spans="1:40">
      <c r="A143" s="100"/>
      <c r="B143" s="604" t="s">
        <v>425</v>
      </c>
      <c r="C143" s="63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248"/>
      <c r="O143" s="101"/>
      <c r="P143" s="101"/>
      <c r="Q143" s="101"/>
      <c r="R143" s="101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</row>
    <row r="144" spans="1:40">
      <c r="A144" s="100"/>
      <c r="B144" s="604" t="s">
        <v>426</v>
      </c>
      <c r="C144" s="63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248"/>
      <c r="O144" s="101"/>
      <c r="P144" s="101"/>
      <c r="Q144" s="101"/>
      <c r="R144" s="101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</row>
    <row r="145" spans="1:40">
      <c r="A145" s="100"/>
      <c r="B145" s="604" t="s">
        <v>427</v>
      </c>
      <c r="C145" s="63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248"/>
      <c r="O145" s="101"/>
      <c r="P145" s="101"/>
      <c r="Q145" s="101"/>
      <c r="R145" s="101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</row>
    <row r="146" spans="1:40">
      <c r="A146" s="100"/>
      <c r="B146" s="604" t="s">
        <v>428</v>
      </c>
      <c r="C146" s="63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248"/>
      <c r="O146" s="101"/>
      <c r="P146" s="101"/>
      <c r="Q146" s="101"/>
      <c r="R146" s="101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</row>
    <row r="147" spans="1:40">
      <c r="A147" s="100"/>
      <c r="B147" s="604" t="s">
        <v>429</v>
      </c>
      <c r="C147" s="63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248"/>
      <c r="O147" s="101"/>
      <c r="P147" s="101"/>
      <c r="Q147" s="101"/>
      <c r="R147" s="101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</row>
    <row r="148" spans="1:40">
      <c r="A148" s="100"/>
      <c r="B148" s="604" t="s">
        <v>431</v>
      </c>
      <c r="C148" s="63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248"/>
      <c r="O148" s="101"/>
      <c r="P148" s="101"/>
      <c r="Q148" s="101"/>
      <c r="R148" s="101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</row>
    <row r="149" spans="1:40">
      <c r="A149" s="100"/>
      <c r="B149" s="604" t="s">
        <v>430</v>
      </c>
      <c r="C149" s="63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248"/>
      <c r="O149" s="101"/>
      <c r="P149" s="101"/>
      <c r="Q149" s="101"/>
      <c r="R149" s="101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</row>
    <row r="150" spans="1:40">
      <c r="A150" s="100"/>
      <c r="B150" s="640" t="s">
        <v>433</v>
      </c>
      <c r="C150" s="636">
        <f>SUM(C143:C149)</f>
        <v>0</v>
      </c>
      <c r="D150" s="636">
        <f t="shared" ref="D150:N150" si="34">SUM(D143:D149)</f>
        <v>0</v>
      </c>
      <c r="E150" s="636">
        <f t="shared" si="34"/>
        <v>0</v>
      </c>
      <c r="F150" s="636">
        <f t="shared" si="34"/>
        <v>0</v>
      </c>
      <c r="G150" s="636">
        <f t="shared" si="34"/>
        <v>0</v>
      </c>
      <c r="H150" s="636">
        <f t="shared" si="34"/>
        <v>0</v>
      </c>
      <c r="I150" s="636">
        <f t="shared" si="34"/>
        <v>0</v>
      </c>
      <c r="J150" s="636">
        <f t="shared" si="34"/>
        <v>0</v>
      </c>
      <c r="K150" s="636">
        <f t="shared" si="34"/>
        <v>0</v>
      </c>
      <c r="L150" s="636">
        <f t="shared" si="34"/>
        <v>0</v>
      </c>
      <c r="M150" s="636">
        <f t="shared" si="34"/>
        <v>0</v>
      </c>
      <c r="N150" s="636">
        <f t="shared" si="34"/>
        <v>0</v>
      </c>
      <c r="O150" s="101"/>
      <c r="P150" s="101"/>
      <c r="Q150" s="101"/>
      <c r="R150" s="101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</row>
    <row r="151" spans="1:40">
      <c r="A151" s="100"/>
      <c r="B151" s="641" t="s">
        <v>434</v>
      </c>
      <c r="C151" s="636">
        <f>C150/C126</f>
        <v>0</v>
      </c>
      <c r="D151" s="636">
        <f t="shared" ref="D151:N151" si="35">D150/D126</f>
        <v>0</v>
      </c>
      <c r="E151" s="636">
        <f t="shared" si="35"/>
        <v>0</v>
      </c>
      <c r="F151" s="636">
        <f t="shared" si="35"/>
        <v>0</v>
      </c>
      <c r="G151" s="636">
        <f t="shared" si="35"/>
        <v>0</v>
      </c>
      <c r="H151" s="636">
        <f t="shared" si="35"/>
        <v>0</v>
      </c>
      <c r="I151" s="636">
        <f t="shared" si="35"/>
        <v>0</v>
      </c>
      <c r="J151" s="636">
        <f t="shared" si="35"/>
        <v>0</v>
      </c>
      <c r="K151" s="636">
        <f t="shared" si="35"/>
        <v>0</v>
      </c>
      <c r="L151" s="636">
        <f t="shared" si="35"/>
        <v>0</v>
      </c>
      <c r="M151" s="636">
        <f t="shared" si="35"/>
        <v>0</v>
      </c>
      <c r="N151" s="636">
        <f t="shared" si="35"/>
        <v>0</v>
      </c>
      <c r="O151" s="101"/>
      <c r="P151" s="101"/>
      <c r="Q151" s="101"/>
      <c r="R151" s="101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</row>
    <row r="152" spans="1:40" ht="16.5" thickBot="1">
      <c r="A152" s="100"/>
      <c r="B152" s="633" t="s">
        <v>435</v>
      </c>
      <c r="C152" s="642">
        <f>(IF(C151&gt;=3.5,Cenovnik!$D$84,IF(C151&gt;=2.5,Cenovnik!$D$85,IF(C151&gt;=1.5,Cenovnik!$D$86,IF(C151&gt;=0.5,Cenovnik!$D$87,0.975)))))</f>
        <v>0.97499999999999998</v>
      </c>
      <c r="D152" s="642">
        <f>(IF(D151&gt;=3.5,Cenovnik!$D$84,IF(D151&gt;=2.5,Cenovnik!$D$85,IF(D151&gt;=1.5,Cenovnik!$D$86,IF(D151&gt;=0.5,Cenovnik!$D$87,0.975)))))</f>
        <v>0.97499999999999998</v>
      </c>
      <c r="E152" s="642">
        <f>(IF(E151&gt;=3.5,Cenovnik!$D$84,IF(E151&gt;=2.5,Cenovnik!$D$85,IF(E151&gt;=1.5,Cenovnik!$D$86,IF(E151&gt;=0.5,Cenovnik!$D$87,0.975)))))</f>
        <v>0.97499999999999998</v>
      </c>
      <c r="F152" s="642">
        <f>(IF(F151&gt;=3.5,Cenovnik!$D$84,IF(F151&gt;=2.5,Cenovnik!$D$85,IF(F151&gt;=1.5,Cenovnik!$D$86,IF(F151&gt;=0.5,Cenovnik!$D$87,0.975)))))</f>
        <v>0.97499999999999998</v>
      </c>
      <c r="G152" s="642">
        <f>(IF(G151&gt;=3.5,Cenovnik!$D$84,IF(G151&gt;=2.5,Cenovnik!$D$85,IF(G151&gt;=1.5,Cenovnik!$D$86,IF(G151&gt;=0.5,Cenovnik!$D$87,0.975)))))</f>
        <v>0.97499999999999998</v>
      </c>
      <c r="H152" s="642">
        <f>(IF(H151&gt;=3.5,Cenovnik!$D$84,IF(H151&gt;=2.5,Cenovnik!$D$85,IF(H151&gt;=1.5,Cenovnik!$D$86,IF(H151&gt;=0.5,Cenovnik!$D$87,0.975)))))</f>
        <v>0.97499999999999998</v>
      </c>
      <c r="I152" s="642">
        <f>(IF(I151&gt;=3.5,Cenovnik!$D$84,IF(I151&gt;=2.5,Cenovnik!$D$85,IF(I151&gt;=1.5,Cenovnik!$D$86,IF(I151&gt;=0.5,Cenovnik!$D$87,0.975)))))</f>
        <v>0.97499999999999998</v>
      </c>
      <c r="J152" s="642">
        <f>(IF(J151&gt;=3.5,Cenovnik!$D$84,IF(J151&gt;=2.5,Cenovnik!$D$85,IF(J151&gt;=1.5,Cenovnik!$D$86,IF(J151&gt;=0.5,Cenovnik!$D$87,0.975)))))</f>
        <v>0.97499999999999998</v>
      </c>
      <c r="K152" s="642">
        <f>(IF(K151&gt;=3.5,Cenovnik!$D$84,IF(K151&gt;=2.5,Cenovnik!$D$85,IF(K151&gt;=1.5,Cenovnik!$D$86,IF(K151&gt;=0.5,Cenovnik!$D$87,0.975)))))</f>
        <v>0.97499999999999998</v>
      </c>
      <c r="L152" s="642">
        <f>(IF(L151&gt;=3.5,Cenovnik!$D$84,IF(L151&gt;=2.5,Cenovnik!$D$85,IF(L151&gt;=1.5,Cenovnik!$D$86,IF(L151&gt;=0.5,Cenovnik!$D$87,0.975)))))</f>
        <v>0.97499999999999998</v>
      </c>
      <c r="M152" s="642">
        <f>(IF(M151&gt;=3.5,Cenovnik!$D$84,IF(M151&gt;=2.5,Cenovnik!$D$85,IF(M151&gt;=1.5,Cenovnik!$D$86,IF(M151&gt;=0.5,Cenovnik!$D$87,0.975)))))</f>
        <v>0.97499999999999998</v>
      </c>
      <c r="N152" s="642">
        <f>(IF(N151&gt;=3.5,Cenovnik!$D$84,IF(N151&gt;=2.5,Cenovnik!$D$85,IF(N151&gt;=1.5,Cenovnik!$D$86,IF(N151&gt;=0.5,Cenovnik!$D$87,0.975)))))</f>
        <v>0.97499999999999998</v>
      </c>
      <c r="O152" s="101"/>
      <c r="P152" s="101"/>
      <c r="Q152" s="101"/>
      <c r="R152" s="101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</row>
    <row r="153" spans="1:40">
      <c r="A153" s="100"/>
      <c r="B153" s="662" t="s">
        <v>436</v>
      </c>
      <c r="C153" s="634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8"/>
      <c r="O153" s="101"/>
      <c r="P153" s="101"/>
      <c r="Q153" s="101"/>
      <c r="R153" s="101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</row>
    <row r="154" spans="1:40">
      <c r="A154" s="100"/>
      <c r="B154" s="604" t="s">
        <v>438</v>
      </c>
      <c r="C154" s="63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248"/>
      <c r="O154" s="101"/>
      <c r="P154" s="101"/>
      <c r="Q154" s="101"/>
      <c r="R154" s="101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</row>
    <row r="155" spans="1:40">
      <c r="A155" s="100"/>
      <c r="B155" s="604" t="s">
        <v>437</v>
      </c>
      <c r="C155" s="63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248"/>
      <c r="O155" s="101"/>
      <c r="P155" s="101"/>
      <c r="Q155" s="101"/>
      <c r="R155" s="101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</row>
    <row r="156" spans="1:40">
      <c r="A156" s="100"/>
      <c r="B156" s="641" t="s">
        <v>439</v>
      </c>
      <c r="C156" s="636">
        <f>SUM(C154:C155)</f>
        <v>0</v>
      </c>
      <c r="D156" s="636">
        <f t="shared" ref="D156:N156" si="36">SUM(D154:D155)</f>
        <v>0</v>
      </c>
      <c r="E156" s="636">
        <f t="shared" si="36"/>
        <v>0</v>
      </c>
      <c r="F156" s="636">
        <f t="shared" si="36"/>
        <v>0</v>
      </c>
      <c r="G156" s="636">
        <f t="shared" si="36"/>
        <v>0</v>
      </c>
      <c r="H156" s="636">
        <f t="shared" si="36"/>
        <v>0</v>
      </c>
      <c r="I156" s="636">
        <f t="shared" si="36"/>
        <v>0</v>
      </c>
      <c r="J156" s="636">
        <f t="shared" si="36"/>
        <v>0</v>
      </c>
      <c r="K156" s="636">
        <f t="shared" si="36"/>
        <v>0</v>
      </c>
      <c r="L156" s="636">
        <f t="shared" si="36"/>
        <v>0</v>
      </c>
      <c r="M156" s="636">
        <f t="shared" si="36"/>
        <v>0</v>
      </c>
      <c r="N156" s="636">
        <f t="shared" si="36"/>
        <v>0</v>
      </c>
      <c r="O156" s="101"/>
      <c r="P156" s="101"/>
      <c r="Q156" s="101"/>
      <c r="R156" s="101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</row>
    <row r="157" spans="1:40">
      <c r="A157" s="100"/>
      <c r="B157" s="641" t="s">
        <v>440</v>
      </c>
      <c r="C157" s="636">
        <f>C156/C126</f>
        <v>0</v>
      </c>
      <c r="D157" s="636">
        <f t="shared" ref="D157:N157" si="37">D156/D126</f>
        <v>0</v>
      </c>
      <c r="E157" s="636">
        <f t="shared" si="37"/>
        <v>0</v>
      </c>
      <c r="F157" s="636">
        <f t="shared" si="37"/>
        <v>0</v>
      </c>
      <c r="G157" s="636">
        <f t="shared" si="37"/>
        <v>0</v>
      </c>
      <c r="H157" s="636">
        <f t="shared" si="37"/>
        <v>0</v>
      </c>
      <c r="I157" s="636">
        <f t="shared" si="37"/>
        <v>0</v>
      </c>
      <c r="J157" s="636">
        <f t="shared" si="37"/>
        <v>0</v>
      </c>
      <c r="K157" s="636">
        <f t="shared" si="37"/>
        <v>0</v>
      </c>
      <c r="L157" s="636">
        <f t="shared" si="37"/>
        <v>0</v>
      </c>
      <c r="M157" s="636">
        <f t="shared" si="37"/>
        <v>0</v>
      </c>
      <c r="N157" s="636">
        <f t="shared" si="37"/>
        <v>0</v>
      </c>
      <c r="O157" s="101"/>
      <c r="P157" s="101"/>
      <c r="Q157" s="101"/>
      <c r="R157" s="101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</row>
    <row r="158" spans="1:40" ht="16.5" thickBot="1">
      <c r="A158" s="100"/>
      <c r="B158" s="643" t="s">
        <v>441</v>
      </c>
      <c r="C158" s="642">
        <f>(IF(C157&gt;=5,Cenovnik!$D$90,IF(C157&gt;=4,Cenovnik!$D$91,IF(C157&gt;=3,Cenovnik!$D$92,IF(C157&gt;=2,Cenovnik!$D$93,IF(C157&gt;=1,Cenovnik!$D$94,Cenovnik!$D$95))))))</f>
        <v>0.97500000000000009</v>
      </c>
      <c r="D158" s="642">
        <f>(IF(D157&gt;=5,Cenovnik!$D$90,IF(D157&gt;=4,Cenovnik!$D$91,IF(D157&gt;=3,Cenovnik!$D$92,IF(D157&gt;=2,Cenovnik!$D$93,IF(D157&gt;=1,Cenovnik!$D$94,Cenovnik!$D$95))))))</f>
        <v>0.97500000000000009</v>
      </c>
      <c r="E158" s="642">
        <f>(IF(E157&gt;=5,Cenovnik!$D$90,IF(E157&gt;=4,Cenovnik!$D$91,IF(E157&gt;=3,Cenovnik!$D$92,IF(E157&gt;=2,Cenovnik!$D$93,IF(E157&gt;=1,Cenovnik!$D$94,Cenovnik!$D$95))))))</f>
        <v>0.97500000000000009</v>
      </c>
      <c r="F158" s="642">
        <f>(IF(F157&gt;=5,Cenovnik!$D$90,IF(F157&gt;=4,Cenovnik!$D$91,IF(F157&gt;=3,Cenovnik!$D$92,IF(F157&gt;=2,Cenovnik!$D$93,IF(F157&gt;=1,Cenovnik!$D$94,Cenovnik!$D$95))))))</f>
        <v>0.97500000000000009</v>
      </c>
      <c r="G158" s="642">
        <f>(IF(G157&gt;=5,Cenovnik!$D$90,IF(G157&gt;=4,Cenovnik!$D$91,IF(G157&gt;=3,Cenovnik!$D$92,IF(G157&gt;=2,Cenovnik!$D$93,IF(G157&gt;=1,Cenovnik!$D$94,Cenovnik!$D$95))))))</f>
        <v>0.97500000000000009</v>
      </c>
      <c r="H158" s="642">
        <f>(IF(H157&gt;=5,Cenovnik!$D$90,IF(H157&gt;=4,Cenovnik!$D$91,IF(H157&gt;=3,Cenovnik!$D$92,IF(H157&gt;=2,Cenovnik!$D$93,IF(H157&gt;=1,Cenovnik!$D$94,Cenovnik!$D$95))))))</f>
        <v>0.97500000000000009</v>
      </c>
      <c r="I158" s="642">
        <f>(IF(I157&gt;=5,Cenovnik!$D$90,IF(I157&gt;=4,Cenovnik!$D$91,IF(I157&gt;=3,Cenovnik!$D$92,IF(I157&gt;=2,Cenovnik!$D$93,IF(I157&gt;=1,Cenovnik!$D$94,Cenovnik!$D$95))))))</f>
        <v>0.97500000000000009</v>
      </c>
      <c r="J158" s="642">
        <f>(IF(J157&gt;=5,Cenovnik!$D$90,IF(J157&gt;=4,Cenovnik!$D$91,IF(J157&gt;=3,Cenovnik!$D$92,IF(J157&gt;=2,Cenovnik!$D$93,IF(J157&gt;=1,Cenovnik!$D$94,Cenovnik!$D$95))))))</f>
        <v>0.97500000000000009</v>
      </c>
      <c r="K158" s="642">
        <f>(IF(K157&gt;=5,Cenovnik!$D$90,IF(K157&gt;=4,Cenovnik!$D$91,IF(K157&gt;=3,Cenovnik!$D$92,IF(K157&gt;=2,Cenovnik!$D$93,IF(K157&gt;=1,Cenovnik!$D$94,Cenovnik!$D$95))))))</f>
        <v>0.97500000000000009</v>
      </c>
      <c r="L158" s="642">
        <f>(IF(L157&gt;=5,Cenovnik!$D$90,IF(L157&gt;=4,Cenovnik!$D$91,IF(L157&gt;=3,Cenovnik!$D$92,IF(L157&gt;=2,Cenovnik!$D$93,IF(L157&gt;=1,Cenovnik!$D$94,Cenovnik!$D$95))))))</f>
        <v>0.97500000000000009</v>
      </c>
      <c r="M158" s="642">
        <f>(IF(M157&gt;=5,Cenovnik!$D$90,IF(M157&gt;=4,Cenovnik!$D$91,IF(M157&gt;=3,Cenovnik!$D$92,IF(M157&gt;=2,Cenovnik!$D$93,IF(M157&gt;=1,Cenovnik!$D$94,Cenovnik!$D$95))))))</f>
        <v>0.97500000000000009</v>
      </c>
      <c r="N158" s="642">
        <f>(IF(N157&gt;=5,Cenovnik!$D$90,IF(N157&gt;=4,Cenovnik!$D$91,IF(N157&gt;=3,Cenovnik!$D$92,IF(N157&gt;=2,Cenovnik!$D$93,IF(N157&gt;=1,Cenovnik!$D$94,Cenovnik!$D$95))))))</f>
        <v>0.97500000000000009</v>
      </c>
      <c r="O158" s="101"/>
      <c r="P158" s="101"/>
      <c r="Q158" s="101"/>
      <c r="R158" s="101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</row>
    <row r="160" spans="1:40" s="100" customFormat="1" ht="15">
      <c r="A160" s="101"/>
      <c r="C160" s="113"/>
      <c r="D160" s="101"/>
      <c r="E160" s="101"/>
      <c r="F160" s="101"/>
      <c r="G160" s="101"/>
      <c r="H160" s="101"/>
      <c r="I160" s="101"/>
      <c r="J160" s="101"/>
    </row>
    <row r="161" spans="1:25" s="100" customFormat="1" ht="15">
      <c r="A161" s="101"/>
      <c r="C161" s="113"/>
      <c r="D161" s="101"/>
      <c r="E161" s="101"/>
      <c r="F161" s="101"/>
      <c r="G161" s="101"/>
      <c r="H161" s="101"/>
      <c r="I161" s="101"/>
      <c r="J161" s="101"/>
    </row>
    <row r="162" spans="1:25" s="100" customFormat="1" ht="15">
      <c r="A162" s="101"/>
      <c r="C162" s="113"/>
      <c r="D162" s="101"/>
      <c r="E162" s="101"/>
      <c r="F162" s="101"/>
      <c r="G162" s="101"/>
      <c r="H162" s="101"/>
      <c r="I162" s="101"/>
      <c r="J162" s="101"/>
    </row>
    <row r="163" spans="1:25">
      <c r="B163" s="109" t="s">
        <v>501</v>
      </c>
    </row>
    <row r="165" spans="1:25" ht="18.75">
      <c r="B165" s="34"/>
      <c r="C165"/>
      <c r="D165"/>
      <c r="E165"/>
      <c r="F165"/>
      <c r="G165"/>
      <c r="H165"/>
      <c r="I165"/>
      <c r="J165"/>
      <c r="K165"/>
      <c r="L165"/>
      <c r="M165"/>
    </row>
    <row r="166" spans="1:25">
      <c r="B166" s="562" t="s">
        <v>367</v>
      </c>
      <c r="C166"/>
      <c r="D166"/>
      <c r="E166"/>
      <c r="F166"/>
      <c r="G166"/>
      <c r="H166"/>
      <c r="I166"/>
      <c r="J166"/>
      <c r="K166"/>
      <c r="L166"/>
      <c r="M166"/>
    </row>
    <row r="167" spans="1:25" ht="38.25">
      <c r="B167" s="563"/>
      <c r="C167" s="563" t="s">
        <v>368</v>
      </c>
      <c r="D167" s="563" t="s">
        <v>369</v>
      </c>
      <c r="E167" s="563" t="s">
        <v>370</v>
      </c>
      <c r="F167" s="563" t="s">
        <v>371</v>
      </c>
      <c r="G167" s="563" t="s">
        <v>372</v>
      </c>
      <c r="H167" s="563" t="s">
        <v>373</v>
      </c>
      <c r="I167" s="563" t="s">
        <v>374</v>
      </c>
      <c r="J167" s="563" t="s">
        <v>375</v>
      </c>
      <c r="K167" s="563" t="s">
        <v>376</v>
      </c>
      <c r="L167" s="563" t="s">
        <v>377</v>
      </c>
      <c r="M167" s="563" t="s">
        <v>378</v>
      </c>
      <c r="N167" s="563" t="s">
        <v>379</v>
      </c>
      <c r="O167" s="563" t="s">
        <v>380</v>
      </c>
      <c r="P167" s="563" t="s">
        <v>381</v>
      </c>
      <c r="Q167" s="563" t="s">
        <v>382</v>
      </c>
      <c r="R167" s="563" t="s">
        <v>383</v>
      </c>
      <c r="S167" s="563" t="s">
        <v>384</v>
      </c>
      <c r="T167" s="563" t="s">
        <v>385</v>
      </c>
      <c r="U167" s="563" t="s">
        <v>386</v>
      </c>
      <c r="V167" s="563" t="s">
        <v>387</v>
      </c>
      <c r="W167" s="563" t="s">
        <v>388</v>
      </c>
      <c r="X167" s="563" t="s">
        <v>389</v>
      </c>
      <c r="Y167" s="563" t="s">
        <v>390</v>
      </c>
    </row>
    <row r="168" spans="1:25">
      <c r="B168" s="564" t="s">
        <v>391</v>
      </c>
      <c r="C168" s="565"/>
      <c r="D168" s="565"/>
      <c r="E168" s="565"/>
      <c r="F168" s="565"/>
      <c r="G168" s="566"/>
      <c r="H168" s="565"/>
      <c r="I168" s="565"/>
      <c r="J168" s="565"/>
      <c r="K168" s="565"/>
      <c r="L168" s="565"/>
      <c r="M168" s="565"/>
      <c r="N168" s="565"/>
      <c r="O168" s="565"/>
      <c r="P168" s="565"/>
      <c r="Q168" s="565"/>
      <c r="R168" s="565"/>
      <c r="S168" s="565"/>
      <c r="T168" s="565"/>
      <c r="U168" s="565"/>
      <c r="V168" s="565"/>
      <c r="W168" s="565"/>
      <c r="X168" s="565"/>
      <c r="Y168" s="565"/>
    </row>
    <row r="169" spans="1:25">
      <c r="B169" s="564" t="s">
        <v>392</v>
      </c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5"/>
      <c r="P169" s="565"/>
      <c r="Q169" s="565"/>
      <c r="R169" s="565"/>
      <c r="S169" s="565"/>
      <c r="T169" s="565"/>
      <c r="U169" s="565"/>
      <c r="V169" s="565"/>
      <c r="W169" s="565"/>
      <c r="X169" s="565"/>
      <c r="Y169" s="565"/>
    </row>
    <row r="170" spans="1:25">
      <c r="B170" s="562" t="s">
        <v>393</v>
      </c>
      <c r="C170"/>
      <c r="D170"/>
      <c r="E170"/>
      <c r="F170"/>
      <c r="G170"/>
      <c r="H170"/>
      <c r="I170"/>
      <c r="J170"/>
      <c r="K170"/>
      <c r="L170"/>
      <c r="M170"/>
    </row>
    <row r="171" spans="1:25" ht="38.25">
      <c r="B171" s="563" t="s">
        <v>394</v>
      </c>
      <c r="C171" s="563" t="s">
        <v>395</v>
      </c>
      <c r="D171" s="563" t="s">
        <v>396</v>
      </c>
      <c r="E171" s="563" t="s">
        <v>397</v>
      </c>
      <c r="F171" s="563" t="s">
        <v>398</v>
      </c>
      <c r="G171" s="563" t="s">
        <v>399</v>
      </c>
      <c r="H171"/>
      <c r="I171"/>
      <c r="J171"/>
      <c r="K171"/>
      <c r="L171"/>
      <c r="M171"/>
    </row>
    <row r="172" spans="1:25">
      <c r="B172" s="565"/>
      <c r="C172" s="565"/>
      <c r="D172" s="565"/>
      <c r="E172" s="565"/>
      <c r="F172" s="565"/>
      <c r="G172" s="565"/>
      <c r="H172"/>
      <c r="I172"/>
      <c r="J172"/>
      <c r="K172"/>
      <c r="L172"/>
      <c r="M172"/>
    </row>
    <row r="175" spans="1:25" ht="18.75">
      <c r="B175" s="34"/>
      <c r="C175"/>
      <c r="D175"/>
      <c r="E175"/>
      <c r="F175"/>
      <c r="G175"/>
      <c r="H175"/>
      <c r="I175"/>
      <c r="J175"/>
      <c r="K175"/>
      <c r="L175"/>
      <c r="M175"/>
    </row>
    <row r="176" spans="1:25">
      <c r="B176" s="562" t="s">
        <v>367</v>
      </c>
      <c r="C176"/>
      <c r="D176"/>
      <c r="E176"/>
      <c r="F176"/>
      <c r="G176"/>
      <c r="H176"/>
      <c r="I176"/>
      <c r="J176"/>
      <c r="K176"/>
      <c r="L176"/>
      <c r="M176"/>
    </row>
    <row r="177" spans="2:25" ht="38.25">
      <c r="B177" s="563"/>
      <c r="C177" s="563" t="s">
        <v>368</v>
      </c>
      <c r="D177" s="563" t="s">
        <v>369</v>
      </c>
      <c r="E177" s="563" t="s">
        <v>370</v>
      </c>
      <c r="F177" s="563" t="s">
        <v>371</v>
      </c>
      <c r="G177" s="563" t="s">
        <v>372</v>
      </c>
      <c r="H177" s="563" t="s">
        <v>373</v>
      </c>
      <c r="I177" s="563" t="s">
        <v>374</v>
      </c>
      <c r="J177" s="563" t="s">
        <v>375</v>
      </c>
      <c r="K177" s="563" t="s">
        <v>376</v>
      </c>
      <c r="L177" s="563" t="s">
        <v>377</v>
      </c>
      <c r="M177" s="563" t="s">
        <v>378</v>
      </c>
      <c r="N177" s="563" t="s">
        <v>379</v>
      </c>
      <c r="O177" s="563" t="s">
        <v>380</v>
      </c>
      <c r="P177" s="563" t="s">
        <v>381</v>
      </c>
      <c r="Q177" s="563" t="s">
        <v>382</v>
      </c>
      <c r="R177" s="563" t="s">
        <v>383</v>
      </c>
      <c r="S177" s="563" t="s">
        <v>384</v>
      </c>
      <c r="T177" s="563" t="s">
        <v>385</v>
      </c>
      <c r="U177" s="563" t="s">
        <v>386</v>
      </c>
      <c r="V177" s="563" t="s">
        <v>387</v>
      </c>
      <c r="W177" s="563" t="s">
        <v>388</v>
      </c>
      <c r="X177" s="563" t="s">
        <v>389</v>
      </c>
      <c r="Y177" s="563" t="s">
        <v>390</v>
      </c>
    </row>
    <row r="178" spans="2:25">
      <c r="B178" s="564" t="s">
        <v>391</v>
      </c>
      <c r="C178" s="565"/>
      <c r="D178" s="565"/>
      <c r="E178" s="565"/>
      <c r="F178" s="565"/>
      <c r="G178" s="566"/>
      <c r="H178" s="565"/>
      <c r="I178" s="565"/>
      <c r="J178" s="565"/>
      <c r="K178" s="565"/>
      <c r="L178" s="565"/>
      <c r="M178" s="565"/>
      <c r="N178" s="565"/>
      <c r="O178" s="565"/>
      <c r="P178" s="565"/>
      <c r="Q178" s="565"/>
      <c r="R178" s="565"/>
      <c r="S178" s="565"/>
      <c r="T178" s="565"/>
      <c r="U178" s="565"/>
      <c r="V178" s="565"/>
      <c r="W178" s="565"/>
      <c r="X178" s="565"/>
      <c r="Y178" s="565"/>
    </row>
    <row r="179" spans="2:25">
      <c r="B179" s="564" t="s">
        <v>392</v>
      </c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</row>
    <row r="180" spans="2:25">
      <c r="B180" s="562" t="s">
        <v>393</v>
      </c>
      <c r="C180"/>
      <c r="D180"/>
      <c r="E180"/>
      <c r="F180"/>
      <c r="G180"/>
      <c r="H180"/>
      <c r="I180"/>
      <c r="J180"/>
      <c r="K180"/>
      <c r="L180"/>
      <c r="M180"/>
    </row>
    <row r="181" spans="2:25" ht="38.25">
      <c r="B181" s="563" t="s">
        <v>394</v>
      </c>
      <c r="C181" s="563" t="s">
        <v>395</v>
      </c>
      <c r="D181" s="563" t="s">
        <v>396</v>
      </c>
      <c r="E181" s="563" t="s">
        <v>397</v>
      </c>
      <c r="F181" s="563" t="s">
        <v>398</v>
      </c>
      <c r="G181" s="563" t="s">
        <v>399</v>
      </c>
      <c r="H181"/>
      <c r="I181"/>
      <c r="J181"/>
      <c r="K181"/>
      <c r="L181"/>
      <c r="M181"/>
    </row>
    <row r="182" spans="2:25">
      <c r="B182" s="565"/>
      <c r="C182" s="565"/>
      <c r="D182" s="565"/>
      <c r="E182" s="565"/>
      <c r="F182" s="565"/>
      <c r="G182" s="565"/>
      <c r="H182"/>
      <c r="I182"/>
      <c r="J182"/>
      <c r="K182"/>
      <c r="L182"/>
      <c r="M182"/>
    </row>
    <row r="185" spans="2:25" ht="18.75">
      <c r="B185" s="34"/>
      <c r="C185"/>
      <c r="D185"/>
      <c r="E185"/>
      <c r="F185"/>
      <c r="G185"/>
      <c r="H185"/>
      <c r="I185"/>
      <c r="J185"/>
      <c r="K185"/>
      <c r="L185"/>
      <c r="M185"/>
    </row>
    <row r="186" spans="2:25">
      <c r="B186" s="562" t="s">
        <v>367</v>
      </c>
      <c r="C186"/>
      <c r="D186"/>
      <c r="E186"/>
      <c r="F186"/>
      <c r="G186"/>
      <c r="H186"/>
      <c r="I186"/>
      <c r="J186"/>
      <c r="K186"/>
      <c r="L186"/>
      <c r="M186"/>
    </row>
    <row r="187" spans="2:25" ht="38.25">
      <c r="B187" s="563"/>
      <c r="C187" s="563" t="s">
        <v>368</v>
      </c>
      <c r="D187" s="563" t="s">
        <v>369</v>
      </c>
      <c r="E187" s="563" t="s">
        <v>370</v>
      </c>
      <c r="F187" s="563" t="s">
        <v>371</v>
      </c>
      <c r="G187" s="563" t="s">
        <v>372</v>
      </c>
      <c r="H187" s="563" t="s">
        <v>373</v>
      </c>
      <c r="I187" s="563" t="s">
        <v>374</v>
      </c>
      <c r="J187" s="563" t="s">
        <v>375</v>
      </c>
      <c r="K187" s="563" t="s">
        <v>376</v>
      </c>
      <c r="L187" s="563" t="s">
        <v>377</v>
      </c>
      <c r="M187" s="563" t="s">
        <v>378</v>
      </c>
      <c r="N187" s="563" t="s">
        <v>379</v>
      </c>
      <c r="O187" s="563" t="s">
        <v>380</v>
      </c>
      <c r="P187" s="563" t="s">
        <v>381</v>
      </c>
      <c r="Q187" s="563" t="s">
        <v>382</v>
      </c>
      <c r="R187" s="563" t="s">
        <v>383</v>
      </c>
      <c r="S187" s="563" t="s">
        <v>384</v>
      </c>
      <c r="T187" s="563" t="s">
        <v>385</v>
      </c>
      <c r="U187" s="563" t="s">
        <v>386</v>
      </c>
      <c r="V187" s="563" t="s">
        <v>387</v>
      </c>
      <c r="W187" s="563" t="s">
        <v>388</v>
      </c>
      <c r="X187" s="563" t="s">
        <v>389</v>
      </c>
      <c r="Y187" s="563" t="s">
        <v>390</v>
      </c>
    </row>
    <row r="188" spans="2:25">
      <c r="B188" s="564" t="s">
        <v>391</v>
      </c>
      <c r="C188" s="565"/>
      <c r="D188" s="565"/>
      <c r="E188" s="565"/>
      <c r="F188" s="565"/>
      <c r="G188" s="566"/>
      <c r="H188" s="565"/>
      <c r="I188" s="565"/>
      <c r="J188" s="565"/>
      <c r="K188" s="565"/>
      <c r="L188" s="565"/>
      <c r="M188" s="565"/>
      <c r="N188" s="565"/>
      <c r="O188" s="565"/>
      <c r="P188" s="565"/>
      <c r="Q188" s="565"/>
      <c r="R188" s="565"/>
      <c r="S188" s="565"/>
      <c r="T188" s="565"/>
      <c r="U188" s="565"/>
      <c r="V188" s="565"/>
      <c r="W188" s="565"/>
      <c r="X188" s="565"/>
      <c r="Y188" s="565"/>
    </row>
    <row r="189" spans="2:25">
      <c r="B189" s="564" t="s">
        <v>392</v>
      </c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</row>
    <row r="190" spans="2:25">
      <c r="B190" s="562" t="s">
        <v>393</v>
      </c>
      <c r="C190"/>
      <c r="D190"/>
      <c r="E190"/>
      <c r="F190"/>
      <c r="G190"/>
      <c r="H190"/>
      <c r="I190"/>
      <c r="J190"/>
      <c r="K190"/>
      <c r="L190"/>
      <c r="M190"/>
    </row>
    <row r="191" spans="2:25" ht="38.25">
      <c r="B191" s="563" t="s">
        <v>394</v>
      </c>
      <c r="C191" s="563" t="s">
        <v>395</v>
      </c>
      <c r="D191" s="563" t="s">
        <v>396</v>
      </c>
      <c r="E191" s="563" t="s">
        <v>397</v>
      </c>
      <c r="F191" s="563" t="s">
        <v>398</v>
      </c>
      <c r="G191" s="563" t="s">
        <v>399</v>
      </c>
      <c r="H191"/>
      <c r="I191"/>
      <c r="J191"/>
      <c r="K191"/>
      <c r="L191"/>
      <c r="M191"/>
    </row>
    <row r="192" spans="2:25">
      <c r="B192" s="565"/>
      <c r="C192" s="565"/>
      <c r="D192" s="565"/>
      <c r="E192" s="565"/>
      <c r="F192" s="565"/>
      <c r="G192" s="565"/>
      <c r="H192"/>
      <c r="I192"/>
      <c r="J192"/>
      <c r="K192"/>
      <c r="L192"/>
      <c r="M192"/>
    </row>
    <row r="195" spans="2:25" ht="18.75">
      <c r="B195" s="34"/>
      <c r="C195"/>
      <c r="D195"/>
      <c r="E195"/>
      <c r="F195"/>
      <c r="G195"/>
      <c r="H195"/>
      <c r="I195"/>
      <c r="J195"/>
      <c r="K195"/>
      <c r="L195"/>
      <c r="M195"/>
    </row>
    <row r="196" spans="2:25">
      <c r="B196" s="562" t="s">
        <v>367</v>
      </c>
      <c r="C196"/>
      <c r="D196"/>
      <c r="E196"/>
      <c r="F196"/>
      <c r="G196"/>
      <c r="H196"/>
      <c r="I196"/>
      <c r="J196"/>
      <c r="K196"/>
      <c r="L196"/>
      <c r="M196"/>
    </row>
    <row r="197" spans="2:25" ht="38.25">
      <c r="B197" s="563"/>
      <c r="C197" s="563" t="s">
        <v>368</v>
      </c>
      <c r="D197" s="563" t="s">
        <v>369</v>
      </c>
      <c r="E197" s="563" t="s">
        <v>370</v>
      </c>
      <c r="F197" s="563" t="s">
        <v>371</v>
      </c>
      <c r="G197" s="563" t="s">
        <v>372</v>
      </c>
      <c r="H197" s="563" t="s">
        <v>373</v>
      </c>
      <c r="I197" s="563" t="s">
        <v>374</v>
      </c>
      <c r="J197" s="563" t="s">
        <v>375</v>
      </c>
      <c r="K197" s="563" t="s">
        <v>376</v>
      </c>
      <c r="L197" s="563" t="s">
        <v>377</v>
      </c>
      <c r="M197" s="563" t="s">
        <v>378</v>
      </c>
      <c r="N197" s="563" t="s">
        <v>379</v>
      </c>
      <c r="O197" s="563" t="s">
        <v>380</v>
      </c>
      <c r="P197" s="563" t="s">
        <v>381</v>
      </c>
      <c r="Q197" s="563" t="s">
        <v>382</v>
      </c>
      <c r="R197" s="563" t="s">
        <v>383</v>
      </c>
      <c r="S197" s="563" t="s">
        <v>384</v>
      </c>
      <c r="T197" s="563" t="s">
        <v>385</v>
      </c>
      <c r="U197" s="563" t="s">
        <v>386</v>
      </c>
      <c r="V197" s="563" t="s">
        <v>387</v>
      </c>
      <c r="W197" s="563" t="s">
        <v>388</v>
      </c>
      <c r="X197" s="563" t="s">
        <v>389</v>
      </c>
      <c r="Y197" s="563" t="s">
        <v>390</v>
      </c>
    </row>
    <row r="198" spans="2:25">
      <c r="B198" s="564" t="s">
        <v>391</v>
      </c>
      <c r="C198" s="565"/>
      <c r="D198" s="565"/>
      <c r="E198" s="565"/>
      <c r="F198" s="565"/>
      <c r="G198" s="566"/>
      <c r="H198" s="565"/>
      <c r="I198" s="565"/>
      <c r="J198" s="565"/>
      <c r="K198" s="565"/>
      <c r="L198" s="565"/>
      <c r="M198" s="565"/>
      <c r="N198" s="565"/>
      <c r="O198" s="565"/>
      <c r="P198" s="565"/>
      <c r="Q198" s="565"/>
      <c r="R198" s="565"/>
      <c r="S198" s="565"/>
      <c r="T198" s="565"/>
      <c r="U198" s="565"/>
      <c r="V198" s="565"/>
      <c r="W198" s="565"/>
      <c r="X198" s="565"/>
      <c r="Y198" s="565"/>
    </row>
    <row r="199" spans="2:25">
      <c r="B199" s="564" t="s">
        <v>392</v>
      </c>
      <c r="C199" s="565"/>
      <c r="D199" s="565"/>
      <c r="E199" s="565"/>
      <c r="F199" s="565"/>
      <c r="G199" s="565"/>
      <c r="H199" s="565"/>
      <c r="I199" s="565"/>
      <c r="J199" s="565"/>
      <c r="K199" s="565"/>
      <c r="L199" s="565"/>
      <c r="M199" s="565"/>
      <c r="N199" s="565"/>
      <c r="O199" s="565"/>
      <c r="P199" s="565"/>
      <c r="Q199" s="565"/>
      <c r="R199" s="565"/>
      <c r="S199" s="565"/>
      <c r="T199" s="565"/>
      <c r="U199" s="565"/>
      <c r="V199" s="565"/>
      <c r="W199" s="565"/>
      <c r="X199" s="565"/>
      <c r="Y199" s="565"/>
    </row>
    <row r="200" spans="2:25">
      <c r="B200" s="562" t="s">
        <v>393</v>
      </c>
      <c r="C200"/>
      <c r="D200"/>
      <c r="E200"/>
      <c r="F200"/>
      <c r="G200"/>
      <c r="H200"/>
      <c r="I200"/>
      <c r="J200"/>
      <c r="K200"/>
      <c r="L200"/>
      <c r="M200"/>
    </row>
    <row r="201" spans="2:25" ht="38.25">
      <c r="B201" s="563" t="s">
        <v>394</v>
      </c>
      <c r="C201" s="563" t="s">
        <v>395</v>
      </c>
      <c r="D201" s="563" t="s">
        <v>396</v>
      </c>
      <c r="E201" s="563" t="s">
        <v>397</v>
      </c>
      <c r="F201" s="563" t="s">
        <v>398</v>
      </c>
      <c r="G201" s="563" t="s">
        <v>399</v>
      </c>
      <c r="H201"/>
      <c r="I201"/>
      <c r="J201"/>
      <c r="K201"/>
      <c r="L201"/>
      <c r="M201"/>
    </row>
    <row r="202" spans="2:25">
      <c r="B202" s="565"/>
      <c r="C202" s="565"/>
      <c r="D202" s="565"/>
      <c r="E202" s="565"/>
      <c r="F202" s="565"/>
      <c r="G202" s="565"/>
      <c r="H202"/>
      <c r="I202"/>
      <c r="J202"/>
      <c r="K202"/>
      <c r="L202"/>
      <c r="M202"/>
    </row>
    <row r="205" spans="2:25" ht="18.75">
      <c r="B205" s="34"/>
      <c r="C205"/>
      <c r="D205"/>
      <c r="E205"/>
      <c r="F205"/>
      <c r="G205"/>
      <c r="H205"/>
      <c r="I205"/>
      <c r="J205"/>
      <c r="K205"/>
      <c r="L205"/>
      <c r="M205"/>
    </row>
    <row r="206" spans="2:25">
      <c r="B206" s="562" t="s">
        <v>367</v>
      </c>
      <c r="C206"/>
      <c r="D206"/>
      <c r="E206"/>
      <c r="F206"/>
      <c r="G206"/>
      <c r="H206"/>
      <c r="I206"/>
      <c r="J206"/>
      <c r="K206"/>
      <c r="L206"/>
      <c r="M206"/>
    </row>
    <row r="207" spans="2:25" ht="38.25">
      <c r="B207" s="563"/>
      <c r="C207" s="563" t="s">
        <v>368</v>
      </c>
      <c r="D207" s="563" t="s">
        <v>369</v>
      </c>
      <c r="E207" s="563" t="s">
        <v>370</v>
      </c>
      <c r="F207" s="563" t="s">
        <v>371</v>
      </c>
      <c r="G207" s="563" t="s">
        <v>372</v>
      </c>
      <c r="H207" s="563" t="s">
        <v>373</v>
      </c>
      <c r="I207" s="563" t="s">
        <v>374</v>
      </c>
      <c r="J207" s="563" t="s">
        <v>375</v>
      </c>
      <c r="K207" s="563" t="s">
        <v>376</v>
      </c>
      <c r="L207" s="563" t="s">
        <v>377</v>
      </c>
      <c r="M207" s="563" t="s">
        <v>378</v>
      </c>
      <c r="N207" s="563" t="s">
        <v>379</v>
      </c>
      <c r="O207" s="563" t="s">
        <v>380</v>
      </c>
      <c r="P207" s="563" t="s">
        <v>381</v>
      </c>
      <c r="Q207" s="563" t="s">
        <v>382</v>
      </c>
      <c r="R207" s="563" t="s">
        <v>383</v>
      </c>
      <c r="S207" s="563" t="s">
        <v>384</v>
      </c>
      <c r="T207" s="563" t="s">
        <v>385</v>
      </c>
      <c r="U207" s="563" t="s">
        <v>386</v>
      </c>
      <c r="V207" s="563" t="s">
        <v>387</v>
      </c>
      <c r="W207" s="563" t="s">
        <v>388</v>
      </c>
      <c r="X207" s="563" t="s">
        <v>389</v>
      </c>
      <c r="Y207" s="563" t="s">
        <v>390</v>
      </c>
    </row>
    <row r="208" spans="2:25">
      <c r="B208" s="564" t="s">
        <v>391</v>
      </c>
      <c r="C208" s="565"/>
      <c r="D208" s="565"/>
      <c r="E208" s="565"/>
      <c r="F208" s="565"/>
      <c r="G208" s="566"/>
      <c r="H208" s="565"/>
      <c r="I208" s="565"/>
      <c r="J208" s="565"/>
      <c r="K208" s="565"/>
      <c r="L208" s="565"/>
      <c r="M208" s="565"/>
      <c r="N208" s="565"/>
      <c r="O208" s="565"/>
      <c r="P208" s="565"/>
      <c r="Q208" s="565"/>
      <c r="R208" s="565"/>
      <c r="S208" s="565"/>
      <c r="T208" s="565"/>
      <c r="U208" s="565"/>
      <c r="V208" s="565"/>
      <c r="W208" s="565"/>
      <c r="X208" s="565"/>
      <c r="Y208" s="565"/>
    </row>
    <row r="209" spans="2:25">
      <c r="B209" s="564" t="s">
        <v>392</v>
      </c>
      <c r="C209" s="565"/>
      <c r="D209" s="565"/>
      <c r="E209" s="565"/>
      <c r="F209" s="565"/>
      <c r="G209" s="565"/>
      <c r="H209" s="565"/>
      <c r="I209" s="565"/>
      <c r="J209" s="565"/>
      <c r="K209" s="565"/>
      <c r="L209" s="565"/>
      <c r="M209" s="565"/>
      <c r="N209" s="565"/>
      <c r="O209" s="565"/>
      <c r="P209" s="565"/>
      <c r="Q209" s="565"/>
      <c r="R209" s="565"/>
      <c r="S209" s="565"/>
      <c r="T209" s="565"/>
      <c r="U209" s="565"/>
      <c r="V209" s="565"/>
      <c r="W209" s="565"/>
      <c r="X209" s="565"/>
      <c r="Y209" s="565"/>
    </row>
    <row r="210" spans="2:25">
      <c r="B210" s="562" t="s">
        <v>393</v>
      </c>
      <c r="C210"/>
      <c r="D210"/>
      <c r="E210"/>
      <c r="F210"/>
      <c r="G210"/>
      <c r="H210"/>
      <c r="I210"/>
      <c r="J210"/>
      <c r="K210"/>
      <c r="L210"/>
      <c r="M210"/>
    </row>
    <row r="211" spans="2:25" ht="38.25">
      <c r="B211" s="563" t="s">
        <v>394</v>
      </c>
      <c r="C211" s="563" t="s">
        <v>395</v>
      </c>
      <c r="D211" s="563" t="s">
        <v>396</v>
      </c>
      <c r="E211" s="563" t="s">
        <v>397</v>
      </c>
      <c r="F211" s="563" t="s">
        <v>398</v>
      </c>
      <c r="G211" s="563" t="s">
        <v>399</v>
      </c>
      <c r="H211"/>
      <c r="I211"/>
      <c r="J211"/>
      <c r="K211"/>
      <c r="L211"/>
      <c r="M211"/>
    </row>
    <row r="212" spans="2:25">
      <c r="B212" s="565"/>
      <c r="C212" s="565"/>
      <c r="D212" s="565"/>
      <c r="E212" s="565"/>
      <c r="F212" s="565"/>
      <c r="G212" s="565"/>
      <c r="H212"/>
      <c r="I212"/>
      <c r="J212"/>
      <c r="K212"/>
      <c r="L212"/>
      <c r="M212"/>
    </row>
    <row r="215" spans="2:25" ht="18.75">
      <c r="B215" s="34"/>
      <c r="C215"/>
      <c r="D215"/>
      <c r="E215"/>
      <c r="F215"/>
      <c r="G215"/>
      <c r="H215"/>
      <c r="I215"/>
      <c r="J215"/>
      <c r="K215"/>
      <c r="L215"/>
      <c r="M215"/>
    </row>
    <row r="216" spans="2:25">
      <c r="B216" s="562" t="s">
        <v>367</v>
      </c>
      <c r="C216"/>
      <c r="D216"/>
      <c r="E216"/>
      <c r="F216"/>
      <c r="G216"/>
      <c r="H216"/>
      <c r="I216"/>
      <c r="J216"/>
      <c r="K216"/>
      <c r="L216"/>
      <c r="M216"/>
    </row>
    <row r="217" spans="2:25" ht="38.25">
      <c r="B217" s="563"/>
      <c r="C217" s="563" t="s">
        <v>368</v>
      </c>
      <c r="D217" s="563" t="s">
        <v>369</v>
      </c>
      <c r="E217" s="563" t="s">
        <v>370</v>
      </c>
      <c r="F217" s="563" t="s">
        <v>371</v>
      </c>
      <c r="G217" s="563" t="s">
        <v>372</v>
      </c>
      <c r="H217" s="563" t="s">
        <v>373</v>
      </c>
      <c r="I217" s="563" t="s">
        <v>374</v>
      </c>
      <c r="J217" s="563" t="s">
        <v>375</v>
      </c>
      <c r="K217" s="563" t="s">
        <v>376</v>
      </c>
      <c r="L217" s="563" t="s">
        <v>377</v>
      </c>
      <c r="M217" s="563" t="s">
        <v>378</v>
      </c>
      <c r="N217" s="563" t="s">
        <v>379</v>
      </c>
      <c r="O217" s="563" t="s">
        <v>380</v>
      </c>
      <c r="P217" s="563" t="s">
        <v>381</v>
      </c>
      <c r="Q217" s="563" t="s">
        <v>382</v>
      </c>
      <c r="R217" s="563" t="s">
        <v>383</v>
      </c>
      <c r="S217" s="563" t="s">
        <v>384</v>
      </c>
      <c r="T217" s="563" t="s">
        <v>385</v>
      </c>
      <c r="U217" s="563" t="s">
        <v>386</v>
      </c>
      <c r="V217" s="563" t="s">
        <v>387</v>
      </c>
      <c r="W217" s="563" t="s">
        <v>388</v>
      </c>
      <c r="X217" s="563" t="s">
        <v>389</v>
      </c>
      <c r="Y217" s="563" t="s">
        <v>390</v>
      </c>
    </row>
    <row r="218" spans="2:25">
      <c r="B218" s="564" t="s">
        <v>391</v>
      </c>
      <c r="C218" s="565"/>
      <c r="D218" s="565"/>
      <c r="E218" s="565"/>
      <c r="F218" s="565"/>
      <c r="G218" s="566"/>
      <c r="H218" s="565"/>
      <c r="I218" s="565"/>
      <c r="J218" s="565"/>
      <c r="K218" s="565"/>
      <c r="L218" s="565"/>
      <c r="M218" s="565"/>
      <c r="N218" s="565"/>
      <c r="O218" s="565"/>
      <c r="P218" s="565"/>
      <c r="Q218" s="565"/>
      <c r="R218" s="565"/>
      <c r="S218" s="565"/>
      <c r="T218" s="565"/>
      <c r="U218" s="565"/>
      <c r="V218" s="565"/>
      <c r="W218" s="565"/>
      <c r="X218" s="565"/>
      <c r="Y218" s="565"/>
    </row>
    <row r="219" spans="2:25">
      <c r="B219" s="564" t="s">
        <v>392</v>
      </c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</row>
    <row r="220" spans="2:25">
      <c r="B220" s="562" t="s">
        <v>393</v>
      </c>
      <c r="C220"/>
      <c r="D220"/>
      <c r="E220"/>
      <c r="F220"/>
      <c r="G220"/>
      <c r="H220"/>
      <c r="I220"/>
      <c r="J220"/>
      <c r="K220"/>
      <c r="L220"/>
      <c r="M220"/>
    </row>
    <row r="221" spans="2:25" ht="38.25">
      <c r="B221" s="563" t="s">
        <v>394</v>
      </c>
      <c r="C221" s="563" t="s">
        <v>395</v>
      </c>
      <c r="D221" s="563" t="s">
        <v>396</v>
      </c>
      <c r="E221" s="563" t="s">
        <v>397</v>
      </c>
      <c r="F221" s="563" t="s">
        <v>398</v>
      </c>
      <c r="G221" s="563" t="s">
        <v>399</v>
      </c>
      <c r="H221"/>
      <c r="I221"/>
      <c r="J221"/>
      <c r="K221"/>
      <c r="L221"/>
      <c r="M221"/>
    </row>
    <row r="222" spans="2:25">
      <c r="B222" s="565"/>
      <c r="C222" s="565"/>
      <c r="D222" s="565"/>
      <c r="E222" s="565"/>
      <c r="F222" s="565"/>
      <c r="G222" s="565"/>
      <c r="H222"/>
      <c r="I222"/>
      <c r="J222"/>
      <c r="K222"/>
      <c r="L222"/>
      <c r="M222"/>
    </row>
    <row r="225" spans="2:25" ht="18.75">
      <c r="B225" s="34"/>
      <c r="C225"/>
      <c r="D225"/>
      <c r="E225"/>
      <c r="F225"/>
      <c r="G225"/>
      <c r="H225"/>
      <c r="I225"/>
      <c r="J225"/>
      <c r="K225"/>
      <c r="L225"/>
      <c r="M225"/>
    </row>
    <row r="226" spans="2:25">
      <c r="B226" s="562" t="s">
        <v>367</v>
      </c>
      <c r="C226"/>
      <c r="D226"/>
      <c r="E226"/>
      <c r="F226"/>
      <c r="G226"/>
      <c r="H226"/>
      <c r="I226"/>
      <c r="J226"/>
      <c r="K226"/>
      <c r="L226"/>
      <c r="M226"/>
    </row>
    <row r="227" spans="2:25" ht="38.25">
      <c r="B227" s="563"/>
      <c r="C227" s="563" t="s">
        <v>368</v>
      </c>
      <c r="D227" s="563" t="s">
        <v>369</v>
      </c>
      <c r="E227" s="563" t="s">
        <v>370</v>
      </c>
      <c r="F227" s="563" t="s">
        <v>371</v>
      </c>
      <c r="G227" s="563" t="s">
        <v>372</v>
      </c>
      <c r="H227" s="563" t="s">
        <v>373</v>
      </c>
      <c r="I227" s="563" t="s">
        <v>374</v>
      </c>
      <c r="J227" s="563" t="s">
        <v>375</v>
      </c>
      <c r="K227" s="563" t="s">
        <v>376</v>
      </c>
      <c r="L227" s="563" t="s">
        <v>377</v>
      </c>
      <c r="M227" s="563" t="s">
        <v>378</v>
      </c>
      <c r="N227" s="563" t="s">
        <v>379</v>
      </c>
      <c r="O227" s="563" t="s">
        <v>380</v>
      </c>
      <c r="P227" s="563" t="s">
        <v>381</v>
      </c>
      <c r="Q227" s="563" t="s">
        <v>382</v>
      </c>
      <c r="R227" s="563" t="s">
        <v>383</v>
      </c>
      <c r="S227" s="563" t="s">
        <v>384</v>
      </c>
      <c r="T227" s="563" t="s">
        <v>385</v>
      </c>
      <c r="U227" s="563" t="s">
        <v>386</v>
      </c>
      <c r="V227" s="563" t="s">
        <v>387</v>
      </c>
      <c r="W227" s="563" t="s">
        <v>388</v>
      </c>
      <c r="X227" s="563" t="s">
        <v>389</v>
      </c>
      <c r="Y227" s="563" t="s">
        <v>390</v>
      </c>
    </row>
    <row r="228" spans="2:25">
      <c r="B228" s="564" t="s">
        <v>391</v>
      </c>
      <c r="C228" s="565"/>
      <c r="D228" s="565"/>
      <c r="E228" s="565"/>
      <c r="F228" s="565"/>
      <c r="G228" s="566"/>
      <c r="H228" s="565"/>
      <c r="I228" s="565"/>
      <c r="J228" s="565"/>
      <c r="K228" s="565"/>
      <c r="L228" s="565"/>
      <c r="M228" s="565"/>
      <c r="N228" s="565"/>
      <c r="O228" s="565"/>
      <c r="P228" s="565"/>
      <c r="Q228" s="565"/>
      <c r="R228" s="565"/>
      <c r="S228" s="565"/>
      <c r="T228" s="565"/>
      <c r="U228" s="565"/>
      <c r="V228" s="565"/>
      <c r="W228" s="565"/>
      <c r="X228" s="565"/>
      <c r="Y228" s="565"/>
    </row>
    <row r="229" spans="2:25">
      <c r="B229" s="564" t="s">
        <v>392</v>
      </c>
      <c r="C229" s="565"/>
      <c r="D229" s="565"/>
      <c r="E229" s="565"/>
      <c r="F229" s="565"/>
      <c r="G229" s="565"/>
      <c r="H229" s="565"/>
      <c r="I229" s="565"/>
      <c r="J229" s="565"/>
      <c r="K229" s="565"/>
      <c r="L229" s="565"/>
      <c r="M229" s="565"/>
      <c r="N229" s="565"/>
      <c r="O229" s="565"/>
      <c r="P229" s="565"/>
      <c r="Q229" s="565"/>
      <c r="R229" s="565"/>
      <c r="S229" s="565"/>
      <c r="T229" s="565"/>
      <c r="U229" s="565"/>
      <c r="V229" s="565"/>
      <c r="W229" s="565"/>
      <c r="X229" s="565"/>
      <c r="Y229" s="565"/>
    </row>
    <row r="230" spans="2:25">
      <c r="B230" s="562" t="s">
        <v>393</v>
      </c>
      <c r="C230"/>
      <c r="D230"/>
      <c r="E230"/>
      <c r="F230"/>
      <c r="G230"/>
      <c r="H230"/>
      <c r="I230"/>
      <c r="J230"/>
      <c r="K230"/>
      <c r="L230"/>
      <c r="M230"/>
    </row>
    <row r="231" spans="2:25" ht="38.25">
      <c r="B231" s="563" t="s">
        <v>394</v>
      </c>
      <c r="C231" s="563" t="s">
        <v>395</v>
      </c>
      <c r="D231" s="563" t="s">
        <v>396</v>
      </c>
      <c r="E231" s="563" t="s">
        <v>397</v>
      </c>
      <c r="F231" s="563" t="s">
        <v>398</v>
      </c>
      <c r="G231" s="563" t="s">
        <v>399</v>
      </c>
      <c r="H231"/>
      <c r="I231"/>
      <c r="J231"/>
      <c r="K231"/>
      <c r="L231"/>
      <c r="M231"/>
    </row>
    <row r="232" spans="2:25">
      <c r="B232" s="565"/>
      <c r="C232" s="565"/>
      <c r="D232" s="565"/>
      <c r="E232" s="565"/>
      <c r="F232" s="565"/>
      <c r="G232" s="565"/>
      <c r="H232"/>
      <c r="I232"/>
      <c r="J232"/>
      <c r="K232"/>
      <c r="L232"/>
      <c r="M232"/>
    </row>
    <row r="235" spans="2:25" ht="18.75">
      <c r="B235" s="34"/>
      <c r="C235"/>
      <c r="D235"/>
      <c r="E235"/>
      <c r="F235"/>
      <c r="G235"/>
      <c r="H235"/>
      <c r="I235"/>
      <c r="J235"/>
      <c r="K235"/>
      <c r="L235"/>
      <c r="M235"/>
    </row>
    <row r="236" spans="2:25">
      <c r="B236" s="562" t="s">
        <v>367</v>
      </c>
      <c r="C236"/>
      <c r="D236"/>
      <c r="E236"/>
      <c r="F236"/>
      <c r="G236"/>
      <c r="H236"/>
      <c r="I236"/>
      <c r="J236"/>
      <c r="K236"/>
      <c r="L236"/>
      <c r="M236"/>
    </row>
    <row r="237" spans="2:25" ht="38.25">
      <c r="B237" s="563"/>
      <c r="C237" s="563" t="s">
        <v>368</v>
      </c>
      <c r="D237" s="563" t="s">
        <v>369</v>
      </c>
      <c r="E237" s="563" t="s">
        <v>370</v>
      </c>
      <c r="F237" s="563" t="s">
        <v>371</v>
      </c>
      <c r="G237" s="563" t="s">
        <v>372</v>
      </c>
      <c r="H237" s="563" t="s">
        <v>373</v>
      </c>
      <c r="I237" s="563" t="s">
        <v>374</v>
      </c>
      <c r="J237" s="563" t="s">
        <v>375</v>
      </c>
      <c r="K237" s="563" t="s">
        <v>376</v>
      </c>
      <c r="L237" s="563" t="s">
        <v>377</v>
      </c>
      <c r="M237" s="563" t="s">
        <v>378</v>
      </c>
      <c r="N237" s="563" t="s">
        <v>379</v>
      </c>
      <c r="O237" s="563" t="s">
        <v>380</v>
      </c>
      <c r="P237" s="563" t="s">
        <v>381</v>
      </c>
      <c r="Q237" s="563" t="s">
        <v>382</v>
      </c>
      <c r="R237" s="563" t="s">
        <v>383</v>
      </c>
      <c r="S237" s="563" t="s">
        <v>384</v>
      </c>
      <c r="T237" s="563" t="s">
        <v>385</v>
      </c>
      <c r="U237" s="563" t="s">
        <v>386</v>
      </c>
      <c r="V237" s="563" t="s">
        <v>387</v>
      </c>
      <c r="W237" s="563" t="s">
        <v>388</v>
      </c>
      <c r="X237" s="563" t="s">
        <v>389</v>
      </c>
      <c r="Y237" s="563" t="s">
        <v>390</v>
      </c>
    </row>
    <row r="238" spans="2:25">
      <c r="B238" s="564" t="s">
        <v>391</v>
      </c>
      <c r="C238" s="565"/>
      <c r="D238" s="565"/>
      <c r="E238" s="565"/>
      <c r="F238" s="565"/>
      <c r="G238" s="566"/>
      <c r="H238" s="565"/>
      <c r="I238" s="565"/>
      <c r="J238" s="565"/>
      <c r="K238" s="565"/>
      <c r="L238" s="565"/>
      <c r="M238" s="565"/>
      <c r="N238" s="565"/>
      <c r="O238" s="565"/>
      <c r="P238" s="565"/>
      <c r="Q238" s="565"/>
      <c r="R238" s="565"/>
      <c r="S238" s="565"/>
      <c r="T238" s="565"/>
      <c r="U238" s="565"/>
      <c r="V238" s="565"/>
      <c r="W238" s="565"/>
      <c r="X238" s="565"/>
      <c r="Y238" s="565"/>
    </row>
    <row r="239" spans="2:25">
      <c r="B239" s="564" t="s">
        <v>392</v>
      </c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5"/>
      <c r="P239" s="565"/>
      <c r="Q239" s="565"/>
      <c r="R239" s="565"/>
      <c r="S239" s="565"/>
      <c r="T239" s="565"/>
      <c r="U239" s="565"/>
      <c r="V239" s="565"/>
      <c r="W239" s="565"/>
      <c r="X239" s="565"/>
      <c r="Y239" s="565"/>
    </row>
    <row r="240" spans="2:25">
      <c r="B240" s="562" t="s">
        <v>393</v>
      </c>
      <c r="C240"/>
      <c r="D240"/>
      <c r="E240"/>
      <c r="F240"/>
      <c r="G240"/>
      <c r="H240"/>
      <c r="I240"/>
      <c r="J240"/>
      <c r="K240"/>
      <c r="L240"/>
      <c r="M240"/>
    </row>
    <row r="241" spans="2:13" ht="38.25">
      <c r="B241" s="563" t="s">
        <v>394</v>
      </c>
      <c r="C241" s="563" t="s">
        <v>395</v>
      </c>
      <c r="D241" s="563" t="s">
        <v>396</v>
      </c>
      <c r="E241" s="563" t="s">
        <v>397</v>
      </c>
      <c r="F241" s="563" t="s">
        <v>398</v>
      </c>
      <c r="G241" s="563" t="s">
        <v>399</v>
      </c>
      <c r="H241"/>
      <c r="I241"/>
      <c r="J241"/>
      <c r="K241"/>
      <c r="L241"/>
      <c r="M241"/>
    </row>
    <row r="242" spans="2:13">
      <c r="B242" s="565"/>
      <c r="C242" s="565"/>
      <c r="D242" s="565"/>
      <c r="E242" s="565"/>
      <c r="F242" s="565"/>
      <c r="G242" s="565"/>
      <c r="H242"/>
      <c r="I242"/>
      <c r="J242"/>
      <c r="K242"/>
      <c r="L242"/>
      <c r="M242"/>
    </row>
  </sheetData>
  <mergeCells count="2">
    <mergeCell ref="C3:D3"/>
    <mergeCell ref="B2:D2"/>
  </mergeCells>
  <dataValidations count="8">
    <dataValidation type="list" allowBlank="1" showInputMessage="1" showErrorMessage="1" sqref="C10">
      <formula1>KPR_koef_programa</formula1>
    </dataValidation>
    <dataValidation type="list" allowBlank="1" showInputMessage="1" showErrorMessage="1" sqref="C9">
      <formula1>KT</formula1>
    </dataValidation>
    <dataValidation type="list" allowBlank="1" showInputMessage="1" showErrorMessage="1" sqref="C7">
      <formula1>KBP</formula1>
    </dataValidation>
    <dataValidation type="list" allowBlank="1" showInputMessage="1" showErrorMessage="1" sqref="C3">
      <formula1>Zvanje</formula1>
    </dataValidation>
    <dataValidation type="list" allowBlank="1" showInputMessage="1" showErrorMessage="1" sqref="A18:A29">
      <formula1>Semestar</formula1>
    </dataValidation>
    <dataValidation type="list" allowBlank="1" showInputMessage="1" showErrorMessage="1" sqref="B2">
      <formula1>Nastavnici</formula1>
    </dataValidation>
    <dataValidation type="list" allowBlank="1" showInputMessage="1" showErrorMessage="1" sqref="J18:J29">
      <formula1>Tip_nastave</formula1>
    </dataValidation>
    <dataValidation type="list" allowBlank="1" showInputMessage="1" showErrorMessage="1" sqref="I18:I29">
      <formula1>Lokacija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62"/>
  <sheetViews>
    <sheetView workbookViewId="0">
      <selection activeCell="C12" sqref="C12"/>
    </sheetView>
  </sheetViews>
  <sheetFormatPr defaultColWidth="11" defaultRowHeight="15.75"/>
  <cols>
    <col min="1" max="1" width="4.875" customWidth="1"/>
    <col min="2" max="2" width="40.125" customWidth="1"/>
    <col min="3" max="17" width="9" customWidth="1"/>
  </cols>
  <sheetData>
    <row r="1" spans="2:19" s="100" customFormat="1" thickBot="1">
      <c r="B1" s="121" t="s">
        <v>648</v>
      </c>
    </row>
    <row r="2" spans="2:19" s="112" customFormat="1" ht="15">
      <c r="B2" s="1606"/>
      <c r="C2" s="1607"/>
      <c r="D2" s="1608"/>
      <c r="E2" s="685"/>
      <c r="L2" s="559"/>
      <c r="M2" s="124"/>
      <c r="N2" s="124"/>
    </row>
    <row r="3" spans="2:19" s="112" customFormat="1" ht="15">
      <c r="B3" s="686" t="s">
        <v>138</v>
      </c>
      <c r="C3" s="1604" t="s">
        <v>220</v>
      </c>
      <c r="D3" s="1605"/>
      <c r="M3" s="112">
        <f>I4</f>
        <v>0</v>
      </c>
    </row>
    <row r="4" spans="2:19" s="112" customFormat="1" thickBot="1">
      <c r="B4" s="687" t="s">
        <v>177</v>
      </c>
      <c r="C4" s="688"/>
      <c r="D4" s="689"/>
      <c r="M4" s="690"/>
      <c r="N4" s="690"/>
      <c r="O4" s="690"/>
      <c r="P4" s="690"/>
      <c r="Q4" s="690"/>
      <c r="R4" s="690"/>
      <c r="S4" s="690"/>
    </row>
    <row r="5" spans="2:19" s="112" customFormat="1">
      <c r="B5" s="269" t="s">
        <v>175</v>
      </c>
      <c r="C5" s="127">
        <f>IF(C4=0,0,IF(C3="Saradnik",Cenovnik!D11,IF(C3="Asistent",Cenovnik!D12,IF(C3="Predavač",Cenovnik!D13,IF(C3="Viši predavač",Cenovnik!D14,IF(C3="Docent",Cenovnik!D15,IF(C3="Vanr. profesor",Cenovnik!D16,IF(C3="Red. profesor",Cenovnik!D17))))))))</f>
        <v>0</v>
      </c>
      <c r="D5" s="691"/>
      <c r="G5" s="113"/>
      <c r="L5" s="559"/>
      <c r="M5" s="128"/>
      <c r="N5" s="128"/>
      <c r="O5" s="690"/>
      <c r="P5" s="690"/>
      <c r="Q5" s="690"/>
      <c r="R5" s="690"/>
      <c r="S5" s="690"/>
    </row>
    <row r="6" spans="2:19" s="112" customFormat="1" ht="15">
      <c r="B6" s="692" t="s">
        <v>140</v>
      </c>
      <c r="C6" s="693"/>
      <c r="D6" s="694"/>
      <c r="E6" s="130"/>
      <c r="G6" s="113"/>
      <c r="L6" s="559"/>
      <c r="M6" s="128"/>
      <c r="N6" s="128"/>
      <c r="O6" s="690"/>
      <c r="P6" s="690"/>
      <c r="Q6" s="690"/>
      <c r="R6" s="690"/>
      <c r="S6" s="690"/>
    </row>
    <row r="7" spans="2:19" s="112" customFormat="1" ht="15">
      <c r="B7" s="686" t="s">
        <v>142</v>
      </c>
      <c r="C7" s="114"/>
      <c r="D7" s="1079"/>
      <c r="G7" s="696"/>
      <c r="H7" s="155"/>
      <c r="M7" s="690"/>
      <c r="N7" s="690"/>
      <c r="O7" s="690"/>
      <c r="P7" s="690"/>
      <c r="Q7" s="690"/>
      <c r="R7" s="690"/>
      <c r="S7" s="690"/>
    </row>
    <row r="8" spans="2:19" s="112" customFormat="1" ht="15">
      <c r="B8" s="697" t="s">
        <v>143</v>
      </c>
      <c r="C8" s="698">
        <f>IF(C4=100%,1,IF(C4&gt;=60%,Cenovnik!D26,IF(C4&gt;=30%,Cenovnik!D27, IF(C4&gt;=5%, Cenovnik!D28, 0))))</f>
        <v>0</v>
      </c>
      <c r="D8" s="699"/>
      <c r="G8" s="700"/>
      <c r="H8" s="132"/>
      <c r="M8" s="690"/>
      <c r="N8" s="690"/>
      <c r="O8" s="690"/>
      <c r="P8" s="690"/>
      <c r="Q8" s="690"/>
      <c r="R8" s="690"/>
      <c r="S8" s="690"/>
    </row>
    <row r="9" spans="2:19" s="112" customFormat="1" ht="15">
      <c r="B9" s="686" t="s">
        <v>144</v>
      </c>
      <c r="C9" s="114"/>
      <c r="D9" s="701"/>
      <c r="G9" s="700"/>
    </row>
    <row r="10" spans="2:19" s="112" customFormat="1" thickBot="1">
      <c r="B10" s="702" t="s">
        <v>145</v>
      </c>
      <c r="C10" s="116"/>
      <c r="D10" s="1080"/>
      <c r="G10" s="700"/>
    </row>
    <row r="11" spans="2:19" s="112" customFormat="1" thickBot="1">
      <c r="B11" s="704" t="s">
        <v>176</v>
      </c>
      <c r="C11" s="705">
        <f>Cenovnik!D7</f>
        <v>100</v>
      </c>
      <c r="D11" s="706"/>
    </row>
    <row r="12" spans="2:19" s="112" customFormat="1" ht="15">
      <c r="B12" s="707" t="s">
        <v>147</v>
      </c>
      <c r="C12" s="708">
        <v>0</v>
      </c>
      <c r="D12" s="709" t="s">
        <v>139</v>
      </c>
    </row>
    <row r="13" spans="2:19" s="112" customFormat="1" ht="15">
      <c r="B13" s="136" t="s">
        <v>148</v>
      </c>
      <c r="C13" s="137" t="s">
        <v>149</v>
      </c>
      <c r="D13" s="138" t="s">
        <v>146</v>
      </c>
      <c r="F13" s="124" t="s">
        <v>150</v>
      </c>
    </row>
    <row r="14" spans="2:19" s="112" customFormat="1" thickBot="1">
      <c r="B14" s="710"/>
      <c r="C14" s="307"/>
      <c r="D14" s="139">
        <f>C14*C11</f>
        <v>0</v>
      </c>
      <c r="K14" s="112" t="s">
        <v>151</v>
      </c>
      <c r="R14" s="112">
        <f>17/50</f>
        <v>0.34</v>
      </c>
    </row>
    <row r="15" spans="2:19" s="112" customFormat="1" ht="16.5" thickTop="1" thickBot="1">
      <c r="B15" s="140" t="s">
        <v>152</v>
      </c>
      <c r="C15" s="711">
        <f>C5*C7*C8*C9*C10+C12</f>
        <v>0</v>
      </c>
      <c r="D15" s="621">
        <f>C15*C11</f>
        <v>0</v>
      </c>
      <c r="E15" s="141"/>
      <c r="F15" s="142"/>
      <c r="G15" s="143"/>
      <c r="H15" s="143"/>
      <c r="I15" s="143"/>
      <c r="J15" s="617" t="s">
        <v>490</v>
      </c>
      <c r="K15" s="618">
        <f>SUM(K18:K23)</f>
        <v>0</v>
      </c>
      <c r="L15" s="149">
        <f>SUM(L18:L23)</f>
        <v>0</v>
      </c>
      <c r="M15" s="613" t="s">
        <v>492</v>
      </c>
    </row>
    <row r="16" spans="2:19" s="112" customFormat="1" thickBot="1">
      <c r="B16" s="611" t="s">
        <v>468</v>
      </c>
      <c r="C16" s="144"/>
      <c r="D16" s="712" t="s">
        <v>153</v>
      </c>
      <c r="E16" s="713"/>
      <c r="F16" s="714" t="s">
        <v>154</v>
      </c>
      <c r="G16" s="715" t="s">
        <v>155</v>
      </c>
      <c r="H16" s="716" t="s">
        <v>156</v>
      </c>
      <c r="I16" s="715" t="s">
        <v>157</v>
      </c>
      <c r="J16" s="619" t="s">
        <v>491</v>
      </c>
      <c r="K16" s="620">
        <f>SUM(K24:K29)</f>
        <v>0</v>
      </c>
      <c r="L16" s="151">
        <f>SUM(L24:L29)</f>
        <v>0</v>
      </c>
      <c r="M16" s="614">
        <f>15*(L15+L16)/(12*2)</f>
        <v>0</v>
      </c>
    </row>
    <row r="17" spans="1:13" s="112" customFormat="1" thickBot="1">
      <c r="A17" s="501" t="s">
        <v>158</v>
      </c>
      <c r="B17" s="716" t="s">
        <v>159</v>
      </c>
      <c r="C17" s="717" t="s">
        <v>160</v>
      </c>
      <c r="D17" s="718" t="s">
        <v>161</v>
      </c>
      <c r="E17" s="719" t="s">
        <v>162</v>
      </c>
      <c r="F17" s="720"/>
      <c r="G17" s="721" t="s">
        <v>162</v>
      </c>
      <c r="H17" s="722" t="s">
        <v>163</v>
      </c>
      <c r="I17" s="722" t="s">
        <v>164</v>
      </c>
      <c r="J17" s="723" t="s">
        <v>165</v>
      </c>
      <c r="K17" s="724" t="s">
        <v>149</v>
      </c>
      <c r="L17" s="616" t="s">
        <v>146</v>
      </c>
      <c r="M17" s="725" t="s">
        <v>166</v>
      </c>
    </row>
    <row r="18" spans="1:13" s="112" customFormat="1" ht="15">
      <c r="A18" s="310" t="s">
        <v>167</v>
      </c>
      <c r="B18" s="726"/>
      <c r="C18" s="727"/>
      <c r="D18" s="728"/>
      <c r="E18" s="980"/>
      <c r="F18" s="730"/>
      <c r="G18" s="731"/>
      <c r="H18" s="554">
        <f>(D18+E18)*G18</f>
        <v>0</v>
      </c>
      <c r="I18" s="118"/>
      <c r="J18" s="538"/>
      <c r="K18" s="548">
        <f>IF(J18="Klas.",Cenovnik!$D$42, IF(J18="Hibr.",Cenovnik!$D$43,Cenovnik!$D$44))*$C$9*$C$10*(C18*IF($C$3="Red. profesor",Cenovnik!$D$39,IF($C$3="Vanr. profesor",Cenovnik!$D$38,IF($C$3="Docent",Cenovnik!$D$37,Cenovnik!$D$36)))+H18*Cenovnik!$D$35)</f>
        <v>0</v>
      </c>
      <c r="L18" s="149">
        <f t="shared" ref="L18:L29" si="0">K18*$C$11</f>
        <v>0</v>
      </c>
      <c r="M18" s="149">
        <f>15*L18</f>
        <v>0</v>
      </c>
    </row>
    <row r="19" spans="1:13" s="112" customFormat="1" ht="15">
      <c r="A19" s="732" t="s">
        <v>167</v>
      </c>
      <c r="B19" s="733"/>
      <c r="C19" s="734"/>
      <c r="D19" s="668"/>
      <c r="E19" s="981"/>
      <c r="F19" s="735"/>
      <c r="G19" s="736"/>
      <c r="H19" s="370">
        <f t="shared" ref="H19:H20" si="1">(D19+E19)*G19</f>
        <v>0</v>
      </c>
      <c r="I19" s="737"/>
      <c r="J19" s="536"/>
      <c r="K19" s="558">
        <f>IF(J19="Klas.",Cenovnik!$D$42, IF(J19="Hibr.",Cenovnik!$D$43,Cenovnik!$D$44))*$C$9*$C$10*(C19*IF($C$3="Red. profesor",Cenovnik!$D$39,IF($C$3="Vanr. profesor",Cenovnik!$D$38,IF($C$3="Docent",Cenovnik!$D$37,Cenovnik!$D$36)))+H19*Cenovnik!$D$35)</f>
        <v>0</v>
      </c>
      <c r="L19" s="150">
        <f t="shared" ref="L19:L20" si="2">K19*$C$11</f>
        <v>0</v>
      </c>
      <c r="M19" s="150">
        <f t="shared" ref="M19:M20" si="3">15*L19</f>
        <v>0</v>
      </c>
    </row>
    <row r="20" spans="1:13" s="112" customFormat="1" ht="15">
      <c r="A20" s="732" t="s">
        <v>167</v>
      </c>
      <c r="B20" s="733"/>
      <c r="C20" s="734"/>
      <c r="D20" s="668"/>
      <c r="E20" s="981"/>
      <c r="F20" s="735"/>
      <c r="G20" s="736"/>
      <c r="H20" s="370">
        <f t="shared" si="1"/>
        <v>0</v>
      </c>
      <c r="I20" s="737"/>
      <c r="J20" s="536"/>
      <c r="K20" s="558">
        <f>IF(J20="Klas.",Cenovnik!$D$42, IF(J20="Hibr.",Cenovnik!$D$43,Cenovnik!$D$44))*$C$9*$C$10*(C20*IF($C$3="Red. profesor",Cenovnik!$D$39,IF($C$3="Vanr. profesor",Cenovnik!$D$38,IF($C$3="Docent",Cenovnik!$D$37,Cenovnik!$D$36)))+H20*Cenovnik!$D$35)</f>
        <v>0</v>
      </c>
      <c r="L20" s="150">
        <f t="shared" si="2"/>
        <v>0</v>
      </c>
      <c r="M20" s="150">
        <f t="shared" si="3"/>
        <v>0</v>
      </c>
    </row>
    <row r="21" spans="1:13" s="112" customFormat="1" ht="15">
      <c r="A21" s="732" t="s">
        <v>167</v>
      </c>
      <c r="B21" s="733"/>
      <c r="C21" s="734"/>
      <c r="D21" s="668"/>
      <c r="E21" s="981"/>
      <c r="F21" s="735"/>
      <c r="G21" s="736"/>
      <c r="H21" s="370">
        <f t="shared" ref="H21:H29" si="4">(D21+E21)*G21</f>
        <v>0</v>
      </c>
      <c r="I21" s="737"/>
      <c r="J21" s="536"/>
      <c r="K21" s="558">
        <f>IF(J21="Klas.",Cenovnik!$D$42, IF(J21="Hibr.",Cenovnik!$D$43,Cenovnik!$D$44))*$C$9*$C$10*(C21*IF($C$3="Red. profesor",Cenovnik!$D$39,IF($C$3="Vanr. profesor",Cenovnik!$D$38,IF($C$3="Docent",Cenovnik!$D$37,Cenovnik!$D$36)))+H21*Cenovnik!$D$35)</f>
        <v>0</v>
      </c>
      <c r="L21" s="150">
        <f t="shared" si="0"/>
        <v>0</v>
      </c>
      <c r="M21" s="150">
        <f t="shared" ref="M21:M29" si="5">15*L21</f>
        <v>0</v>
      </c>
    </row>
    <row r="22" spans="1:13" s="112" customFormat="1" ht="15">
      <c r="A22" s="732" t="s">
        <v>167</v>
      </c>
      <c r="B22" s="733"/>
      <c r="C22" s="734"/>
      <c r="D22" s="668"/>
      <c r="E22" s="981"/>
      <c r="F22" s="735"/>
      <c r="G22" s="736"/>
      <c r="H22" s="370">
        <f t="shared" si="4"/>
        <v>0</v>
      </c>
      <c r="I22" s="737"/>
      <c r="J22" s="536"/>
      <c r="K22" s="558">
        <f>IF(J22="Klas.",Cenovnik!$D$42, IF(J22="Hibr.",Cenovnik!$D$43,Cenovnik!$D$44))*$C$9*$C$10*(C22*IF($C$3="Red. profesor",Cenovnik!$D$39,IF($C$3="Vanr. profesor",Cenovnik!$D$38,IF($C$3="Docent",Cenovnik!$D$37,Cenovnik!$D$36)))+H22*Cenovnik!$D$35)</f>
        <v>0</v>
      </c>
      <c r="L22" s="150">
        <f t="shared" si="0"/>
        <v>0</v>
      </c>
      <c r="M22" s="150">
        <f t="shared" si="5"/>
        <v>0</v>
      </c>
    </row>
    <row r="23" spans="1:13" s="112" customFormat="1" thickBot="1">
      <c r="A23" s="738" t="s">
        <v>167</v>
      </c>
      <c r="B23" s="739"/>
      <c r="C23" s="740"/>
      <c r="D23" s="741"/>
      <c r="E23" s="982"/>
      <c r="F23" s="743"/>
      <c r="G23" s="744"/>
      <c r="H23" s="745">
        <f t="shared" si="4"/>
        <v>0</v>
      </c>
      <c r="I23" s="117"/>
      <c r="J23" s="746"/>
      <c r="K23" s="747">
        <f>IF(J23="Klas.",Cenovnik!$D$42, IF(J23="Hibr.",Cenovnik!$D$43,Cenovnik!$D$44))*$C$9*$C$10*(C23*IF($C$3="Red. profesor",Cenovnik!$D$39,IF($C$3="Vanr. profesor",Cenovnik!$D$38,IF($C$3="Docent",Cenovnik!$D$37,Cenovnik!$D$36)))+H23*Cenovnik!$D$35)</f>
        <v>0</v>
      </c>
      <c r="L23" s="151">
        <f t="shared" si="0"/>
        <v>0</v>
      </c>
      <c r="M23" s="151">
        <f t="shared" si="5"/>
        <v>0</v>
      </c>
    </row>
    <row r="24" spans="1:13" s="112" customFormat="1">
      <c r="A24" s="748" t="s">
        <v>173</v>
      </c>
      <c r="B24" s="105"/>
      <c r="C24" s="894"/>
      <c r="D24" s="589"/>
      <c r="E24" s="894"/>
      <c r="F24" s="175"/>
      <c r="G24" s="750"/>
      <c r="H24" s="370">
        <f t="shared" si="4"/>
        <v>0</v>
      </c>
      <c r="I24" s="737"/>
      <c r="J24" s="529"/>
      <c r="K24" s="751">
        <f>IF(J24="Klas.",Cenovnik!$D$42, IF(J24="Hibr.",Cenovnik!$D$43,Cenovnik!$D$44))*$C$9*$C$10*(C24*IF($C$3="Red. profesor",Cenovnik!$D$39,IF($C$3="Vanr. profesor",Cenovnik!$D$38,IF($C$3="Docent",Cenovnik!$D$37,Cenovnik!$D$36)))+H24*Cenovnik!$D$35)</f>
        <v>0</v>
      </c>
      <c r="L24" s="153">
        <f t="shared" si="0"/>
        <v>0</v>
      </c>
      <c r="M24" s="153">
        <f t="shared" si="5"/>
        <v>0</v>
      </c>
    </row>
    <row r="25" spans="1:13" s="112" customFormat="1" ht="15">
      <c r="A25" s="752" t="s">
        <v>173</v>
      </c>
      <c r="B25" s="590"/>
      <c r="C25" s="203"/>
      <c r="D25" s="106"/>
      <c r="E25" s="248"/>
      <c r="F25" s="749"/>
      <c r="G25" s="753"/>
      <c r="H25" s="370">
        <f t="shared" ref="H25:H26" si="6">(D25+E25)*G25</f>
        <v>0</v>
      </c>
      <c r="I25" s="737"/>
      <c r="J25" s="536"/>
      <c r="K25" s="558">
        <f>IF(J25="Klas.",Cenovnik!$D$42, IF(J25="Hibr.",Cenovnik!$D$43,Cenovnik!$D$44))*$C$9*$C$10*(C25*IF($C$3="Red. profesor",Cenovnik!$D$39,IF($C$3="Vanr. profesor",Cenovnik!$D$38,IF($C$3="Docent",Cenovnik!$D$37,Cenovnik!$D$36)))+H25*Cenovnik!$D$35)</f>
        <v>0</v>
      </c>
      <c r="L25" s="150">
        <f t="shared" ref="L25:L26" si="7">K25*$C$11</f>
        <v>0</v>
      </c>
      <c r="M25" s="150">
        <f t="shared" ref="M25:M26" si="8">15*L25</f>
        <v>0</v>
      </c>
    </row>
    <row r="26" spans="1:13" s="112" customFormat="1" ht="15">
      <c r="A26" s="752" t="s">
        <v>173</v>
      </c>
      <c r="B26" s="590"/>
      <c r="C26" s="203"/>
      <c r="D26" s="106"/>
      <c r="E26" s="248"/>
      <c r="F26" s="749"/>
      <c r="G26" s="753"/>
      <c r="H26" s="370">
        <f t="shared" si="6"/>
        <v>0</v>
      </c>
      <c r="I26" s="737"/>
      <c r="J26" s="536"/>
      <c r="K26" s="558">
        <f>IF(J26="Klas.",Cenovnik!$D$42, IF(J26="Hibr.",Cenovnik!$D$43,Cenovnik!$D$44))*$C$9*$C$10*(C26*IF($C$3="Red. profesor",Cenovnik!$D$39,IF($C$3="Vanr. profesor",Cenovnik!$D$38,IF($C$3="Docent",Cenovnik!$D$37,Cenovnik!$D$36)))+H26*Cenovnik!$D$35)</f>
        <v>0</v>
      </c>
      <c r="L26" s="150">
        <f t="shared" si="7"/>
        <v>0</v>
      </c>
      <c r="M26" s="150">
        <f t="shared" si="8"/>
        <v>0</v>
      </c>
    </row>
    <row r="27" spans="1:13" s="112" customFormat="1" ht="15">
      <c r="A27" s="732" t="s">
        <v>173</v>
      </c>
      <c r="B27" s="588"/>
      <c r="C27" s="413"/>
      <c r="D27" s="106"/>
      <c r="E27" s="983"/>
      <c r="F27" s="749"/>
      <c r="G27" s="736"/>
      <c r="H27" s="370">
        <f t="shared" si="4"/>
        <v>0</v>
      </c>
      <c r="I27" s="737"/>
      <c r="J27" s="536"/>
      <c r="K27" s="558">
        <f>IF(J27="Klas.",Cenovnik!$D$42, IF(J27="Hibr.",Cenovnik!$D$43,Cenovnik!$D$44))*$C$9*$C$10*(C27*IF($C$3="Red. profesor",Cenovnik!$D$39,IF($C$3="Vanr. profesor",Cenovnik!$D$38,IF($C$3="Docent",Cenovnik!$D$37,Cenovnik!$D$36)))+H27*Cenovnik!$D$35)</f>
        <v>0</v>
      </c>
      <c r="L27" s="150">
        <f t="shared" si="0"/>
        <v>0</v>
      </c>
      <c r="M27" s="150">
        <f t="shared" si="5"/>
        <v>0</v>
      </c>
    </row>
    <row r="28" spans="1:13" s="112" customFormat="1" ht="15">
      <c r="A28" s="752" t="s">
        <v>173</v>
      </c>
      <c r="B28" s="590"/>
      <c r="C28" s="203"/>
      <c r="D28" s="106"/>
      <c r="E28" s="248"/>
      <c r="F28" s="749"/>
      <c r="G28" s="753"/>
      <c r="H28" s="370">
        <f t="shared" si="4"/>
        <v>0</v>
      </c>
      <c r="I28" s="737"/>
      <c r="J28" s="536"/>
      <c r="K28" s="558">
        <f>IF(J28="Klas.",Cenovnik!$D$42, IF(J28="Hibr.",Cenovnik!$D$43,Cenovnik!$D$44))*$C$9*$C$10*(C28*IF($C$3="Red. profesor",Cenovnik!$D$39,IF($C$3="Vanr. profesor",Cenovnik!$D$38,IF($C$3="Docent",Cenovnik!$D$37,Cenovnik!$D$36)))+H28*Cenovnik!$D$35)</f>
        <v>0</v>
      </c>
      <c r="L28" s="150">
        <f t="shared" si="0"/>
        <v>0</v>
      </c>
      <c r="M28" s="150">
        <f t="shared" si="5"/>
        <v>0</v>
      </c>
    </row>
    <row r="29" spans="1:13" s="112" customFormat="1" thickBot="1">
      <c r="A29" s="738" t="s">
        <v>173</v>
      </c>
      <c r="B29" s="612"/>
      <c r="C29" s="207"/>
      <c r="D29" s="561"/>
      <c r="E29" s="249"/>
      <c r="F29" s="749"/>
      <c r="G29" s="744"/>
      <c r="H29" s="370">
        <f t="shared" si="4"/>
        <v>0</v>
      </c>
      <c r="I29" s="115"/>
      <c r="J29" s="746"/>
      <c r="K29" s="558">
        <f>IF(J29="Klas.",Cenovnik!$D$42, IF(J29="Hibr.",Cenovnik!$D$43,Cenovnik!$D$44))*$C$9*$C$10*(C29*IF($C$3="Red. profesor",Cenovnik!$D$39,IF($C$3="Vanr. profesor",Cenovnik!$D$38,IF($C$3="Docent",Cenovnik!$D$37,Cenovnik!$D$36)))+H29*Cenovnik!$D$35)</f>
        <v>0</v>
      </c>
      <c r="L29" s="151">
        <f t="shared" si="0"/>
        <v>0</v>
      </c>
      <c r="M29" s="150">
        <f t="shared" si="5"/>
        <v>0</v>
      </c>
    </row>
    <row r="30" spans="1:13" s="100" customFormat="1" ht="15">
      <c r="A30" s="109"/>
      <c r="B30" s="109" t="s">
        <v>366</v>
      </c>
      <c r="C30" s="110"/>
      <c r="D30" s="110"/>
      <c r="E30" s="110"/>
      <c r="F30" s="110"/>
      <c r="G30" s="110"/>
      <c r="H30" s="110"/>
      <c r="I30" s="110"/>
      <c r="J30" s="101"/>
      <c r="K30" s="101"/>
      <c r="L30" s="101"/>
      <c r="M30" s="101"/>
    </row>
    <row r="31" spans="1:13" s="100" customFormat="1" ht="15">
      <c r="A31" s="109"/>
      <c r="B31" s="109"/>
      <c r="C31" s="110"/>
      <c r="D31" s="110"/>
      <c r="E31" s="110"/>
      <c r="F31" s="110"/>
      <c r="G31" s="110"/>
      <c r="H31" s="110"/>
      <c r="I31" s="110"/>
      <c r="J31" s="101"/>
      <c r="K31" s="101"/>
      <c r="L31" s="101"/>
      <c r="M31" s="101"/>
    </row>
    <row r="32" spans="1:13" s="100" customFormat="1" thickBot="1">
      <c r="A32" s="109"/>
      <c r="B32" s="109"/>
      <c r="C32" s="110"/>
      <c r="D32" s="110"/>
      <c r="E32" s="110"/>
      <c r="F32" s="110"/>
      <c r="G32" s="110"/>
      <c r="H32" s="110"/>
      <c r="I32" s="110"/>
      <c r="J32" s="101"/>
      <c r="K32" s="101"/>
      <c r="L32" s="101"/>
      <c r="M32" s="101"/>
    </row>
    <row r="33" spans="1:13" s="109" customFormat="1" ht="39" thickBot="1">
      <c r="B33" s="595">
        <v>1</v>
      </c>
      <c r="C33" s="596" t="s">
        <v>364</v>
      </c>
      <c r="D33" s="597" t="s">
        <v>365</v>
      </c>
      <c r="E33" s="598" t="s">
        <v>493</v>
      </c>
      <c r="F33" s="1024" t="s">
        <v>658</v>
      </c>
      <c r="G33" s="1025"/>
      <c r="H33" s="1025"/>
      <c r="I33" s="1026"/>
      <c r="J33" s="110"/>
    </row>
    <row r="34" spans="1:13" s="100" customFormat="1" ht="15">
      <c r="B34" s="754" t="s">
        <v>479</v>
      </c>
      <c r="C34" s="755">
        <f>(C35+6*C37)*Cenovnik!$F$3</f>
        <v>0</v>
      </c>
      <c r="D34" s="756">
        <f>(D35+5*D37)*Cenovnik!$F$3</f>
        <v>0</v>
      </c>
      <c r="E34" s="1028">
        <f>E35*Cenovnik!$F$3</f>
        <v>0</v>
      </c>
      <c r="F34" s="1045" t="s">
        <v>660</v>
      </c>
      <c r="G34" s="531"/>
      <c r="H34" s="531"/>
      <c r="I34" s="1046"/>
      <c r="J34" s="101"/>
    </row>
    <row r="35" spans="1:13" s="100" customFormat="1" ht="15">
      <c r="B35" s="979" t="s">
        <v>651</v>
      </c>
      <c r="C35" s="760">
        <f>D15*6+L15*15</f>
        <v>0</v>
      </c>
      <c r="D35" s="761">
        <f>D15*6+L16*15</f>
        <v>0</v>
      </c>
      <c r="E35" s="1029">
        <f>C35+D35</f>
        <v>0</v>
      </c>
      <c r="F35" s="1047" t="s">
        <v>661</v>
      </c>
      <c r="G35" s="532"/>
      <c r="H35" s="532"/>
      <c r="I35" s="1048"/>
      <c r="J35" s="101"/>
    </row>
    <row r="36" spans="1:13" s="100" customFormat="1" ht="15">
      <c r="B36" s="993" t="s">
        <v>652</v>
      </c>
      <c r="C36" s="994">
        <f>C35/6</f>
        <v>0</v>
      </c>
      <c r="D36" s="994">
        <f>D35/6</f>
        <v>0</v>
      </c>
      <c r="E36" s="1029">
        <f>(C36+D36)/2</f>
        <v>0</v>
      </c>
      <c r="F36" s="1047" t="s">
        <v>662</v>
      </c>
      <c r="G36" s="532"/>
      <c r="H36" s="532"/>
      <c r="I36" s="1048"/>
      <c r="J36" s="101"/>
    </row>
    <row r="37" spans="1:13" s="100" customFormat="1" ht="15">
      <c r="B37" s="995" t="s">
        <v>687</v>
      </c>
      <c r="C37" s="996">
        <f>C49</f>
        <v>0</v>
      </c>
      <c r="D37" s="997">
        <f>D49</f>
        <v>0</v>
      </c>
      <c r="E37" s="1030">
        <f>(C37+D37)/2</f>
        <v>0</v>
      </c>
      <c r="F37" s="1049" t="s">
        <v>663</v>
      </c>
      <c r="G37" s="1050"/>
      <c r="H37" s="1050"/>
      <c r="I37" s="1051"/>
      <c r="J37" s="101"/>
    </row>
    <row r="38" spans="1:13" s="100" customFormat="1" ht="16.5" thickBot="1">
      <c r="B38" s="998" t="s">
        <v>650</v>
      </c>
      <c r="C38" s="999">
        <f>C36+C37</f>
        <v>0</v>
      </c>
      <c r="D38" s="999">
        <f t="shared" ref="D38:E38" si="9">D36+D37</f>
        <v>0</v>
      </c>
      <c r="E38" s="1031">
        <f t="shared" si="9"/>
        <v>0</v>
      </c>
      <c r="F38" s="1042" t="s">
        <v>664</v>
      </c>
      <c r="G38" s="1043"/>
      <c r="H38" s="1043"/>
      <c r="I38" s="1044"/>
      <c r="J38" s="101"/>
    </row>
    <row r="39" spans="1:13" ht="16.5" thickBot="1">
      <c r="A39" s="109"/>
      <c r="B39" s="109"/>
      <c r="C39" s="110"/>
      <c r="D39" s="110"/>
      <c r="E39" s="110"/>
      <c r="F39" s="110"/>
      <c r="G39" s="110"/>
      <c r="H39" s="110"/>
      <c r="I39" s="110"/>
      <c r="J39" s="101"/>
      <c r="K39" s="101"/>
      <c r="L39" s="101"/>
      <c r="M39" s="101"/>
    </row>
    <row r="40" spans="1:13" ht="35.1" customHeight="1" thickBot="1">
      <c r="A40" s="109"/>
      <c r="B40" s="109"/>
      <c r="C40" s="1609" t="s">
        <v>675</v>
      </c>
      <c r="D40" s="1610"/>
      <c r="E40" s="110"/>
      <c r="F40" s="110"/>
      <c r="G40" s="110"/>
      <c r="H40" s="110"/>
      <c r="I40" s="110"/>
      <c r="J40" s="101"/>
      <c r="K40" s="101"/>
      <c r="L40" s="101"/>
      <c r="M40" s="101"/>
    </row>
    <row r="41" spans="1:13" s="1006" customFormat="1" ht="30.75" thickBot="1">
      <c r="A41" s="1060"/>
      <c r="B41" s="1061" t="s">
        <v>649</v>
      </c>
      <c r="C41" s="811" t="s">
        <v>364</v>
      </c>
      <c r="D41" s="812" t="s">
        <v>365</v>
      </c>
      <c r="E41" s="598" t="s">
        <v>655</v>
      </c>
      <c r="F41" s="1003" t="s">
        <v>658</v>
      </c>
      <c r="G41" s="1004"/>
      <c r="H41" s="1004"/>
      <c r="I41" s="1005"/>
    </row>
    <row r="42" spans="1:13">
      <c r="A42" s="1052">
        <v>1</v>
      </c>
      <c r="B42" s="1053" t="s">
        <v>653</v>
      </c>
      <c r="C42" s="1054">
        <f>SUM(H18:H23)</f>
        <v>0</v>
      </c>
      <c r="D42" s="1055">
        <f>SUM(H24:H29)</f>
        <v>0</v>
      </c>
      <c r="E42" s="1056">
        <f>(C42+D42)*15</f>
        <v>0</v>
      </c>
      <c r="F42" s="1057" t="s">
        <v>656</v>
      </c>
      <c r="G42" s="1058"/>
      <c r="H42" s="1058"/>
      <c r="I42" s="1059"/>
    </row>
    <row r="43" spans="1:13">
      <c r="A43" s="1000">
        <v>2</v>
      </c>
      <c r="B43" s="1001" t="s">
        <v>657</v>
      </c>
      <c r="C43" s="1002">
        <v>8</v>
      </c>
      <c r="D43" s="1012">
        <v>8</v>
      </c>
      <c r="E43" s="1020">
        <f>(C43+D43)*15 + 15*8</f>
        <v>360</v>
      </c>
      <c r="F43" s="1032" t="s">
        <v>677</v>
      </c>
      <c r="G43" s="19"/>
      <c r="H43" s="19"/>
      <c r="I43" s="20"/>
    </row>
    <row r="44" spans="1:13">
      <c r="A44" s="988">
        <v>3</v>
      </c>
      <c r="B44" s="984" t="s">
        <v>654</v>
      </c>
      <c r="C44" s="985">
        <v>8</v>
      </c>
      <c r="D44" s="1013">
        <v>8</v>
      </c>
      <c r="E44" s="1021">
        <f xml:space="preserve"> (C44+D44)*15+15*8</f>
        <v>360</v>
      </c>
      <c r="F44" s="1033" t="s">
        <v>697</v>
      </c>
      <c r="G44" s="1034"/>
      <c r="H44" s="1034"/>
      <c r="I44" s="1035"/>
    </row>
    <row r="45" spans="1:13">
      <c r="A45" s="988">
        <v>4</v>
      </c>
      <c r="B45" s="989" t="s">
        <v>685</v>
      </c>
      <c r="C45" s="990"/>
      <c r="D45" s="1014"/>
      <c r="E45" s="1022">
        <f>15*(C45+D45)+15*24</f>
        <v>360</v>
      </c>
      <c r="F45" s="1036" t="s">
        <v>679</v>
      </c>
      <c r="G45" s="1037"/>
      <c r="H45" s="1037"/>
      <c r="I45" s="1038"/>
    </row>
    <row r="46" spans="1:13">
      <c r="A46" s="988">
        <v>5</v>
      </c>
      <c r="B46" s="1066" t="s">
        <v>674</v>
      </c>
      <c r="C46" s="1073"/>
      <c r="D46" s="1073"/>
      <c r="E46" s="1074">
        <f>SUM(E42:E45)</f>
        <v>1080</v>
      </c>
      <c r="F46" s="1067"/>
      <c r="G46" s="1068"/>
      <c r="H46" s="1068"/>
      <c r="I46" s="1069"/>
    </row>
    <row r="47" spans="1:13">
      <c r="A47" s="988">
        <v>6</v>
      </c>
      <c r="B47" s="984" t="s">
        <v>682</v>
      </c>
      <c r="C47" s="987"/>
      <c r="D47" s="1015"/>
      <c r="E47" s="1065">
        <f>(C47+D47)/2</f>
        <v>0</v>
      </c>
      <c r="F47" s="1033"/>
      <c r="G47" s="1034"/>
      <c r="H47" s="1034"/>
      <c r="I47" s="1035"/>
    </row>
    <row r="48" spans="1:13">
      <c r="A48" s="988">
        <v>7</v>
      </c>
      <c r="B48" s="984" t="s">
        <v>683</v>
      </c>
      <c r="C48" s="986">
        <f>C45*C47*4</f>
        <v>0</v>
      </c>
      <c r="D48" s="1016">
        <f>D45*D47*4</f>
        <v>0</v>
      </c>
      <c r="E48" s="1021">
        <f>E45*E47</f>
        <v>0</v>
      </c>
      <c r="F48" s="1033" t="s">
        <v>688</v>
      </c>
      <c r="G48" s="1034"/>
      <c r="H48" s="1034"/>
      <c r="I48" s="1035"/>
    </row>
    <row r="49" spans="1:9" ht="16.5" thickBot="1">
      <c r="A49" s="785">
        <v>8</v>
      </c>
      <c r="B49" s="991" t="s">
        <v>684</v>
      </c>
      <c r="C49" s="992">
        <f>E49/12</f>
        <v>0</v>
      </c>
      <c r="D49" s="1017">
        <f>E49/12</f>
        <v>0</v>
      </c>
      <c r="E49" s="1023">
        <f>E48*$C$11</f>
        <v>0</v>
      </c>
      <c r="F49" s="1039" t="s">
        <v>689</v>
      </c>
      <c r="G49" s="1040"/>
      <c r="H49" s="1040"/>
      <c r="I49" s="1041"/>
    </row>
    <row r="50" spans="1:9">
      <c r="B50" s="1027" t="s">
        <v>659</v>
      </c>
      <c r="C50" s="4"/>
      <c r="D50" s="4"/>
      <c r="E50" s="4"/>
    </row>
    <row r="51" spans="1:9">
      <c r="A51" s="1070">
        <v>1</v>
      </c>
      <c r="B51" t="s">
        <v>686</v>
      </c>
      <c r="E51" s="4"/>
    </row>
    <row r="52" spans="1:9">
      <c r="A52" s="1070">
        <v>2</v>
      </c>
      <c r="B52" s="1071" t="s">
        <v>676</v>
      </c>
    </row>
    <row r="53" spans="1:9">
      <c r="A53" s="1070">
        <v>3</v>
      </c>
      <c r="B53" s="1072" t="s">
        <v>678</v>
      </c>
    </row>
    <row r="55" spans="1:9" ht="16.5" thickBot="1"/>
    <row r="56" spans="1:9">
      <c r="B56" s="1081" t="s">
        <v>691</v>
      </c>
      <c r="C56" s="1082">
        <v>20</v>
      </c>
    </row>
    <row r="57" spans="1:9">
      <c r="B57" s="1083" t="s">
        <v>692</v>
      </c>
      <c r="C57" s="1077">
        <v>12</v>
      </c>
    </row>
    <row r="58" spans="1:9">
      <c r="B58" s="1083" t="s">
        <v>696</v>
      </c>
      <c r="C58" s="1077">
        <v>3</v>
      </c>
    </row>
    <row r="59" spans="1:9">
      <c r="B59" s="1084" t="s">
        <v>156</v>
      </c>
      <c r="C59" s="1077">
        <v>35</v>
      </c>
    </row>
    <row r="60" spans="1:9">
      <c r="B60" s="1083" t="s">
        <v>693</v>
      </c>
      <c r="C60" s="1077">
        <v>7</v>
      </c>
    </row>
    <row r="61" spans="1:9">
      <c r="B61" s="1085" t="s">
        <v>694</v>
      </c>
      <c r="C61" s="1086">
        <v>45</v>
      </c>
    </row>
    <row r="62" spans="1:9" ht="16.5" thickBot="1">
      <c r="B62" s="1087" t="s">
        <v>695</v>
      </c>
      <c r="C62" s="1088">
        <v>1800</v>
      </c>
    </row>
  </sheetData>
  <mergeCells count="3">
    <mergeCell ref="B2:D2"/>
    <mergeCell ref="C3:D3"/>
    <mergeCell ref="C40:D40"/>
  </mergeCells>
  <dataValidations count="8">
    <dataValidation type="list" allowBlank="1" showInputMessage="1" showErrorMessage="1" sqref="C10">
      <formula1>KPR_koef_programa</formula1>
    </dataValidation>
    <dataValidation type="list" allowBlank="1" showInputMessage="1" showErrorMessage="1" sqref="C9">
      <formula1>KT</formula1>
    </dataValidation>
    <dataValidation type="list" allowBlank="1" showInputMessage="1" showErrorMessage="1" sqref="C7">
      <formula1>KBP</formula1>
    </dataValidation>
    <dataValidation type="list" allowBlank="1" showInputMessage="1" showErrorMessage="1" sqref="C3">
      <formula1>Zvanje</formula1>
    </dataValidation>
    <dataValidation type="list" allowBlank="1" showInputMessage="1" showErrorMessage="1" sqref="A18:A29">
      <formula1>Semestar</formula1>
    </dataValidation>
    <dataValidation type="list" allowBlank="1" showInputMessage="1" showErrorMessage="1" sqref="B2">
      <formula1>Nastavnici</formula1>
    </dataValidation>
    <dataValidation type="list" allowBlank="1" showInputMessage="1" showErrorMessage="1" sqref="J18:J29">
      <formula1>Tip_nastave</formula1>
    </dataValidation>
    <dataValidation type="list" allowBlank="1" showInputMessage="1" showErrorMessage="1" sqref="I18:I29">
      <formula1>Lokacija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J224"/>
  <sheetViews>
    <sheetView topLeftCell="A136" zoomScale="90" zoomScaleNormal="90" workbookViewId="0">
      <selection activeCell="C146" sqref="C146"/>
    </sheetView>
  </sheetViews>
  <sheetFormatPr defaultColWidth="11" defaultRowHeight="15.75"/>
  <cols>
    <col min="1" max="1" width="4.5" customWidth="1"/>
    <col min="2" max="2" width="45.875" customWidth="1"/>
    <col min="3" max="5" width="9.5" customWidth="1"/>
    <col min="6" max="6" width="10.375" customWidth="1"/>
    <col min="7" max="18" width="9.5" customWidth="1"/>
  </cols>
  <sheetData>
    <row r="1" spans="1:15" ht="16.5" thickBot="1"/>
    <row r="2" spans="1:15" s="111" customFormat="1">
      <c r="B2" s="1196"/>
      <c r="C2" s="1224"/>
      <c r="D2" s="1225"/>
      <c r="L2" s="123"/>
      <c r="M2" s="124"/>
      <c r="N2" s="124"/>
    </row>
    <row r="3" spans="1:15" s="111" customFormat="1">
      <c r="B3" s="1227" t="s">
        <v>138</v>
      </c>
      <c r="C3" s="1611" t="s">
        <v>55</v>
      </c>
      <c r="D3" s="1612"/>
    </row>
    <row r="4" spans="1:15" s="111" customFormat="1" ht="16.5" thickBot="1">
      <c r="B4" s="1197" t="s">
        <v>144</v>
      </c>
      <c r="C4" s="1198">
        <v>1</v>
      </c>
      <c r="D4" s="1199"/>
      <c r="G4" s="131"/>
    </row>
    <row r="5" spans="1:15" s="111" customFormat="1" ht="16.5" thickBot="1">
      <c r="B5" s="133" t="s">
        <v>711</v>
      </c>
      <c r="C5" s="134">
        <f>Cenovnik!D7</f>
        <v>100</v>
      </c>
      <c r="D5" s="135" t="s">
        <v>146</v>
      </c>
      <c r="J5" s="1445" t="s">
        <v>770</v>
      </c>
      <c r="K5" s="1446">
        <f>SUM(K8:K11)</f>
        <v>0</v>
      </c>
      <c r="L5" s="1447">
        <f>SUM(L8:L11)</f>
        <v>0</v>
      </c>
    </row>
    <row r="6" spans="1:15" s="111" customFormat="1" ht="16.5" thickBot="1">
      <c r="B6" s="1200" t="s">
        <v>712</v>
      </c>
      <c r="C6" s="1201"/>
      <c r="D6" s="1202" t="s">
        <v>153</v>
      </c>
      <c r="E6" s="145"/>
      <c r="F6" s="145" t="s">
        <v>154</v>
      </c>
      <c r="G6" s="145" t="s">
        <v>155</v>
      </c>
      <c r="H6" s="146" t="s">
        <v>156</v>
      </c>
      <c r="I6" s="147" t="s">
        <v>157</v>
      </c>
      <c r="J6" s="619" t="s">
        <v>771</v>
      </c>
      <c r="K6" s="620">
        <f>SUM(K12:K15)</f>
        <v>0</v>
      </c>
      <c r="L6" s="151">
        <f>SUM(L12:L15)</f>
        <v>0</v>
      </c>
      <c r="O6" s="21"/>
    </row>
    <row r="7" spans="1:15" s="111" customFormat="1" ht="16.5" thickBot="1">
      <c r="A7" s="1203" t="s">
        <v>158</v>
      </c>
      <c r="B7" s="1204" t="s">
        <v>159</v>
      </c>
      <c r="C7" s="1205" t="s">
        <v>160</v>
      </c>
      <c r="D7" s="1206" t="s">
        <v>161</v>
      </c>
      <c r="E7" s="1207" t="s">
        <v>162</v>
      </c>
      <c r="F7" s="145"/>
      <c r="G7" s="145" t="s">
        <v>162</v>
      </c>
      <c r="H7" s="1208" t="s">
        <v>163</v>
      </c>
      <c r="I7" s="1364" t="s">
        <v>164</v>
      </c>
      <c r="J7" s="615" t="s">
        <v>165</v>
      </c>
      <c r="K7" s="1601" t="s">
        <v>149</v>
      </c>
      <c r="L7" s="616" t="s">
        <v>146</v>
      </c>
    </row>
    <row r="8" spans="1:15" s="111" customFormat="1">
      <c r="A8" s="148" t="s">
        <v>167</v>
      </c>
      <c r="B8" s="1284"/>
      <c r="C8" s="148"/>
      <c r="D8" s="1209"/>
      <c r="E8" s="1209"/>
      <c r="F8" s="607"/>
      <c r="G8" s="1249"/>
      <c r="H8" s="1210">
        <f>D8+E8*G8</f>
        <v>0</v>
      </c>
      <c r="I8" s="1211" t="s">
        <v>169</v>
      </c>
      <c r="J8" s="148" t="s">
        <v>170</v>
      </c>
      <c r="K8" s="1600">
        <f>IF(J8="Klas.",1,IF(J8="Hibr.",0.9,0.2))*$C$4*15*IF(I8="Beograd",IF(OR($C$3="Red. profesor",$C$3="Vanr. profesor",$C$3="Docent"),C8*Cenovnik!$D$106+Cenovnik!$D$104*H8,IF(OR($C$3="Doktor nauka",$C$3="Predavač",$C$3="Asistent",$C$3="Saradnik"),C8*Cenovnik!$D$105+Cenovnik!$D$104*H8,(C8+H8)*Cenovnik!$D$103)),IF(I8="Niš",IF(OR($C$3="Red. profesor",$C$3="Vanr. profesor",$C$3="Docent"),C8*Cenovnik!$D$114+Cenovnik!$D$111*H8,IF($C$3="Doktor nauka",C8*Cenovnik!$D$113+Cenovnik!$D$113*H8,IF(OR($C$3="Predavač",$C$3="Asistent",$C$3="Saradnik"),C8*Cenovnik!$D$112+H8*Cenovnik!$D$111,C8*Cenovnik!$D$110+Cenovnik!$D$109*H8))),0))</f>
        <v>0</v>
      </c>
      <c r="L8" s="149">
        <f t="shared" ref="L8:L15" si="0">K8*$C$5</f>
        <v>0</v>
      </c>
    </row>
    <row r="9" spans="1:15" s="111" customFormat="1">
      <c r="A9" s="1466" t="s">
        <v>167</v>
      </c>
      <c r="B9" s="126"/>
      <c r="C9" s="1466"/>
      <c r="D9" s="1467"/>
      <c r="E9" s="1467"/>
      <c r="F9" s="1468"/>
      <c r="G9" s="1469"/>
      <c r="H9" s="129">
        <f t="shared" ref="H9:H15" si="1">(D9+E9)*G9</f>
        <v>0</v>
      </c>
      <c r="I9" s="1212"/>
      <c r="J9" s="1466"/>
      <c r="K9" s="1217">
        <f>IF(J9="Klas.",1,IF(J9="Hibr.",0.9,0.2))*$C$4*15*IF(I9="Beograd",IF(OR($C$3="Red. profesor",$C$3="Vanr. profesor",$C$3="Docent"),C9*Cenovnik!$D$106+Cenovnik!$D$104*H9,IF(OR($C$3="Doktor nauka",$C$3="Predavač",$C$3="Asistent",$C$3="Saradnik"),C9*Cenovnik!$D$105+Cenovnik!$D$104*H9,(C9+H9)*Cenovnik!$D$103)),IF(I9="Niš",IF(OR($C$3="Red. profesor",$C$3="Vanr. profesor",$C$3="Docent"),C9*Cenovnik!$D$114+Cenovnik!$D$111*H9,IF($C$3="Doktor nauka",C9*Cenovnik!$D$113+Cenovnik!$D$113*H9,IF(OR($C$3="Predavač",$C$3="Asistent",$C$3="Saradnik"),C9*Cenovnik!$D$112+H9*Cenovnik!$D$111,C9*Cenovnik!$D$110+Cenovnik!$D$109*H9))),0))</f>
        <v>0</v>
      </c>
      <c r="L9" s="150">
        <f t="shared" si="0"/>
        <v>0</v>
      </c>
    </row>
    <row r="10" spans="1:15" s="111" customFormat="1">
      <c r="A10" s="1466" t="s">
        <v>167</v>
      </c>
      <c r="B10" s="1459"/>
      <c r="C10" s="1466"/>
      <c r="D10" s="1467"/>
      <c r="E10" s="1467"/>
      <c r="F10" s="1468"/>
      <c r="G10" s="1469"/>
      <c r="H10" s="1471">
        <f t="shared" si="1"/>
        <v>0</v>
      </c>
      <c r="I10" s="1472"/>
      <c r="J10" s="1466"/>
      <c r="K10" s="1213">
        <f>IF(J10="Klas.",1,IF(J10="Hibr.",0.9,0.2))*$C$4*15*IF(I10="Beograd",IF(OR($C$3="Red. profesor",$C$3="Vanr. profesor",$C$3="Docent"),C10*Cenovnik!$D$106+Cenovnik!$D$104*H10,IF(OR($C$3="Doktor nauka",$C$3="Predavač",$C$3="Asistent",$C$3="Saradnik"),C10*Cenovnik!$D$105+Cenovnik!$D$104*H10,(C10+H10)*Cenovnik!$D$103)),IF(I10="Niš",IF(OR($C$3="Red. profesor",$C$3="Vanr. profesor",$C$3="Docent"),C10*Cenovnik!$D$114+Cenovnik!$D$111*H10,IF($C$3="Doktor nauka",C10*Cenovnik!$D$113+Cenovnik!$D$113*H10,IF(OR($C$3="Predavač",$C$3="Asistent",$C$3="Saradnik"),C10*Cenovnik!$D$112+H10*Cenovnik!$D$111,C10*Cenovnik!$D$110+Cenovnik!$D$109*H10))),0))</f>
        <v>0</v>
      </c>
      <c r="L10" s="150">
        <f t="shared" si="0"/>
        <v>0</v>
      </c>
    </row>
    <row r="11" spans="1:15" s="111" customFormat="1" ht="16.5" thickBot="1">
      <c r="A11" s="1461" t="s">
        <v>167</v>
      </c>
      <c r="B11" s="1462"/>
      <c r="C11" s="1461"/>
      <c r="D11" s="1463"/>
      <c r="E11" s="1463"/>
      <c r="F11" s="610"/>
      <c r="G11" s="1464"/>
      <c r="H11" s="1214">
        <f t="shared" si="1"/>
        <v>0</v>
      </c>
      <c r="I11" s="1215"/>
      <c r="J11" s="1461"/>
      <c r="K11" s="1470">
        <f>IF(J11="Klas.",1,IF(J11="Hibr.",0.9,0.2))*$C$4*15*IF(I11="Beograd",IF(OR($C$3="Red. profesor",$C$3="Vanr. profesor",$C$3="Docent"),C11*Cenovnik!$D$106+Cenovnik!$D$104*H11,IF(OR($C$3="Doktor nauka",$C$3="Predavač",$C$3="Asistent",$C$3="Saradnik"),C11*Cenovnik!$D$105+Cenovnik!$D$104*H11,(C11+H11)*Cenovnik!$D$103)),IF(I11="Niš",IF(OR($C$3="Red. profesor",$C$3="Vanr. profesor",$C$3="Docent"),C11*Cenovnik!$D$114+Cenovnik!$D$111*H11,IF($C$3="Doktor nauka",C11*Cenovnik!$D$113+Cenovnik!$D$113*H11,IF(OR($C$3="Predavač",$C$3="Asistent",$C$3="Saradnik"),C11*Cenovnik!$D$112+H11*Cenovnik!$D$111,C11*Cenovnik!$D$110+Cenovnik!$D$109*H11))),0))</f>
        <v>0</v>
      </c>
      <c r="L11" s="1465">
        <f t="shared" si="0"/>
        <v>0</v>
      </c>
    </row>
    <row r="12" spans="1:15" s="111" customFormat="1">
      <c r="A12" s="152" t="s">
        <v>173</v>
      </c>
      <c r="B12" s="1285"/>
      <c r="C12" s="152"/>
      <c r="D12" s="1216"/>
      <c r="E12" s="1216"/>
      <c r="F12" s="609"/>
      <c r="G12" s="1254"/>
      <c r="H12" s="129">
        <f t="shared" si="1"/>
        <v>0</v>
      </c>
      <c r="I12" s="1212"/>
      <c r="J12" s="152"/>
      <c r="K12" s="1217">
        <f>IF(J12="Klas.",1,IF(J12="Hibr.",0.9,0.2))*$C$4*15*IF(I12="Beograd",IF(OR($C$3="Red. profesor",$C$3="Vanr. profesor",$C$3="Docent"),C12*Cenovnik!$D$106+Cenovnik!$D$104*H12,IF(OR($C$3="Doktor nauka",$C$3="Predavač",$C$3="Asistent",$C$3="Saradnik"),C12*Cenovnik!$D$105+Cenovnik!$D$104*H12,(C12+H12)*Cenovnik!$D$103)),IF(I12="Niš",IF(OR($C$3="Red. profesor",$C$3="Vanr. profesor",$C$3="Docent"),C12*Cenovnik!$D$114+Cenovnik!$D$111*H12,IF($C$3="Doktor nauka",C12*Cenovnik!$D$113+Cenovnik!$D$113*H12,IF(OR($C$3="Predavač",$C$3="Asistent",$C$3="Saradnik"),C12*Cenovnik!$D$112+H12*Cenovnik!$D$111,C12*Cenovnik!$D$110+Cenovnik!$D$109*H12))),0))</f>
        <v>0</v>
      </c>
      <c r="L12" s="153">
        <f t="shared" si="0"/>
        <v>0</v>
      </c>
    </row>
    <row r="13" spans="1:15" s="111" customFormat="1">
      <c r="A13" s="1466" t="s">
        <v>173</v>
      </c>
      <c r="B13" s="1459"/>
      <c r="C13" s="1466"/>
      <c r="D13" s="1467"/>
      <c r="E13" s="1467"/>
      <c r="F13" s="1468"/>
      <c r="G13" s="1469"/>
      <c r="H13" s="1471">
        <f t="shared" si="1"/>
        <v>0</v>
      </c>
      <c r="I13" s="1472"/>
      <c r="J13" s="1466"/>
      <c r="K13" s="1213">
        <f>IF(J13="Klas.",1,IF(J13="Hibr.",0.9,0.2))*$C$4*15*IF(I13="Beograd",IF(OR($C$3="Red. profesor",$C$3="Vanr. profesor",$C$3="Docent"),C13*Cenovnik!$D$106+Cenovnik!$D$104*H13,IF(OR($C$3="Doktor nauka",$C$3="Predavač",$C$3="Asistent",$C$3="Saradnik"),C13*Cenovnik!$D$105+Cenovnik!$D$104*H13,(C13+H13)*Cenovnik!$D$103)),IF(I13="Niš",IF(OR($C$3="Red. profesor",$C$3="Vanr. profesor",$C$3="Docent"),C13*Cenovnik!$D$114+Cenovnik!$D$111*H13,IF($C$3="Doktor nauka",C13*Cenovnik!$D$113+Cenovnik!$D$113*H13,IF(OR($C$3="Predavač",$C$3="Asistent",$C$3="Saradnik"),C13*Cenovnik!$D$112+H13*Cenovnik!$D$111,C13*Cenovnik!$D$110+Cenovnik!$D$109*H13))),0))</f>
        <v>0</v>
      </c>
      <c r="L13" s="150">
        <f t="shared" si="0"/>
        <v>0</v>
      </c>
    </row>
    <row r="14" spans="1:15" s="111" customFormat="1">
      <c r="A14" s="152" t="s">
        <v>173</v>
      </c>
      <c r="B14" s="1285"/>
      <c r="C14" s="152"/>
      <c r="D14" s="1216"/>
      <c r="E14" s="1216"/>
      <c r="F14" s="609"/>
      <c r="G14" s="1254"/>
      <c r="H14" s="129">
        <f t="shared" si="1"/>
        <v>0</v>
      </c>
      <c r="I14" s="1212"/>
      <c r="J14" s="152"/>
      <c r="K14" s="1217">
        <f>IF(J14="Klas.",1,IF(J14="Hibr.",0.9,0.2))*$C$4*15*IF(I14="Beograd",IF(OR($C$3="Red. profesor",$C$3="Vanr. profesor",$C$3="Docent"),C14*Cenovnik!$D$106+Cenovnik!$D$104*H14,IF(OR($C$3="Doktor nauka",$C$3="Predavač",$C$3="Asistent",$C$3="Saradnik"),C14*Cenovnik!$D$105+Cenovnik!$D$104*H14,(C14+H14)*Cenovnik!$D$103)),IF(I14="Niš",IF(OR($C$3="Red. profesor",$C$3="Vanr. profesor",$C$3="Docent"),C14*Cenovnik!$D$114+Cenovnik!$D$111*H14,IF($C$3="Doktor nauka",C14*Cenovnik!$D$113+Cenovnik!$D$113*H14,IF(OR($C$3="Predavač",$C$3="Asistent",$C$3="Saradnik"),C14*Cenovnik!$D$112+H14*Cenovnik!$D$111,C14*Cenovnik!$D$110+Cenovnik!$D$109*H14))),0))</f>
        <v>0</v>
      </c>
      <c r="L14" s="153">
        <f t="shared" si="0"/>
        <v>0</v>
      </c>
    </row>
    <row r="15" spans="1:15" s="111" customFormat="1" ht="16.5" thickBot="1">
      <c r="A15" s="1461" t="s">
        <v>173</v>
      </c>
      <c r="B15" s="1462"/>
      <c r="C15" s="1461"/>
      <c r="D15" s="1463"/>
      <c r="E15" s="1463"/>
      <c r="F15" s="610"/>
      <c r="G15" s="1464"/>
      <c r="H15" s="1214">
        <f t="shared" si="1"/>
        <v>0</v>
      </c>
      <c r="I15" s="1215"/>
      <c r="J15" s="1461"/>
      <c r="K15" s="1599">
        <f>IF(J15="Klas.",1,IF(J15="Hibr.",0.9,0.2))*$C$4*15*IF(I15="Beograd",IF(OR($C$3="Red. profesor",$C$3="Vanr. profesor",$C$3="Docent"),C15*Cenovnik!$D$106+Cenovnik!$D$104*H15,IF(OR($C$3="Doktor nauka",$C$3="Predavač",$C$3="Asistent",$C$3="Saradnik"),C15*Cenovnik!$D$105+Cenovnik!$D$104*H15,(C15+H15)*Cenovnik!$D$103)),IF(I15="Niš",IF(OR($C$3="Red. profesor",$C$3="Vanr. profesor",$C$3="Docent"),C15*Cenovnik!$D$114+Cenovnik!$D$111*H15,IF($C$3="Doktor nauka",C15*Cenovnik!$D$113+Cenovnik!$D$113*H15,IF(OR($C$3="Predavač",$C$3="Asistent",$C$3="Saradnik"),C15*Cenovnik!$D$112+H15*Cenovnik!$D$111,C15*Cenovnik!$D$110+Cenovnik!$D$109*H15))),0))</f>
        <v>0</v>
      </c>
      <c r="L15" s="1465">
        <f t="shared" si="0"/>
        <v>0</v>
      </c>
    </row>
    <row r="16" spans="1:15" s="111" customFormat="1" ht="16.5" thickBot="1">
      <c r="A16" s="1218"/>
      <c r="B16" s="122"/>
      <c r="C16" s="1218"/>
      <c r="D16" s="1218"/>
      <c r="E16" s="1218"/>
      <c r="F16" s="1218"/>
      <c r="G16" s="1218"/>
      <c r="H16" s="1219"/>
    </row>
    <row r="17" spans="1:15" s="109" customFormat="1" ht="13.5" thickBot="1">
      <c r="B17" s="154"/>
      <c r="C17" s="592" t="s">
        <v>475</v>
      </c>
      <c r="D17" s="593"/>
      <c r="E17" s="594"/>
      <c r="F17" s="600" t="s">
        <v>476</v>
      </c>
      <c r="G17" s="601"/>
      <c r="H17" s="602" t="s">
        <v>477</v>
      </c>
      <c r="I17" s="603"/>
      <c r="J17" s="594"/>
      <c r="K17" s="110"/>
      <c r="L17" s="110"/>
      <c r="M17" s="110"/>
      <c r="N17" s="110"/>
      <c r="O17" s="110"/>
    </row>
    <row r="18" spans="1:15" s="109" customFormat="1" ht="39" thickBot="1">
      <c r="B18" s="595" t="s">
        <v>478</v>
      </c>
      <c r="C18" s="596" t="s">
        <v>364</v>
      </c>
      <c r="D18" s="597" t="s">
        <v>365</v>
      </c>
      <c r="E18" s="598" t="s">
        <v>745</v>
      </c>
      <c r="F18" s="599" t="s">
        <v>488</v>
      </c>
      <c r="G18" s="622" t="s">
        <v>489</v>
      </c>
      <c r="H18" s="623" t="s">
        <v>488</v>
      </c>
      <c r="I18" s="624" t="s">
        <v>489</v>
      </c>
      <c r="J18" s="625" t="s">
        <v>745</v>
      </c>
      <c r="K18" s="110"/>
      <c r="L18" s="110"/>
      <c r="M18" s="110"/>
      <c r="N18" s="110"/>
      <c r="O18" s="110"/>
    </row>
    <row r="19" spans="1:15" s="100" customFormat="1" ht="15">
      <c r="B19" s="754" t="s">
        <v>765</v>
      </c>
      <c r="C19" s="755">
        <f>C22*Cenovnik!$F$3</f>
        <v>0</v>
      </c>
      <c r="D19" s="756">
        <f>D22*Cenovnik!$F$3</f>
        <v>0</v>
      </c>
      <c r="E19" s="757">
        <f>E22*Cenovnik!$F$3</f>
        <v>0</v>
      </c>
      <c r="F19" s="758"/>
      <c r="G19" s="759"/>
      <c r="H19" s="760">
        <f>H22*Cenovnik!$F$3</f>
        <v>0</v>
      </c>
      <c r="I19" s="761">
        <f>I22*Cenovnik!$F$3</f>
        <v>0</v>
      </c>
      <c r="J19" s="762">
        <f>J22*Cenovnik!$F$3</f>
        <v>0</v>
      </c>
      <c r="K19" s="101"/>
      <c r="L19" s="101"/>
      <c r="M19" s="101"/>
      <c r="N19" s="101"/>
      <c r="O19" s="101"/>
    </row>
    <row r="20" spans="1:15" s="100" customFormat="1" ht="15">
      <c r="B20" s="763" t="s">
        <v>766</v>
      </c>
      <c r="C20" s="764">
        <f>C23*Cenovnik!$D$3</f>
        <v>0</v>
      </c>
      <c r="D20" s="765">
        <f>D23*Cenovnik!$D$3</f>
        <v>0</v>
      </c>
      <c r="E20" s="766">
        <f>E23*Cenovnik!$D$3</f>
        <v>0</v>
      </c>
      <c r="F20" s="767"/>
      <c r="G20" s="768"/>
      <c r="H20" s="764">
        <f>H23*Cenovnik!$D$3</f>
        <v>0</v>
      </c>
      <c r="I20" s="765">
        <f>I23*Cenovnik!$D$3</f>
        <v>0</v>
      </c>
      <c r="J20" s="766">
        <f>J23*Cenovnik!$D$3</f>
        <v>0</v>
      </c>
      <c r="K20" s="101"/>
      <c r="L20" s="101"/>
      <c r="M20" s="101"/>
      <c r="N20" s="101"/>
      <c r="O20" s="101"/>
    </row>
    <row r="21" spans="1:15" s="100" customFormat="1" ht="16.5" thickBot="1">
      <c r="B21" s="813" t="s">
        <v>480</v>
      </c>
      <c r="C21" s="814">
        <f>C19+C20</f>
        <v>0</v>
      </c>
      <c r="D21" s="815">
        <f t="shared" ref="D21:E21" si="2">D19+D20</f>
        <v>0</v>
      </c>
      <c r="E21" s="816">
        <f t="shared" si="2"/>
        <v>0</v>
      </c>
      <c r="F21" s="769"/>
      <c r="G21" s="770"/>
      <c r="H21" s="817">
        <f>H19+H20</f>
        <v>0</v>
      </c>
      <c r="I21" s="818">
        <f t="shared" ref="I21:J21" si="3">I19+I20</f>
        <v>0</v>
      </c>
      <c r="J21" s="819">
        <f t="shared" si="3"/>
        <v>0</v>
      </c>
      <c r="K21" s="101"/>
      <c r="L21" s="101"/>
      <c r="M21" s="101"/>
      <c r="N21" s="101"/>
      <c r="O21" s="101"/>
    </row>
    <row r="22" spans="1:15" s="100" customFormat="1">
      <c r="B22" s="771" t="s">
        <v>767</v>
      </c>
      <c r="C22" s="772">
        <f>L5</f>
        <v>0</v>
      </c>
      <c r="D22" s="773">
        <f>L6</f>
        <v>0</v>
      </c>
      <c r="E22" s="774">
        <f>C22+D22</f>
        <v>0</v>
      </c>
      <c r="F22" s="820">
        <f>L81+L89</f>
        <v>0</v>
      </c>
      <c r="G22" s="821">
        <f>F22*$C$15</f>
        <v>0</v>
      </c>
      <c r="H22" s="760">
        <f>C22+F22</f>
        <v>0</v>
      </c>
      <c r="I22" s="761">
        <f t="shared" ref="I22:I23" si="4">D22+G22</f>
        <v>0</v>
      </c>
      <c r="J22" s="762">
        <f>H22+I22</f>
        <v>0</v>
      </c>
      <c r="K22" s="101"/>
      <c r="L22" s="101"/>
      <c r="M22" s="101"/>
      <c r="N22" s="101"/>
      <c r="O22" s="101"/>
    </row>
    <row r="23" spans="1:15" s="100" customFormat="1" ht="16.5" thickBot="1">
      <c r="B23" s="775" t="s">
        <v>768</v>
      </c>
      <c r="C23" s="776">
        <f>SUM(E80:F80)</f>
        <v>0</v>
      </c>
      <c r="D23" s="777">
        <f>SUM(I80:J80)</f>
        <v>0</v>
      </c>
      <c r="E23" s="778">
        <f>C23+D23</f>
        <v>0</v>
      </c>
      <c r="F23" s="822">
        <v>0</v>
      </c>
      <c r="G23" s="823">
        <f>SUM(I11:L11)</f>
        <v>0</v>
      </c>
      <c r="H23" s="764">
        <f>C23+F23</f>
        <v>0</v>
      </c>
      <c r="I23" s="765">
        <f t="shared" si="4"/>
        <v>0</v>
      </c>
      <c r="J23" s="766">
        <f>H23+I23</f>
        <v>0</v>
      </c>
      <c r="K23" s="101"/>
      <c r="L23" s="101"/>
      <c r="M23" s="101"/>
      <c r="N23" s="101"/>
      <c r="O23" s="101"/>
    </row>
    <row r="24" spans="1:15" s="100" customFormat="1" ht="16.5" thickBot="1">
      <c r="B24" s="835" t="s">
        <v>769</v>
      </c>
      <c r="C24" s="836">
        <f>C22+C23</f>
        <v>0</v>
      </c>
      <c r="D24" s="836">
        <f t="shared" ref="D24:E24" si="5">D22+D23</f>
        <v>0</v>
      </c>
      <c r="E24" s="836">
        <f t="shared" si="5"/>
        <v>0</v>
      </c>
      <c r="F24" s="781"/>
      <c r="G24" s="782"/>
      <c r="H24" s="839">
        <f t="shared" ref="H24:J24" si="6">H22+H23</f>
        <v>0</v>
      </c>
      <c r="I24" s="837">
        <f t="shared" si="6"/>
        <v>0</v>
      </c>
      <c r="J24" s="838">
        <f t="shared" si="6"/>
        <v>0</v>
      </c>
      <c r="K24" s="101"/>
      <c r="L24" s="101"/>
      <c r="M24" s="101"/>
      <c r="N24" s="101"/>
      <c r="O24" s="101"/>
    </row>
    <row r="25" spans="1:15" s="100" customFormat="1">
      <c r="B25" s="783"/>
      <c r="C25" s="784"/>
      <c r="D25" s="784"/>
      <c r="E25" s="840" t="s">
        <v>483</v>
      </c>
      <c r="F25" s="841">
        <f>SUM(G22:G23)</f>
        <v>0</v>
      </c>
      <c r="G25" s="112"/>
      <c r="H25" s="112"/>
      <c r="I25" s="101"/>
      <c r="J25" s="101"/>
      <c r="K25" s="101"/>
      <c r="L25" s="101"/>
      <c r="M25" s="101"/>
    </row>
    <row r="26" spans="1:15" s="111" customFormat="1">
      <c r="A26" s="1218"/>
      <c r="E26" s="1218"/>
      <c r="F26" s="1219"/>
    </row>
    <row r="27" spans="1:15" s="111" customFormat="1">
      <c r="A27" s="1221" t="s">
        <v>717</v>
      </c>
      <c r="B27" s="122"/>
    </row>
    <row r="28" spans="1:15" s="111" customFormat="1">
      <c r="A28" s="122" t="s">
        <v>718</v>
      </c>
      <c r="B28" s="122"/>
    </row>
    <row r="29" spans="1:15" s="111" customFormat="1">
      <c r="A29" s="122" t="s">
        <v>719</v>
      </c>
      <c r="B29" s="122"/>
    </row>
    <row r="30" spans="1:15" s="111" customFormat="1">
      <c r="A30" s="1222" t="s">
        <v>720</v>
      </c>
      <c r="B30" s="122"/>
    </row>
    <row r="31" spans="1:15" s="111" customFormat="1">
      <c r="A31" s="1222"/>
      <c r="B31" s="122"/>
    </row>
    <row r="32" spans="1:15" s="111" customFormat="1" ht="16.5" thickBot="1">
      <c r="B32" s="111" t="s">
        <v>722</v>
      </c>
    </row>
    <row r="33" spans="1:9" s="111" customFormat="1" ht="16.5" thickTop="1">
      <c r="A33" s="1286" t="s">
        <v>723</v>
      </c>
      <c r="B33" s="1287"/>
      <c r="C33" s="1288" t="s">
        <v>724</v>
      </c>
      <c r="D33" s="1289"/>
      <c r="E33" s="1290" t="s">
        <v>725</v>
      </c>
      <c r="F33" s="1291"/>
      <c r="G33" s="1292" t="s">
        <v>726</v>
      </c>
      <c r="H33" s="1290" t="s">
        <v>727</v>
      </c>
      <c r="I33" s="1293"/>
    </row>
    <row r="34" spans="1:9" s="111" customFormat="1">
      <c r="A34" s="1294"/>
      <c r="B34" s="978" t="s">
        <v>728</v>
      </c>
      <c r="C34" s="125" t="s">
        <v>729</v>
      </c>
      <c r="D34" s="1182"/>
      <c r="E34" s="125" t="s">
        <v>729</v>
      </c>
      <c r="F34" s="126"/>
      <c r="G34" s="1218" t="s">
        <v>730</v>
      </c>
      <c r="H34" s="125" t="s">
        <v>731</v>
      </c>
      <c r="I34" s="1295"/>
    </row>
    <row r="35" spans="1:9" s="111" customFormat="1" ht="16.5" thickBot="1">
      <c r="A35" s="1296"/>
      <c r="B35" s="610"/>
      <c r="C35" s="1297" t="s">
        <v>732</v>
      </c>
      <c r="D35" s="1298" t="s">
        <v>733</v>
      </c>
      <c r="E35" s="1299" t="s">
        <v>732</v>
      </c>
      <c r="F35" s="1300" t="s">
        <v>733</v>
      </c>
      <c r="G35" s="1218" t="s">
        <v>734</v>
      </c>
      <c r="H35" s="1299" t="s">
        <v>732</v>
      </c>
      <c r="I35" s="1301" t="s">
        <v>733</v>
      </c>
    </row>
    <row r="36" spans="1:9" s="111" customFormat="1">
      <c r="A36" s="1302">
        <v>1</v>
      </c>
      <c r="B36" s="1303"/>
      <c r="C36" s="1304">
        <v>20</v>
      </c>
      <c r="D36" s="1220">
        <v>102</v>
      </c>
      <c r="E36" s="1305">
        <v>20</v>
      </c>
      <c r="F36" s="1306">
        <v>102</v>
      </c>
      <c r="G36" s="1307">
        <v>0</v>
      </c>
      <c r="H36" s="1308">
        <f>E36*$C$5*G36</f>
        <v>0</v>
      </c>
      <c r="I36" s="1309">
        <f>F36*$C$5*G36</f>
        <v>0</v>
      </c>
    </row>
    <row r="37" spans="1:9" s="111" customFormat="1">
      <c r="A37" s="1310">
        <v>2</v>
      </c>
      <c r="B37" s="126"/>
      <c r="C37" s="1311">
        <v>20</v>
      </c>
      <c r="D37" s="1312">
        <v>102</v>
      </c>
      <c r="E37" s="1313">
        <v>20</v>
      </c>
      <c r="F37" s="1314">
        <v>102</v>
      </c>
      <c r="G37" s="1315">
        <v>0</v>
      </c>
      <c r="H37" s="1316">
        <f>E37*$C$5*G37</f>
        <v>0</v>
      </c>
      <c r="I37" s="1317">
        <f>F37*$C$5*G37</f>
        <v>0</v>
      </c>
    </row>
    <row r="38" spans="1:9" s="111" customFormat="1" ht="16.5" thickBot="1">
      <c r="A38" s="1318">
        <v>3</v>
      </c>
      <c r="B38" s="1319"/>
      <c r="C38" s="1320">
        <v>20</v>
      </c>
      <c r="D38" s="1321">
        <v>102</v>
      </c>
      <c r="E38" s="1322">
        <v>20</v>
      </c>
      <c r="F38" s="1323">
        <v>102</v>
      </c>
      <c r="G38" s="1324">
        <v>0</v>
      </c>
      <c r="H38" s="1325">
        <f>E38*$C$5*G38</f>
        <v>0</v>
      </c>
      <c r="I38" s="1326">
        <f>F38*$C$5*G38</f>
        <v>0</v>
      </c>
    </row>
    <row r="39" spans="1:9" s="111" customFormat="1">
      <c r="B39" s="1222"/>
      <c r="C39" s="1222">
        <v>20</v>
      </c>
      <c r="D39" s="1222">
        <v>102</v>
      </c>
      <c r="E39" s="1218">
        <v>20</v>
      </c>
      <c r="F39" s="1327">
        <v>102</v>
      </c>
      <c r="G39" s="1328" t="s">
        <v>735</v>
      </c>
      <c r="H39" s="1329">
        <f>SUM(H36:H38)</f>
        <v>0</v>
      </c>
      <c r="I39" s="1330">
        <f>SUM(I36:I38)</f>
        <v>0</v>
      </c>
    </row>
    <row r="40" spans="1:9" s="111" customFormat="1" ht="16.5" thickBot="1">
      <c r="B40" s="111" t="s">
        <v>736</v>
      </c>
    </row>
    <row r="41" spans="1:9" s="111" customFormat="1" ht="16.5" thickTop="1">
      <c r="A41" s="1286" t="s">
        <v>737</v>
      </c>
      <c r="B41" s="1287"/>
      <c r="C41" s="1288" t="s">
        <v>724</v>
      </c>
      <c r="D41" s="1289"/>
      <c r="E41" s="1290" t="s">
        <v>725</v>
      </c>
      <c r="F41" s="1331"/>
      <c r="G41" s="1332" t="s">
        <v>726</v>
      </c>
      <c r="H41" s="1333" t="s">
        <v>727</v>
      </c>
      <c r="I41" s="1334"/>
    </row>
    <row r="42" spans="1:9" s="111" customFormat="1">
      <c r="A42" s="1294"/>
      <c r="B42" s="978" t="s">
        <v>728</v>
      </c>
      <c r="C42" s="125" t="s">
        <v>738</v>
      </c>
      <c r="D42" s="1182"/>
      <c r="E42" s="125" t="s">
        <v>739</v>
      </c>
      <c r="F42" s="1182"/>
      <c r="G42" s="1335" t="s">
        <v>669</v>
      </c>
      <c r="H42" s="1336" t="s">
        <v>731</v>
      </c>
      <c r="I42" s="1295"/>
    </row>
    <row r="43" spans="1:9" s="111" customFormat="1" ht="16.5" thickBot="1">
      <c r="A43" s="1296"/>
      <c r="B43" s="610"/>
      <c r="C43" s="1337" t="s">
        <v>732</v>
      </c>
      <c r="D43" s="1338"/>
      <c r="E43" s="1339" t="s">
        <v>732</v>
      </c>
      <c r="F43" s="1340"/>
      <c r="G43" s="1341" t="s">
        <v>740</v>
      </c>
      <c r="H43" s="1337" t="s">
        <v>732</v>
      </c>
      <c r="I43" s="1342"/>
    </row>
    <row r="44" spans="1:9" s="111" customFormat="1">
      <c r="A44" s="1343">
        <v>1</v>
      </c>
      <c r="B44" s="1303"/>
      <c r="C44" s="608" t="str">
        <f>Cenovnik!$D$96</f>
        <v>FKV</v>
      </c>
      <c r="D44" s="1344"/>
      <c r="E44" s="1345">
        <v>340</v>
      </c>
      <c r="F44" s="1344"/>
      <c r="G44" s="1346">
        <v>0</v>
      </c>
      <c r="H44" s="1347">
        <f>E44*$C$5*G44</f>
        <v>0</v>
      </c>
      <c r="I44" s="1348"/>
    </row>
    <row r="45" spans="1:9" s="111" customFormat="1">
      <c r="A45" s="1349">
        <v>2</v>
      </c>
      <c r="B45" s="126"/>
      <c r="C45" s="1350" t="str">
        <f>Cenovnik!$D$96</f>
        <v>FKV</v>
      </c>
      <c r="D45" s="1351"/>
      <c r="E45" s="1345">
        <v>340</v>
      </c>
      <c r="F45" s="1351"/>
      <c r="G45" s="1352">
        <v>0</v>
      </c>
      <c r="H45" s="1353">
        <f>E45*$C$5*G45</f>
        <v>0</v>
      </c>
      <c r="I45" s="1354"/>
    </row>
    <row r="46" spans="1:9" s="111" customFormat="1" ht="16.5" thickBot="1">
      <c r="A46" s="1355">
        <v>2</v>
      </c>
      <c r="B46" s="1356"/>
      <c r="C46" s="1357" t="str">
        <f>Cenovnik!$D$96</f>
        <v>FKV</v>
      </c>
      <c r="D46" s="1358"/>
      <c r="E46" s="1345">
        <v>340</v>
      </c>
      <c r="F46" s="1358"/>
      <c r="G46" s="1359">
        <v>0</v>
      </c>
      <c r="H46" s="1360">
        <f>E46*$C$5*G46</f>
        <v>0</v>
      </c>
      <c r="I46" s="1361"/>
    </row>
    <row r="47" spans="1:9" s="111" customFormat="1" ht="16.5" thickTop="1">
      <c r="B47" s="1222"/>
      <c r="C47" s="1222"/>
      <c r="D47" s="1222"/>
      <c r="E47" s="1218"/>
      <c r="F47" s="1327"/>
      <c r="G47" s="1328" t="s">
        <v>735</v>
      </c>
      <c r="H47" s="1329">
        <f>SUM(H44:H46)</f>
        <v>0</v>
      </c>
      <c r="I47" s="1362"/>
    </row>
    <row r="48" spans="1:9" s="111" customFormat="1">
      <c r="A48" s="1363" t="s">
        <v>741</v>
      </c>
      <c r="B48" s="1222"/>
      <c r="C48" s="1222"/>
      <c r="D48" s="1218"/>
      <c r="E48" s="1327"/>
      <c r="F48" s="1328"/>
      <c r="G48" s="1362"/>
      <c r="H48" s="1362"/>
    </row>
    <row r="49" spans="1:13" s="111" customFormat="1">
      <c r="A49" s="21">
        <v>1</v>
      </c>
      <c r="B49" s="1222" t="s">
        <v>288</v>
      </c>
      <c r="D49" s="1218"/>
      <c r="E49" s="1328"/>
      <c r="F49" s="1362"/>
      <c r="G49" s="1362"/>
    </row>
    <row r="50" spans="1:13" s="111" customFormat="1">
      <c r="A50" s="21">
        <v>2</v>
      </c>
      <c r="B50" s="111" t="s">
        <v>289</v>
      </c>
      <c r="E50" s="1328"/>
      <c r="F50" s="1362"/>
      <c r="G50" s="1362"/>
    </row>
    <row r="51" spans="1:13" s="111" customFormat="1">
      <c r="A51" s="21"/>
      <c r="B51" s="111" t="s">
        <v>290</v>
      </c>
      <c r="E51" s="1328"/>
      <c r="F51" s="1362"/>
      <c r="G51" s="1362"/>
    </row>
    <row r="52" spans="1:13" s="111" customFormat="1">
      <c r="A52" s="21"/>
      <c r="B52" s="111" t="s">
        <v>291</v>
      </c>
      <c r="E52" s="1328"/>
      <c r="F52" s="1362"/>
      <c r="G52" s="1362"/>
    </row>
    <row r="53" spans="1:13" s="111" customFormat="1">
      <c r="A53" s="21">
        <v>3</v>
      </c>
      <c r="B53" s="111" t="s">
        <v>292</v>
      </c>
      <c r="D53" s="1327"/>
      <c r="E53" s="1328"/>
      <c r="F53" s="1362"/>
      <c r="G53" s="1362"/>
    </row>
    <row r="54" spans="1:13" s="111" customFormat="1">
      <c r="A54" s="21">
        <v>4</v>
      </c>
      <c r="B54" s="111" t="s">
        <v>293</v>
      </c>
      <c r="D54" s="1327"/>
      <c r="E54" s="1328"/>
      <c r="F54" s="1362"/>
      <c r="G54" s="1362"/>
    </row>
    <row r="55" spans="1:13" s="111" customFormat="1">
      <c r="B55" s="111" t="s">
        <v>294</v>
      </c>
      <c r="D55" s="1327"/>
      <c r="E55" s="1328"/>
      <c r="F55" s="1362"/>
      <c r="G55" s="1362"/>
    </row>
    <row r="56" spans="1:13" s="111" customFormat="1">
      <c r="B56" s="111" t="s">
        <v>295</v>
      </c>
      <c r="D56" s="1327"/>
      <c r="E56" s="1328"/>
      <c r="F56" s="1362"/>
      <c r="G56" s="1362"/>
    </row>
    <row r="57" spans="1:13" s="111" customFormat="1">
      <c r="A57" s="21"/>
      <c r="B57" s="1222" t="s">
        <v>296</v>
      </c>
      <c r="D57" s="1327"/>
      <c r="E57" s="1328"/>
      <c r="F57" s="1362"/>
      <c r="G57" s="1362"/>
    </row>
    <row r="58" spans="1:13" s="111" customFormat="1">
      <c r="A58" s="21">
        <v>5</v>
      </c>
      <c r="B58" s="1222" t="s">
        <v>297</v>
      </c>
      <c r="D58" s="1327"/>
      <c r="E58" s="1328"/>
      <c r="F58" s="1362"/>
      <c r="G58" s="1362"/>
    </row>
    <row r="59" spans="1:13" s="111" customFormat="1">
      <c r="A59" s="21">
        <v>6</v>
      </c>
      <c r="B59" s="1222" t="s">
        <v>298</v>
      </c>
      <c r="D59" s="1327"/>
      <c r="E59" s="1328"/>
      <c r="F59" s="1362"/>
      <c r="G59" s="1362"/>
    </row>
    <row r="60" spans="1:13" s="111" customFormat="1">
      <c r="A60" s="21">
        <v>7</v>
      </c>
      <c r="B60" s="1222" t="s">
        <v>299</v>
      </c>
      <c r="D60" s="1327"/>
      <c r="E60" s="1328"/>
      <c r="F60" s="1362"/>
      <c r="G60" s="1362"/>
    </row>
    <row r="61" spans="1:13" s="111" customFormat="1">
      <c r="A61" s="21">
        <v>8</v>
      </c>
      <c r="B61" s="1222" t="s">
        <v>300</v>
      </c>
      <c r="D61" s="1327"/>
      <c r="E61" s="1328"/>
      <c r="F61" s="1362"/>
      <c r="G61" s="1362"/>
    </row>
    <row r="64" spans="1:13" s="100" customFormat="1" thickBot="1">
      <c r="A64" s="109"/>
      <c r="B64" s="109"/>
      <c r="C64" s="110"/>
      <c r="D64" s="110"/>
      <c r="E64" s="110"/>
      <c r="F64" s="110"/>
      <c r="G64" s="110"/>
      <c r="H64" s="1511" t="s">
        <v>499</v>
      </c>
      <c r="I64" s="110"/>
      <c r="J64" s="101"/>
      <c r="K64" s="101"/>
      <c r="L64" s="101"/>
      <c r="M64" s="101"/>
    </row>
    <row r="65" spans="1:11" s="100" customFormat="1" ht="16.5" thickBot="1">
      <c r="B65" s="547" t="s">
        <v>178</v>
      </c>
      <c r="C65" s="1498"/>
      <c r="D65" s="674"/>
      <c r="E65" s="674" t="s">
        <v>364</v>
      </c>
      <c r="F65" s="674"/>
      <c r="G65" s="1498"/>
      <c r="H65" s="1510" t="s">
        <v>365</v>
      </c>
      <c r="I65" s="1481"/>
      <c r="J65" s="1482"/>
    </row>
    <row r="66" spans="1:11" s="100" customFormat="1" thickBot="1">
      <c r="C66" s="1508">
        <v>1</v>
      </c>
      <c r="D66" s="311">
        <v>2</v>
      </c>
      <c r="E66" s="1490">
        <v>3</v>
      </c>
      <c r="F66" s="1491">
        <v>4</v>
      </c>
      <c r="G66" s="1485">
        <v>1</v>
      </c>
      <c r="H66" s="1499">
        <v>2</v>
      </c>
      <c r="I66" s="253">
        <v>3</v>
      </c>
      <c r="J66" s="1491">
        <v>4</v>
      </c>
      <c r="K66" s="101"/>
    </row>
    <row r="67" spans="1:11" s="112" customFormat="1" ht="27.95" customHeight="1" thickBot="1">
      <c r="A67" s="551"/>
      <c r="B67" s="1503" t="s">
        <v>180</v>
      </c>
      <c r="C67" s="1504"/>
      <c r="D67" s="1506"/>
      <c r="E67" s="1098"/>
      <c r="F67" s="1097"/>
      <c r="G67" s="1507"/>
      <c r="H67" s="1513"/>
      <c r="I67" s="1098"/>
      <c r="J67" s="1097"/>
      <c r="K67" s="113"/>
    </row>
    <row r="68" spans="1:11" s="112" customFormat="1" ht="27.95" customHeight="1" thickBot="1">
      <c r="A68" s="1602"/>
      <c r="B68" s="1603" t="s">
        <v>699</v>
      </c>
      <c r="C68" s="1505">
        <v>1</v>
      </c>
      <c r="D68" s="1505">
        <v>1</v>
      </c>
      <c r="E68" s="1505">
        <v>1</v>
      </c>
      <c r="F68" s="1505">
        <v>1</v>
      </c>
      <c r="G68" s="1505">
        <v>1</v>
      </c>
      <c r="H68" s="1512">
        <v>1</v>
      </c>
      <c r="I68" s="1530">
        <v>1</v>
      </c>
      <c r="J68" s="1521">
        <v>1</v>
      </c>
      <c r="K68" s="113"/>
    </row>
    <row r="69" spans="1:11" s="112" customFormat="1" ht="27.95" customHeight="1">
      <c r="A69" s="554">
        <v>1</v>
      </c>
      <c r="B69" s="786" t="s">
        <v>356</v>
      </c>
      <c r="C69" s="1517">
        <f t="shared" ref="C69:J69" si="7">$C$11</f>
        <v>0</v>
      </c>
      <c r="D69" s="1517">
        <f t="shared" si="7"/>
        <v>0</v>
      </c>
      <c r="E69" s="1517">
        <f t="shared" si="7"/>
        <v>0</v>
      </c>
      <c r="F69" s="1517">
        <f t="shared" si="7"/>
        <v>0</v>
      </c>
      <c r="G69" s="1517">
        <f t="shared" si="7"/>
        <v>0</v>
      </c>
      <c r="H69" s="1529">
        <f t="shared" si="7"/>
        <v>0</v>
      </c>
      <c r="I69" s="1529">
        <f t="shared" si="7"/>
        <v>0</v>
      </c>
      <c r="J69" s="1528">
        <f t="shared" si="7"/>
        <v>0</v>
      </c>
      <c r="K69" s="113"/>
    </row>
    <row r="70" spans="1:11" s="112" customFormat="1" ht="27.95" customHeight="1">
      <c r="A70" s="372">
        <v>2</v>
      </c>
      <c r="B70" s="787" t="s">
        <v>357</v>
      </c>
      <c r="C70" s="1518">
        <f>IF($C$3="Red. profesor",Cenovnik!$D$55,IF($C$3="Vanr. profesor",Cenovnik!$D$54,IF($C$3="Docent",Cenovnik!$D$53,Cenovnik!$D$52)))</f>
        <v>1.2</v>
      </c>
      <c r="D70" s="1518">
        <f>IF($C$3="Red. profesor",Cenovnik!$D$55,IF($C$3="Vanr. profesor",Cenovnik!$D$54,IF($C$3="Docent",Cenovnik!$D$53,Cenovnik!$D$52)))</f>
        <v>1.2</v>
      </c>
      <c r="E70" s="1518">
        <f>IF($C$3="Red. profesor",Cenovnik!$D$55,IF($C$3="Vanr. profesor",Cenovnik!$D$54,IF($C$3="Docent",Cenovnik!$D$53,Cenovnik!$D$52)))</f>
        <v>1.2</v>
      </c>
      <c r="F70" s="1518">
        <f>IF($C$3="Red. profesor",Cenovnik!$D$55,IF($C$3="Vanr. profesor",Cenovnik!$D$54,IF($C$3="Docent",Cenovnik!$D$53,Cenovnik!$D$52)))</f>
        <v>1.2</v>
      </c>
      <c r="G70" s="1518">
        <f>IF($C$3="Red. profesor",Cenovnik!$D$55,IF($C$3="Vanr. profesor",Cenovnik!$D$54,IF($C$3="Docent",Cenovnik!$D$53,Cenovnik!$D$52)))</f>
        <v>1.2</v>
      </c>
      <c r="H70" s="1518">
        <f>IF($C$3="Red. profesor",Cenovnik!$D$55,IF($C$3="Vanr. profesor",Cenovnik!$D$54,IF($C$3="Docent",Cenovnik!$D$53,Cenovnik!$D$52)))</f>
        <v>1.2</v>
      </c>
      <c r="I70" s="1518">
        <f>IF($C$3="Red. profesor",Cenovnik!$D$55,IF($C$3="Vanr. profesor",Cenovnik!$D$54,IF($C$3="Docent",Cenovnik!$D$53,Cenovnik!$D$52)))</f>
        <v>1.2</v>
      </c>
      <c r="J70" s="1519">
        <f>IF($C$3="Red. profesor",Cenovnik!$D$55,IF($C$3="Vanr. profesor",Cenovnik!$D$54,IF($C$3="Docent",Cenovnik!$D$53,Cenovnik!$D$52)))</f>
        <v>1.2</v>
      </c>
      <c r="K70" s="113"/>
    </row>
    <row r="71" spans="1:11" s="112" customFormat="1" ht="27.95" customHeight="1">
      <c r="A71" s="372">
        <v>3</v>
      </c>
      <c r="B71" s="787" t="s">
        <v>358</v>
      </c>
      <c r="C71" s="1518">
        <f>C105</f>
        <v>0</v>
      </c>
      <c r="D71" s="1518">
        <f t="shared" ref="D71:J71" si="8">D105</f>
        <v>0</v>
      </c>
      <c r="E71" s="1518">
        <f t="shared" si="8"/>
        <v>0</v>
      </c>
      <c r="F71" s="1518">
        <f t="shared" si="8"/>
        <v>0</v>
      </c>
      <c r="G71" s="1518">
        <f t="shared" si="8"/>
        <v>0</v>
      </c>
      <c r="H71" s="1518">
        <f t="shared" si="8"/>
        <v>0</v>
      </c>
      <c r="I71" s="1518">
        <f t="shared" si="8"/>
        <v>0</v>
      </c>
      <c r="J71" s="1518">
        <f t="shared" si="8"/>
        <v>0</v>
      </c>
      <c r="K71" s="113"/>
    </row>
    <row r="72" spans="1:11" s="112" customFormat="1" ht="27.95" customHeight="1">
      <c r="A72" s="372">
        <v>4</v>
      </c>
      <c r="B72" s="787" t="s">
        <v>359</v>
      </c>
      <c r="C72" s="1520" t="e">
        <f>C138</f>
        <v>#DIV/0!</v>
      </c>
      <c r="D72" s="1520" t="e">
        <f t="shared" ref="D72:J72" si="9">D138</f>
        <v>#DIV/0!</v>
      </c>
      <c r="E72" s="1520" t="e">
        <f t="shared" si="9"/>
        <v>#DIV/0!</v>
      </c>
      <c r="F72" s="1520" t="e">
        <f t="shared" si="9"/>
        <v>#DIV/0!</v>
      </c>
      <c r="G72" s="1520">
        <f t="shared" si="9"/>
        <v>0</v>
      </c>
      <c r="H72" s="1520">
        <f t="shared" si="9"/>
        <v>0</v>
      </c>
      <c r="I72" s="1520">
        <f t="shared" si="9"/>
        <v>0</v>
      </c>
      <c r="J72" s="1520">
        <f t="shared" si="9"/>
        <v>0</v>
      </c>
      <c r="K72" s="113"/>
    </row>
    <row r="73" spans="1:11" s="112" customFormat="1" ht="27.95" customHeight="1">
      <c r="A73" s="372">
        <v>5</v>
      </c>
      <c r="B73" s="787" t="s">
        <v>360</v>
      </c>
      <c r="C73" s="1520" t="e">
        <f>C139</f>
        <v>#DIV/0!</v>
      </c>
      <c r="D73" s="1520" t="e">
        <f t="shared" ref="D73:J73" si="10">D139</f>
        <v>#DIV/0!</v>
      </c>
      <c r="E73" s="1520" t="e">
        <f t="shared" si="10"/>
        <v>#DIV/0!</v>
      </c>
      <c r="F73" s="1520" t="e">
        <f t="shared" si="10"/>
        <v>#DIV/0!</v>
      </c>
      <c r="G73" s="1520">
        <f t="shared" si="10"/>
        <v>0</v>
      </c>
      <c r="H73" s="1520">
        <f t="shared" si="10"/>
        <v>0</v>
      </c>
      <c r="I73" s="1520">
        <f t="shared" si="10"/>
        <v>0</v>
      </c>
      <c r="J73" s="1520">
        <f t="shared" si="10"/>
        <v>0</v>
      </c>
      <c r="K73" s="113"/>
    </row>
    <row r="74" spans="1:11" s="112" customFormat="1" ht="27.95" customHeight="1">
      <c r="A74" s="372">
        <v>6</v>
      </c>
      <c r="B74" s="787" t="s">
        <v>361</v>
      </c>
      <c r="C74" s="1520">
        <f>C140</f>
        <v>0.7</v>
      </c>
      <c r="D74" s="1520">
        <f t="shared" ref="D74:J74" si="11">D140</f>
        <v>0.7</v>
      </c>
      <c r="E74" s="1520">
        <f t="shared" si="11"/>
        <v>0.7</v>
      </c>
      <c r="F74" s="1520">
        <f t="shared" si="11"/>
        <v>0.7</v>
      </c>
      <c r="G74" s="1520">
        <f t="shared" si="11"/>
        <v>0</v>
      </c>
      <c r="H74" s="1520">
        <f t="shared" si="11"/>
        <v>0</v>
      </c>
      <c r="I74" s="1520">
        <f t="shared" si="11"/>
        <v>0</v>
      </c>
      <c r="J74" s="1520">
        <f t="shared" si="11"/>
        <v>0</v>
      </c>
      <c r="K74" s="113"/>
    </row>
    <row r="75" spans="1:11" s="112" customFormat="1" ht="27.95" customHeight="1">
      <c r="A75" s="372">
        <v>7</v>
      </c>
      <c r="B75" s="787" t="s">
        <v>362</v>
      </c>
      <c r="C75" s="1520">
        <f>C141</f>
        <v>0.7</v>
      </c>
      <c r="D75" s="1520">
        <f t="shared" ref="D75:J75" si="12">D141</f>
        <v>0.7</v>
      </c>
      <c r="E75" s="1520">
        <f t="shared" si="12"/>
        <v>0.7</v>
      </c>
      <c r="F75" s="1520">
        <f t="shared" si="12"/>
        <v>0.7</v>
      </c>
      <c r="G75" s="1520">
        <f t="shared" si="12"/>
        <v>0</v>
      </c>
      <c r="H75" s="1520">
        <f t="shared" si="12"/>
        <v>0</v>
      </c>
      <c r="I75" s="1520">
        <f t="shared" si="12"/>
        <v>0</v>
      </c>
      <c r="J75" s="1520">
        <f t="shared" si="12"/>
        <v>0</v>
      </c>
      <c r="K75" s="113"/>
    </row>
    <row r="76" spans="1:11" s="112" customFormat="1" ht="48.95" customHeight="1" thickBot="1">
      <c r="A76" s="374">
        <v>8</v>
      </c>
      <c r="B76" s="788" t="s">
        <v>363</v>
      </c>
      <c r="C76" s="1523">
        <f>C133</f>
        <v>0</v>
      </c>
      <c r="D76" s="1523">
        <f t="shared" ref="D76:J76" si="13">D133</f>
        <v>0</v>
      </c>
      <c r="E76" s="1523">
        <f t="shared" si="13"/>
        <v>0</v>
      </c>
      <c r="F76" s="1523">
        <f t="shared" si="13"/>
        <v>0</v>
      </c>
      <c r="G76" s="1523">
        <f t="shared" si="13"/>
        <v>0</v>
      </c>
      <c r="H76" s="1523">
        <f t="shared" si="13"/>
        <v>0</v>
      </c>
      <c r="I76" s="1523">
        <f t="shared" si="13"/>
        <v>0</v>
      </c>
      <c r="J76" s="1523">
        <f t="shared" si="13"/>
        <v>0</v>
      </c>
      <c r="K76" s="113"/>
    </row>
    <row r="77" spans="1:11" s="112" customFormat="1" ht="27.95" customHeight="1" thickBot="1">
      <c r="A77" s="798"/>
      <c r="B77" s="1522" t="s">
        <v>179</v>
      </c>
      <c r="C77" s="1524" t="e">
        <f>C69*C70*C71*C72*C73*CC7475*C76</f>
        <v>#DIV/0!</v>
      </c>
      <c r="D77" s="1524" t="e">
        <f t="shared" ref="D77:J77" si="14">D69*D70*D71*D72*D73*CD7475*D76</f>
        <v>#DIV/0!</v>
      </c>
      <c r="E77" s="1524" t="e">
        <f t="shared" si="14"/>
        <v>#DIV/0!</v>
      </c>
      <c r="F77" s="1524" t="e">
        <f t="shared" si="14"/>
        <v>#DIV/0!</v>
      </c>
      <c r="G77" s="1524">
        <f t="shared" si="14"/>
        <v>0</v>
      </c>
      <c r="H77" s="1524">
        <f t="shared" si="14"/>
        <v>0</v>
      </c>
      <c r="I77" s="1524">
        <f t="shared" si="14"/>
        <v>0</v>
      </c>
      <c r="J77" s="1524">
        <f t="shared" si="14"/>
        <v>0</v>
      </c>
      <c r="K77" s="113"/>
    </row>
    <row r="78" spans="1:11" s="112" customFormat="1" ht="23.1" customHeight="1" thickBot="1">
      <c r="B78" s="559" t="s">
        <v>777</v>
      </c>
      <c r="C78" s="1515">
        <f>IF(C8&gt;=3,900,IF(C8&gt;=2,600, IF(C8&gt;=0, 0)))*C68</f>
        <v>0</v>
      </c>
      <c r="D78" s="1515">
        <f>IF(C9&gt;=3,900,IF(C9&gt;=2,600, IF(C9&gt;=0, 0)))*D68</f>
        <v>0</v>
      </c>
      <c r="E78" s="1516">
        <f>IF(C10&gt;=3,900,IF(C10&gt;=2,600, IF(C10&gt;=0, 0)))*E68</f>
        <v>0</v>
      </c>
      <c r="F78" s="1516">
        <f>IF(C11&gt;=3,900,IF(C11&gt;=2,600, IF(C11&gt;=0, 0)))*F68</f>
        <v>0</v>
      </c>
      <c r="G78" s="1516">
        <f>IF(C12&gt;=3,900,IF(C12&gt;=2,600, IF(C12&gt;=0, 0)))*G68</f>
        <v>0</v>
      </c>
      <c r="H78" s="1516">
        <f>IF(C13&gt;=3,900,IF(C13&gt;=2,600, IF(C13&gt;=0, 0)))*H68</f>
        <v>0</v>
      </c>
      <c r="I78" s="1516">
        <f>IF(C14&gt;=3,900,IF(C14&gt;=2,600, IF(C14&gt;=0, 0)))*I68</f>
        <v>0</v>
      </c>
      <c r="J78" s="1516">
        <f>IF(C15&gt;=3,900,IF(C15&gt;=2,600, IF(C15&gt;=0, 0)))*J68</f>
        <v>0</v>
      </c>
      <c r="K78" s="113"/>
    </row>
    <row r="79" spans="1:11" s="112" customFormat="1" ht="23.1" customHeight="1" thickBot="1">
      <c r="B79" s="559" t="s">
        <v>775</v>
      </c>
      <c r="C79" s="1514">
        <f>C78*77</f>
        <v>0</v>
      </c>
      <c r="D79" s="1525">
        <f t="shared" ref="D79:J79" si="15">D78*77</f>
        <v>0</v>
      </c>
      <c r="E79" s="1514">
        <f t="shared" si="15"/>
        <v>0</v>
      </c>
      <c r="F79" s="1514">
        <f t="shared" si="15"/>
        <v>0</v>
      </c>
      <c r="G79" s="1514">
        <f t="shared" si="15"/>
        <v>0</v>
      </c>
      <c r="H79" s="1514">
        <f t="shared" si="15"/>
        <v>0</v>
      </c>
      <c r="I79" s="1514">
        <f t="shared" si="15"/>
        <v>0</v>
      </c>
      <c r="J79" s="1525">
        <f t="shared" si="15"/>
        <v>0</v>
      </c>
      <c r="K79" s="113"/>
    </row>
    <row r="80" spans="1:11" s="112" customFormat="1" ht="23.1" customHeight="1" thickBot="1">
      <c r="B80" s="1454" t="s">
        <v>776</v>
      </c>
      <c r="C80" s="1454">
        <f>C79*Cenovnik!$D$7</f>
        <v>0</v>
      </c>
      <c r="D80" s="1454">
        <f>D79*Cenovnik!$D$7</f>
        <v>0</v>
      </c>
      <c r="E80" s="1454">
        <f>E79*Cenovnik!$D$7</f>
        <v>0</v>
      </c>
      <c r="F80" s="1454">
        <f>F79*Cenovnik!$D$7</f>
        <v>0</v>
      </c>
      <c r="G80" s="1454">
        <f>G79*Cenovnik!$D$7</f>
        <v>0</v>
      </c>
      <c r="H80" s="1454">
        <f>H79*Cenovnik!$D$7</f>
        <v>0</v>
      </c>
      <c r="I80" s="1454">
        <f>I79*Cenovnik!$D$7</f>
        <v>0</v>
      </c>
      <c r="J80" s="1526">
        <f>J79*Cenovnik!$D$7</f>
        <v>0</v>
      </c>
      <c r="K80" s="113"/>
    </row>
    <row r="81" spans="1:11" s="100" customFormat="1" thickBot="1">
      <c r="B81" s="809" t="s">
        <v>494</v>
      </c>
      <c r="C81" s="809">
        <f>(C79-C78)*Cenovnik!$D$7</f>
        <v>0</v>
      </c>
      <c r="D81" s="809">
        <f>(D79-D78)*Cenovnik!$D$7</f>
        <v>0</v>
      </c>
      <c r="E81" s="809">
        <f>(E79-E78)*Cenovnik!$D$7</f>
        <v>0</v>
      </c>
      <c r="F81" s="809">
        <f>(F79-F78)*Cenovnik!$D$7</f>
        <v>0</v>
      </c>
      <c r="G81" s="809">
        <f>(G79-G78)*Cenovnik!$D$7</f>
        <v>0</v>
      </c>
      <c r="H81" s="809">
        <f>(H79-H78)*Cenovnik!$D$7</f>
        <v>0</v>
      </c>
      <c r="I81" s="809">
        <f>(I79-I78)*Cenovnik!$D$7</f>
        <v>0</v>
      </c>
      <c r="J81" s="1527">
        <f>(J79-J78)*Cenovnik!$D$7</f>
        <v>0</v>
      </c>
      <c r="K81" s="101"/>
    </row>
    <row r="82" spans="1:11" s="100" customFormat="1" ht="15">
      <c r="A82" s="109"/>
      <c r="B82" s="109"/>
      <c r="C82" s="110"/>
      <c r="D82" s="110"/>
      <c r="E82" s="110"/>
      <c r="F82" s="101"/>
      <c r="G82" s="101"/>
    </row>
    <row r="83" spans="1:11">
      <c r="A83" s="109"/>
      <c r="B83" s="109"/>
      <c r="C83" s="110"/>
      <c r="D83" s="110"/>
      <c r="E83" s="110"/>
      <c r="F83" s="110"/>
      <c r="G83" s="101"/>
      <c r="H83" s="101"/>
      <c r="I83" s="101"/>
    </row>
    <row r="84" spans="1:11">
      <c r="A84" s="109"/>
      <c r="B84" s="109"/>
      <c r="C84" s="110"/>
      <c r="D84" s="110"/>
      <c r="E84" s="110"/>
      <c r="F84" s="110"/>
      <c r="G84" s="101"/>
      <c r="H84" s="101"/>
      <c r="I84" s="101"/>
    </row>
    <row r="85" spans="1:11">
      <c r="A85" s="109"/>
      <c r="B85" s="572" t="s">
        <v>495</v>
      </c>
      <c r="C85" s="110"/>
      <c r="D85" s="110"/>
      <c r="E85" s="110"/>
      <c r="F85" s="110"/>
      <c r="G85" s="101"/>
      <c r="H85" s="101"/>
      <c r="I85" s="101"/>
    </row>
    <row r="86" spans="1:11" ht="16.5" thickBot="1">
      <c r="A86" s="109"/>
      <c r="B86" s="100" t="s">
        <v>502</v>
      </c>
      <c r="C86" s="110"/>
      <c r="D86" s="1511"/>
      <c r="E86" s="110"/>
      <c r="F86" s="1511"/>
      <c r="G86" s="101"/>
      <c r="H86" s="101"/>
      <c r="I86" s="101"/>
    </row>
    <row r="87" spans="1:11" s="100" customFormat="1" thickBot="1">
      <c r="C87" s="1498"/>
      <c r="D87" s="674"/>
      <c r="E87" s="674" t="s">
        <v>364</v>
      </c>
      <c r="F87" s="1545"/>
      <c r="G87" s="1481"/>
      <c r="H87" s="1481" t="s">
        <v>365</v>
      </c>
      <c r="I87" s="1481"/>
      <c r="J87" s="1482"/>
    </row>
    <row r="88" spans="1:11" s="100" customFormat="1" ht="18.75" thickBot="1">
      <c r="A88" s="676">
        <v>3</v>
      </c>
      <c r="B88" s="1401" t="s">
        <v>56</v>
      </c>
      <c r="C88" s="1536"/>
      <c r="D88" s="1542"/>
      <c r="E88" s="1537"/>
      <c r="F88" s="1546"/>
      <c r="G88" s="1502"/>
      <c r="H88" s="1538"/>
      <c r="I88" s="1536"/>
      <c r="J88" s="1537"/>
    </row>
    <row r="89" spans="1:11" s="100" customFormat="1" ht="15">
      <c r="A89" s="198">
        <v>1</v>
      </c>
      <c r="B89" s="1402" t="s">
        <v>448</v>
      </c>
      <c r="C89" s="1406"/>
      <c r="D89" s="635"/>
      <c r="E89" s="635"/>
      <c r="F89" s="635"/>
      <c r="G89" s="1532"/>
      <c r="H89" s="635"/>
      <c r="I89" s="1539"/>
      <c r="J89" s="678"/>
    </row>
    <row r="90" spans="1:11" s="100" customFormat="1" ht="15">
      <c r="A90" s="203">
        <v>2</v>
      </c>
      <c r="B90" s="1403" t="s">
        <v>449</v>
      </c>
      <c r="C90" s="1407"/>
      <c r="D90" s="569"/>
      <c r="E90" s="569"/>
      <c r="F90" s="569"/>
      <c r="G90" s="1533"/>
      <c r="H90" s="569"/>
      <c r="I90" s="1540"/>
      <c r="J90" s="571"/>
    </row>
    <row r="91" spans="1:11" s="100" customFormat="1" ht="15">
      <c r="A91" s="203">
        <v>3</v>
      </c>
      <c r="B91" s="1403" t="s">
        <v>450</v>
      </c>
      <c r="C91" s="1407"/>
      <c r="D91" s="569"/>
      <c r="E91" s="569"/>
      <c r="F91" s="569"/>
      <c r="G91" s="1533"/>
      <c r="H91" s="569"/>
      <c r="I91" s="1540"/>
      <c r="J91" s="571"/>
    </row>
    <row r="92" spans="1:11" s="100" customFormat="1" ht="15">
      <c r="A92" s="203">
        <v>4</v>
      </c>
      <c r="B92" s="1403" t="s">
        <v>451</v>
      </c>
      <c r="C92" s="1407"/>
      <c r="D92" s="569"/>
      <c r="E92" s="569"/>
      <c r="F92" s="569"/>
      <c r="G92" s="1533"/>
      <c r="H92" s="569"/>
      <c r="I92" s="1540"/>
      <c r="J92" s="571"/>
    </row>
    <row r="93" spans="1:11" s="100" customFormat="1" ht="15">
      <c r="A93" s="203">
        <v>5</v>
      </c>
      <c r="B93" s="1403" t="s">
        <v>452</v>
      </c>
      <c r="C93" s="1407"/>
      <c r="D93" s="569"/>
      <c r="E93" s="569"/>
      <c r="F93" s="569"/>
      <c r="G93" s="1533"/>
      <c r="H93" s="569"/>
      <c r="I93" s="1540"/>
      <c r="J93" s="571"/>
    </row>
    <row r="94" spans="1:11" s="100" customFormat="1" ht="15">
      <c r="A94" s="203">
        <v>6</v>
      </c>
      <c r="B94" s="1403" t="s">
        <v>453</v>
      </c>
      <c r="C94" s="1407"/>
      <c r="D94" s="569"/>
      <c r="E94" s="569"/>
      <c r="F94" s="569"/>
      <c r="G94" s="1533"/>
      <c r="H94" s="569"/>
      <c r="I94" s="1540"/>
      <c r="J94" s="571"/>
    </row>
    <row r="95" spans="1:11" s="100" customFormat="1" ht="15">
      <c r="A95" s="203">
        <v>7</v>
      </c>
      <c r="B95" s="1403" t="s">
        <v>454</v>
      </c>
      <c r="C95" s="1407"/>
      <c r="D95" s="569"/>
      <c r="E95" s="569"/>
      <c r="F95" s="569"/>
      <c r="G95" s="1533"/>
      <c r="H95" s="569"/>
      <c r="I95" s="1540"/>
      <c r="J95" s="571"/>
    </row>
    <row r="96" spans="1:11" s="100" customFormat="1" ht="15">
      <c r="A96" s="203">
        <v>8</v>
      </c>
      <c r="B96" s="1403" t="s">
        <v>455</v>
      </c>
      <c r="C96" s="1407"/>
      <c r="D96" s="569"/>
      <c r="E96" s="569"/>
      <c r="F96" s="569"/>
      <c r="G96" s="1533"/>
      <c r="H96" s="569"/>
      <c r="I96" s="1540"/>
      <c r="J96" s="571"/>
    </row>
    <row r="97" spans="1:12" s="100" customFormat="1" ht="15">
      <c r="A97" s="203">
        <v>9</v>
      </c>
      <c r="B97" s="1403" t="s">
        <v>456</v>
      </c>
      <c r="C97" s="1407"/>
      <c r="D97" s="569"/>
      <c r="E97" s="569"/>
      <c r="F97" s="569"/>
      <c r="G97" s="1533"/>
      <c r="H97" s="569"/>
      <c r="I97" s="1540"/>
      <c r="J97" s="571"/>
    </row>
    <row r="98" spans="1:12" s="100" customFormat="1" ht="15">
      <c r="A98" s="203">
        <v>10</v>
      </c>
      <c r="B98" s="1403" t="s">
        <v>457</v>
      </c>
      <c r="C98" s="1407"/>
      <c r="D98" s="569"/>
      <c r="E98" s="569"/>
      <c r="F98" s="569"/>
      <c r="G98" s="1533"/>
      <c r="H98" s="569"/>
      <c r="I98" s="1540"/>
      <c r="J98" s="571"/>
    </row>
    <row r="99" spans="1:12" s="100" customFormat="1" ht="15">
      <c r="A99" s="203">
        <v>11</v>
      </c>
      <c r="B99" s="1403" t="s">
        <v>458</v>
      </c>
      <c r="C99" s="1407"/>
      <c r="D99" s="569"/>
      <c r="E99" s="569"/>
      <c r="F99" s="569"/>
      <c r="G99" s="1533"/>
      <c r="H99" s="569"/>
      <c r="I99" s="1540"/>
      <c r="J99" s="571"/>
    </row>
    <row r="100" spans="1:12" s="100" customFormat="1" ht="15">
      <c r="A100" s="203">
        <v>12</v>
      </c>
      <c r="B100" s="1403" t="s">
        <v>459</v>
      </c>
      <c r="C100" s="1407"/>
      <c r="D100" s="569"/>
      <c r="E100" s="569"/>
      <c r="F100" s="569"/>
      <c r="G100" s="1533"/>
      <c r="H100" s="569"/>
      <c r="I100" s="1540"/>
      <c r="J100" s="571"/>
    </row>
    <row r="101" spans="1:12" s="100" customFormat="1" ht="15">
      <c r="A101" s="203">
        <v>13</v>
      </c>
      <c r="B101" s="1403" t="s">
        <v>460</v>
      </c>
      <c r="C101" s="1407"/>
      <c r="D101" s="569"/>
      <c r="E101" s="569"/>
      <c r="F101" s="569"/>
      <c r="G101" s="1533"/>
      <c r="H101" s="569"/>
      <c r="I101" s="1540"/>
      <c r="J101" s="571"/>
    </row>
    <row r="102" spans="1:12" s="100" customFormat="1" ht="15">
      <c r="A102" s="203">
        <v>14</v>
      </c>
      <c r="B102" s="1403" t="s">
        <v>461</v>
      </c>
      <c r="C102" s="1407"/>
      <c r="D102" s="569"/>
      <c r="E102" s="569"/>
      <c r="F102" s="569"/>
      <c r="G102" s="1533"/>
      <c r="H102" s="569"/>
      <c r="I102" s="1540"/>
      <c r="J102" s="571"/>
    </row>
    <row r="103" spans="1:12" s="100" customFormat="1" thickBot="1">
      <c r="A103" s="207">
        <v>15</v>
      </c>
      <c r="B103" s="1404" t="s">
        <v>462</v>
      </c>
      <c r="C103" s="1408"/>
      <c r="D103" s="679"/>
      <c r="E103" s="679"/>
      <c r="F103" s="679"/>
      <c r="G103" s="1534"/>
      <c r="H103" s="679"/>
      <c r="I103" s="679"/>
      <c r="J103" s="680"/>
    </row>
    <row r="104" spans="1:12" s="100" customFormat="1" ht="16.5" thickBot="1">
      <c r="A104" s="101"/>
      <c r="B104" s="574" t="s">
        <v>464</v>
      </c>
      <c r="C104" s="1541">
        <f>SUM(C89:C103)/15</f>
        <v>0</v>
      </c>
      <c r="D104" s="1541">
        <f t="shared" ref="D104:J104" si="16">SUM(D89:D103)/15</f>
        <v>0</v>
      </c>
      <c r="E104" s="1541">
        <f t="shared" si="16"/>
        <v>0</v>
      </c>
      <c r="F104" s="1541">
        <f t="shared" si="16"/>
        <v>0</v>
      </c>
      <c r="G104" s="1541">
        <f t="shared" si="16"/>
        <v>0</v>
      </c>
      <c r="H104" s="1541">
        <f t="shared" si="16"/>
        <v>0</v>
      </c>
      <c r="I104" s="1541">
        <f t="shared" si="16"/>
        <v>0</v>
      </c>
      <c r="J104" s="1543">
        <f t="shared" si="16"/>
        <v>0</v>
      </c>
    </row>
    <row r="105" spans="1:12" s="100" customFormat="1" ht="16.5" thickBot="1">
      <c r="A105" s="682">
        <v>8</v>
      </c>
      <c r="B105" s="1405" t="s">
        <v>465</v>
      </c>
      <c r="C105" s="1535">
        <f>IF(C104&gt;=90%,Cenovnik!$E$65, IF(C104&gt;=50%, Cenovnik!$E$64, IF(C104&gt;=20%,Cenovnik!$E$63,IF(C104&gt;=5%,Cenovnik!$E$62,0))))</f>
        <v>0</v>
      </c>
      <c r="D105" s="1535">
        <f>IF(D104&gt;=90%,Cenovnik!$E$65, IF(D104&gt;=50%, Cenovnik!$E$64, IF(D104&gt;=20%,Cenovnik!$E$63,IF(D104&gt;=5%,Cenovnik!$E$62,0))))</f>
        <v>0</v>
      </c>
      <c r="E105" s="1535">
        <f>IF(E104&gt;=90%,Cenovnik!$E$65, IF(E104&gt;=50%, Cenovnik!$E$64, IF(E104&gt;=20%,Cenovnik!$E$63,IF(E104&gt;=5%,Cenovnik!$E$62,0))))</f>
        <v>0</v>
      </c>
      <c r="F105" s="1535">
        <f>IF(F104&gt;=90%,Cenovnik!$E$65, IF(F104&gt;=50%, Cenovnik!$E$64, IF(F104&gt;=20%,Cenovnik!$E$63,IF(F104&gt;=5%,Cenovnik!$E$62,0))))</f>
        <v>0</v>
      </c>
      <c r="G105" s="1535">
        <f>IF(G104&gt;=90%,Cenovnik!$E$65, IF(G104&gt;=50%, Cenovnik!$E$64, IF(G104&gt;=20%,Cenovnik!$E$63,IF(G104&gt;=5%,Cenovnik!$E$62,0))))</f>
        <v>0</v>
      </c>
      <c r="H105" s="1535">
        <f>IF(H104&gt;=90%,Cenovnik!$E$65, IF(H104&gt;=50%, Cenovnik!$E$64, IF(H104&gt;=20%,Cenovnik!$E$63,IF(H104&gt;=5%,Cenovnik!$E$62,0))))</f>
        <v>0</v>
      </c>
      <c r="I105" s="1535">
        <f>IF(I104&gt;=90%,Cenovnik!$E$65, IF(I104&gt;=50%, Cenovnik!$E$64, IF(I104&gt;=20%,Cenovnik!$E$63,IF(I104&gt;=5%,Cenovnik!$E$62,0))))</f>
        <v>0</v>
      </c>
      <c r="J105" s="1544">
        <f>IF(J104&gt;=90%,Cenovnik!$E$65, IF(J104&gt;=50%, Cenovnik!$E$64, IF(J104&gt;=20%,Cenovnik!$E$63,IF(J104&gt;=5%,Cenovnik!$E$62,0))))</f>
        <v>0</v>
      </c>
    </row>
    <row r="106" spans="1:12">
      <c r="C106" s="4"/>
      <c r="D106" s="4"/>
      <c r="E106" s="4"/>
      <c r="F106" s="4"/>
    </row>
    <row r="107" spans="1:12" s="100" customFormat="1" ht="15">
      <c r="C107" s="101"/>
      <c r="D107" s="101"/>
      <c r="E107" s="101"/>
      <c r="F107" s="101"/>
    </row>
    <row r="108" spans="1:12" ht="16.5" thickBot="1">
      <c r="C108" s="4"/>
      <c r="D108" s="4"/>
      <c r="E108" s="4"/>
      <c r="F108" s="4"/>
    </row>
    <row r="109" spans="1:12" s="112" customFormat="1" ht="16.5" thickBot="1">
      <c r="A109" s="113"/>
      <c r="B109" s="533" t="s">
        <v>346</v>
      </c>
      <c r="C109" s="1536"/>
      <c r="D109" s="1531" t="s">
        <v>364</v>
      </c>
      <c r="E109" s="1531"/>
      <c r="F109" s="1531"/>
      <c r="G109" s="1551"/>
      <c r="H109" s="1551" t="s">
        <v>365</v>
      </c>
      <c r="I109" s="1476"/>
      <c r="J109" s="1477"/>
    </row>
    <row r="110" spans="1:12" s="100" customFormat="1" ht="16.5" thickBot="1">
      <c r="A110" s="389">
        <v>8</v>
      </c>
      <c r="B110" s="1409" t="s">
        <v>497</v>
      </c>
      <c r="C110" s="1501"/>
      <c r="D110" s="534"/>
      <c r="E110" s="1560"/>
      <c r="F110" s="1537"/>
      <c r="G110" s="653"/>
      <c r="H110" s="1537"/>
      <c r="I110" s="1557"/>
      <c r="J110" s="1547"/>
    </row>
    <row r="111" spans="1:12" s="100" customFormat="1" ht="27.95" customHeight="1">
      <c r="A111" s="535" t="s">
        <v>1</v>
      </c>
      <c r="B111" s="1410" t="s">
        <v>16</v>
      </c>
      <c r="C111" s="1552"/>
      <c r="D111" s="1553"/>
      <c r="E111" s="750"/>
      <c r="F111" s="729"/>
      <c r="G111" s="1561"/>
      <c r="H111" s="1553"/>
      <c r="I111" s="735"/>
      <c r="J111" s="669"/>
    </row>
    <row r="112" spans="1:12" s="100" customFormat="1" ht="27.95" customHeight="1">
      <c r="A112" s="535" t="s">
        <v>2</v>
      </c>
      <c r="B112" s="1410" t="s">
        <v>17</v>
      </c>
      <c r="C112" s="1548"/>
      <c r="D112" s="668"/>
      <c r="E112" s="736"/>
      <c r="F112" s="669"/>
      <c r="G112" s="735"/>
      <c r="H112" s="668"/>
      <c r="I112" s="735"/>
      <c r="J112" s="669"/>
      <c r="L112" s="105"/>
    </row>
    <row r="113" spans="1:10" s="100" customFormat="1" ht="27.95" customHeight="1">
      <c r="A113" s="535" t="s">
        <v>3</v>
      </c>
      <c r="B113" s="1410" t="s">
        <v>18</v>
      </c>
      <c r="C113" s="1548"/>
      <c r="D113" s="668"/>
      <c r="E113" s="736"/>
      <c r="F113" s="669"/>
      <c r="G113" s="735"/>
      <c r="H113" s="668"/>
      <c r="I113" s="735"/>
      <c r="J113" s="669"/>
    </row>
    <row r="114" spans="1:10" s="100" customFormat="1" ht="27.95" customHeight="1">
      <c r="A114" s="535" t="s">
        <v>4</v>
      </c>
      <c r="B114" s="1410" t="s">
        <v>34</v>
      </c>
      <c r="C114" s="1548"/>
      <c r="D114" s="668"/>
      <c r="E114" s="736"/>
      <c r="F114" s="669"/>
      <c r="G114" s="735"/>
      <c r="H114" s="668"/>
      <c r="I114" s="735"/>
      <c r="J114" s="669"/>
    </row>
    <row r="115" spans="1:10" s="100" customFormat="1" ht="27.95" customHeight="1">
      <c r="A115" s="535" t="s">
        <v>5</v>
      </c>
      <c r="B115" s="1410" t="s">
        <v>19</v>
      </c>
      <c r="C115" s="1548"/>
      <c r="D115" s="668"/>
      <c r="E115" s="736"/>
      <c r="F115" s="669"/>
      <c r="G115" s="735"/>
      <c r="H115" s="668"/>
      <c r="I115" s="735"/>
      <c r="J115" s="669"/>
    </row>
    <row r="116" spans="1:10" s="100" customFormat="1" ht="27.95" customHeight="1">
      <c r="A116" s="535" t="s">
        <v>6</v>
      </c>
      <c r="B116" s="1410" t="s">
        <v>20</v>
      </c>
      <c r="C116" s="1548"/>
      <c r="D116" s="668"/>
      <c r="E116" s="736"/>
      <c r="F116" s="669"/>
      <c r="G116" s="735"/>
      <c r="H116" s="668"/>
      <c r="I116" s="735"/>
      <c r="J116" s="669"/>
    </row>
    <row r="117" spans="1:10" s="100" customFormat="1" ht="27.95" customHeight="1">
      <c r="A117" s="535" t="s">
        <v>7</v>
      </c>
      <c r="B117" s="1410" t="s">
        <v>21</v>
      </c>
      <c r="C117" s="1548"/>
      <c r="D117" s="668"/>
      <c r="E117" s="736"/>
      <c r="F117" s="669"/>
      <c r="G117" s="735"/>
      <c r="H117" s="668"/>
      <c r="I117" s="735"/>
      <c r="J117" s="669"/>
    </row>
    <row r="118" spans="1:10" s="100" customFormat="1" ht="27.95" customHeight="1">
      <c r="A118" s="535" t="s">
        <v>8</v>
      </c>
      <c r="B118" s="1410" t="s">
        <v>22</v>
      </c>
      <c r="C118" s="1548"/>
      <c r="D118" s="668"/>
      <c r="E118" s="736"/>
      <c r="F118" s="669"/>
      <c r="G118" s="735"/>
      <c r="H118" s="668"/>
      <c r="I118" s="735"/>
      <c r="J118" s="669"/>
    </row>
    <row r="119" spans="1:10" s="100" customFormat="1" ht="27.95" customHeight="1">
      <c r="A119" s="535" t="s">
        <v>9</v>
      </c>
      <c r="B119" s="1410" t="s">
        <v>23</v>
      </c>
      <c r="C119" s="1548"/>
      <c r="D119" s="668"/>
      <c r="E119" s="736"/>
      <c r="F119" s="669"/>
      <c r="G119" s="735"/>
      <c r="H119" s="668"/>
      <c r="I119" s="735"/>
      <c r="J119" s="669"/>
    </row>
    <row r="120" spans="1:10" s="100" customFormat="1" ht="27.95" customHeight="1">
      <c r="A120" s="535" t="s">
        <v>10</v>
      </c>
      <c r="B120" s="1410" t="s">
        <v>24</v>
      </c>
      <c r="C120" s="1548"/>
      <c r="D120" s="668"/>
      <c r="E120" s="736"/>
      <c r="F120" s="669"/>
      <c r="G120" s="735"/>
      <c r="H120" s="670"/>
      <c r="I120" s="1558"/>
      <c r="J120" s="1415"/>
    </row>
    <row r="121" spans="1:10" s="100" customFormat="1" ht="27.95" customHeight="1">
      <c r="A121" s="535" t="s">
        <v>11</v>
      </c>
      <c r="B121" s="1410" t="s">
        <v>28</v>
      </c>
      <c r="C121" s="1548"/>
      <c r="D121" s="668"/>
      <c r="E121" s="736"/>
      <c r="F121" s="669"/>
      <c r="G121" s="735"/>
      <c r="H121" s="670"/>
      <c r="I121" s="1558"/>
      <c r="J121" s="1415"/>
    </row>
    <row r="122" spans="1:10" s="100" customFormat="1" ht="27.95" customHeight="1">
      <c r="A122" s="535" t="s">
        <v>12</v>
      </c>
      <c r="B122" s="1410" t="s">
        <v>29</v>
      </c>
      <c r="C122" s="1548"/>
      <c r="D122" s="668"/>
      <c r="E122" s="736"/>
      <c r="F122" s="669"/>
      <c r="G122" s="735"/>
      <c r="H122" s="670"/>
      <c r="I122" s="1558"/>
      <c r="J122" s="1415"/>
    </row>
    <row r="123" spans="1:10" s="100" customFormat="1" ht="27.95" customHeight="1">
      <c r="A123" s="535" t="s">
        <v>13</v>
      </c>
      <c r="B123" s="1410" t="s">
        <v>27</v>
      </c>
      <c r="C123" s="1548"/>
      <c r="D123" s="668"/>
      <c r="E123" s="736"/>
      <c r="F123" s="669"/>
      <c r="G123" s="735"/>
      <c r="H123" s="670"/>
      <c r="I123" s="1558"/>
      <c r="J123" s="1415"/>
    </row>
    <row r="124" spans="1:10" s="100" customFormat="1" ht="27.95" customHeight="1">
      <c r="A124" s="535" t="s">
        <v>14</v>
      </c>
      <c r="B124" s="1410" t="s">
        <v>25</v>
      </c>
      <c r="C124" s="1548"/>
      <c r="D124" s="668"/>
      <c r="E124" s="736"/>
      <c r="F124" s="669"/>
      <c r="G124" s="735"/>
      <c r="H124" s="668"/>
      <c r="I124" s="735"/>
      <c r="J124" s="669"/>
    </row>
    <row r="125" spans="1:10" s="100" customFormat="1" ht="27.95" customHeight="1">
      <c r="A125" s="536" t="s">
        <v>15</v>
      </c>
      <c r="B125" s="1410" t="s">
        <v>26</v>
      </c>
      <c r="C125" s="1548"/>
      <c r="D125" s="668"/>
      <c r="E125" s="736"/>
      <c r="F125" s="669"/>
      <c r="G125" s="735"/>
      <c r="H125" s="668"/>
      <c r="I125" s="735"/>
      <c r="J125" s="669"/>
    </row>
    <row r="126" spans="1:10" s="100" customFormat="1" ht="27.95" customHeight="1">
      <c r="A126" s="536" t="s">
        <v>30</v>
      </c>
      <c r="B126" s="1410" t="s">
        <v>347</v>
      </c>
      <c r="C126" s="1548"/>
      <c r="D126" s="668"/>
      <c r="E126" s="736"/>
      <c r="F126" s="669"/>
      <c r="G126" s="735"/>
      <c r="H126" s="670"/>
      <c r="I126" s="1558"/>
      <c r="J126" s="1415"/>
    </row>
    <row r="127" spans="1:10" s="100" customFormat="1" ht="27.95" customHeight="1">
      <c r="A127" s="536" t="s">
        <v>32</v>
      </c>
      <c r="B127" s="1410" t="s">
        <v>348</v>
      </c>
      <c r="C127" s="1548"/>
      <c r="D127" s="668"/>
      <c r="E127" s="736"/>
      <c r="F127" s="669"/>
      <c r="G127" s="735"/>
      <c r="H127" s="670"/>
      <c r="I127" s="1558"/>
      <c r="J127" s="1415"/>
    </row>
    <row r="128" spans="1:10" s="100" customFormat="1" ht="39.950000000000003" customHeight="1">
      <c r="A128" s="536" t="s">
        <v>35</v>
      </c>
      <c r="B128" s="1410" t="s">
        <v>349</v>
      </c>
      <c r="C128" s="1548"/>
      <c r="D128" s="668"/>
      <c r="E128" s="736"/>
      <c r="F128" s="669"/>
      <c r="G128" s="735"/>
      <c r="H128" s="670"/>
      <c r="I128" s="1558"/>
      <c r="J128" s="1415"/>
    </row>
    <row r="129" spans="1:36" s="100" customFormat="1" ht="27.95" customHeight="1">
      <c r="A129" s="536" t="s">
        <v>37</v>
      </c>
      <c r="B129" s="1410" t="s">
        <v>350</v>
      </c>
      <c r="C129" s="1548"/>
      <c r="D129" s="668"/>
      <c r="E129" s="736"/>
      <c r="F129" s="669"/>
      <c r="G129" s="735"/>
      <c r="H129" s="670"/>
      <c r="I129" s="1558"/>
      <c r="J129" s="1415"/>
    </row>
    <row r="130" spans="1:36" s="100" customFormat="1" ht="27.95" customHeight="1" thickBot="1">
      <c r="A130" s="537" t="s">
        <v>39</v>
      </c>
      <c r="B130" s="1411" t="s">
        <v>351</v>
      </c>
      <c r="C130" s="1554"/>
      <c r="D130" s="1555"/>
      <c r="E130" s="753"/>
      <c r="F130" s="742"/>
      <c r="G130" s="1562"/>
      <c r="H130" s="671"/>
      <c r="I130" s="1559"/>
      <c r="J130" s="1416"/>
    </row>
    <row r="131" spans="1:36" s="100" customFormat="1" ht="27.95" customHeight="1" thickBot="1">
      <c r="A131" s="538"/>
      <c r="B131" s="1412" t="s">
        <v>352</v>
      </c>
      <c r="C131" s="1556">
        <f>(0.95*SUM(C111:C130)+C120)/20</f>
        <v>0</v>
      </c>
      <c r="D131" s="1556">
        <f t="shared" ref="D131:J131" si="17">(0.95*SUM(D111:D130)+D120)/20</f>
        <v>0</v>
      </c>
      <c r="E131" s="1556">
        <f t="shared" si="17"/>
        <v>0</v>
      </c>
      <c r="F131" s="1556">
        <f t="shared" si="17"/>
        <v>0</v>
      </c>
      <c r="G131" s="1556">
        <f t="shared" si="17"/>
        <v>0</v>
      </c>
      <c r="H131" s="1556">
        <f t="shared" si="17"/>
        <v>0</v>
      </c>
      <c r="I131" s="1556">
        <f t="shared" si="17"/>
        <v>0</v>
      </c>
      <c r="J131" s="1549">
        <f t="shared" si="17"/>
        <v>0</v>
      </c>
      <c r="K131" s="541" t="s">
        <v>0</v>
      </c>
    </row>
    <row r="132" spans="1:36" s="100" customFormat="1" ht="27.95" customHeight="1" thickBot="1">
      <c r="A132" s="536"/>
      <c r="B132" s="1413" t="s">
        <v>353</v>
      </c>
      <c r="C132" s="1564">
        <f>C131</f>
        <v>0</v>
      </c>
      <c r="D132" s="1549">
        <f t="shared" ref="D132:J132" si="18">D131</f>
        <v>0</v>
      </c>
      <c r="E132" s="1556">
        <f t="shared" si="18"/>
        <v>0</v>
      </c>
      <c r="F132" s="1556">
        <f t="shared" si="18"/>
        <v>0</v>
      </c>
      <c r="G132" s="1556">
        <f t="shared" si="18"/>
        <v>0</v>
      </c>
      <c r="H132" s="1556">
        <f t="shared" si="18"/>
        <v>0</v>
      </c>
      <c r="I132" s="1556">
        <f t="shared" si="18"/>
        <v>0</v>
      </c>
      <c r="J132" s="1549">
        <f t="shared" si="18"/>
        <v>0</v>
      </c>
      <c r="K132" s="541" t="s">
        <v>354</v>
      </c>
    </row>
    <row r="133" spans="1:36" s="100" customFormat="1" ht="27.95" customHeight="1" thickBot="1">
      <c r="A133" s="544">
        <v>8</v>
      </c>
      <c r="B133" s="1414" t="s">
        <v>498</v>
      </c>
      <c r="C133" s="1550">
        <f>IF(C132&gt;=4.5,Cenovnik!$E$97,  IF(C132&gt;=3.5,Cenovnik!$E$98,  IF(C132&gt;=2.5,Cenovnik!$E$99, IF(C132&gt;=1.5,Cenovnik!$E$100,Cenovnik!$E$101))))</f>
        <v>0</v>
      </c>
      <c r="D133" s="1563">
        <f>IF(D132&gt;=4.5,Cenovnik!$E$97,  IF(D132&gt;=3.5,Cenovnik!$E$98,  IF(D132&gt;=2.5,Cenovnik!$E$99, IF(D132&gt;=1.5,Cenovnik!$E$100,Cenovnik!$E$101))))</f>
        <v>0</v>
      </c>
      <c r="E133" s="1563">
        <f>IF(E132&gt;=4.5,Cenovnik!$E$97,  IF(E132&gt;=3.5,Cenovnik!$E$98,  IF(E132&gt;=2.5,Cenovnik!$E$99, IF(E132&gt;=1.5,Cenovnik!$E$100,Cenovnik!$E$101))))</f>
        <v>0</v>
      </c>
      <c r="F133" s="1563">
        <f>IF(F132&gt;=4.5,Cenovnik!$E$97,  IF(F132&gt;=3.5,Cenovnik!$E$98,  IF(F132&gt;=2.5,Cenovnik!$E$99, IF(F132&gt;=1.5,Cenovnik!$E$100,Cenovnik!$E$101))))</f>
        <v>0</v>
      </c>
      <c r="G133" s="1563">
        <f>IF(G132&gt;=4.5,Cenovnik!$E$97,  IF(G132&gt;=3.5,Cenovnik!$E$98,  IF(G132&gt;=2.5,Cenovnik!$E$99, IF(G132&gt;=1.5,Cenovnik!$E$100,Cenovnik!$E$101))))</f>
        <v>0</v>
      </c>
      <c r="H133" s="1563">
        <f>IF(H132&gt;=4.5,Cenovnik!$E$97,  IF(H132&gt;=3.5,Cenovnik!$E$98,  IF(H132&gt;=2.5,Cenovnik!$E$99, IF(H132&gt;=1.5,Cenovnik!$E$100,Cenovnik!$E$101))))</f>
        <v>0</v>
      </c>
      <c r="I133" s="1563">
        <f>IF(I132&gt;=4.5,Cenovnik!$E$97,  IF(I132&gt;=3.5,Cenovnik!$E$98,  IF(I132&gt;=2.5,Cenovnik!$E$99, IF(I132&gt;=1.5,Cenovnik!$E$100,Cenovnik!$E$101))))</f>
        <v>0</v>
      </c>
      <c r="J133" s="1550">
        <f>IF(J132&gt;=4.5,Cenovnik!$E$97,  IF(J132&gt;=3.5,Cenovnik!$E$98,  IF(J132&gt;=2.5,Cenovnik!$E$99, IF(J132&gt;=1.5,Cenovnik!$E$100,Cenovnik!$E$101))))</f>
        <v>0</v>
      </c>
      <c r="K133" s="541" t="s">
        <v>0</v>
      </c>
    </row>
    <row r="134" spans="1:36" s="100" customFormat="1" ht="15">
      <c r="A134" s="113"/>
      <c r="C134" s="101"/>
      <c r="D134" s="101"/>
      <c r="E134" s="101"/>
      <c r="F134" s="101"/>
    </row>
    <row r="135" spans="1:36" ht="18.75" thickBot="1">
      <c r="A135" s="109"/>
      <c r="B135" s="652" t="s">
        <v>496</v>
      </c>
      <c r="C135" s="110"/>
      <c r="D135" s="110"/>
      <c r="E135" s="110"/>
      <c r="F135" s="110"/>
      <c r="G135" s="101"/>
      <c r="H135" s="101"/>
      <c r="I135" s="101"/>
    </row>
    <row r="136" spans="1:36" s="100" customFormat="1" ht="16.5" thickBot="1">
      <c r="B136" s="547" t="s">
        <v>178</v>
      </c>
      <c r="C136" s="1497"/>
      <c r="D136" s="647" t="s">
        <v>364</v>
      </c>
      <c r="E136" s="647"/>
      <c r="F136" s="1566"/>
      <c r="G136" s="674"/>
      <c r="H136" s="674" t="s">
        <v>365</v>
      </c>
      <c r="I136" s="1481"/>
      <c r="J136" s="1482"/>
    </row>
    <row r="137" spans="1:36" s="112" customFormat="1" ht="27.95" customHeight="1">
      <c r="A137" s="551"/>
      <c r="B137" s="1417" t="s">
        <v>180</v>
      </c>
      <c r="C137" s="693"/>
      <c r="D137" s="693"/>
      <c r="E137" s="693"/>
      <c r="F137" s="693"/>
      <c r="G137" s="693"/>
      <c r="H137" s="693"/>
      <c r="I137" s="693"/>
      <c r="J137" s="1565"/>
      <c r="K137" s="554" t="s">
        <v>184</v>
      </c>
      <c r="L137" s="553" t="s">
        <v>185</v>
      </c>
    </row>
    <row r="138" spans="1:36" s="100" customFormat="1" ht="15">
      <c r="A138" s="649">
        <v>4</v>
      </c>
      <c r="B138" s="1418" t="s">
        <v>466</v>
      </c>
      <c r="C138" s="119" t="e">
        <f>C152</f>
        <v>#DIV/0!</v>
      </c>
      <c r="D138" s="119" t="e">
        <f t="shared" ref="D138:J138" si="19">H152</f>
        <v>#DIV/0!</v>
      </c>
      <c r="E138" s="119" t="e">
        <f t="shared" si="19"/>
        <v>#DIV/0!</v>
      </c>
      <c r="F138" s="119" t="e">
        <f t="shared" si="19"/>
        <v>#DIV/0!</v>
      </c>
      <c r="G138" s="119">
        <f t="shared" si="19"/>
        <v>0</v>
      </c>
      <c r="H138" s="119">
        <f t="shared" si="19"/>
        <v>0</v>
      </c>
      <c r="I138" s="119">
        <f t="shared" si="19"/>
        <v>0</v>
      </c>
      <c r="J138" s="1568">
        <f t="shared" si="19"/>
        <v>0</v>
      </c>
      <c r="K138" s="1574">
        <v>0.7</v>
      </c>
      <c r="L138" s="1570">
        <v>1.1000000000000001</v>
      </c>
    </row>
    <row r="139" spans="1:36" s="100" customFormat="1" ht="30">
      <c r="A139" s="649">
        <v>5</v>
      </c>
      <c r="B139" s="1418" t="s">
        <v>513</v>
      </c>
      <c r="C139" s="119" t="e">
        <f>C161</f>
        <v>#DIV/0!</v>
      </c>
      <c r="D139" s="119" t="e">
        <f t="shared" ref="D139:J139" si="20">H161</f>
        <v>#DIV/0!</v>
      </c>
      <c r="E139" s="119" t="e">
        <f t="shared" si="20"/>
        <v>#DIV/0!</v>
      </c>
      <c r="F139" s="119" t="e">
        <f t="shared" si="20"/>
        <v>#DIV/0!</v>
      </c>
      <c r="G139" s="119">
        <f t="shared" si="20"/>
        <v>0</v>
      </c>
      <c r="H139" s="119">
        <f t="shared" si="20"/>
        <v>0</v>
      </c>
      <c r="I139" s="119">
        <f t="shared" si="20"/>
        <v>0</v>
      </c>
      <c r="J139" s="1568">
        <f t="shared" si="20"/>
        <v>0</v>
      </c>
      <c r="K139" s="1572">
        <v>0.95</v>
      </c>
      <c r="L139" s="1570">
        <v>1.1499999999999999</v>
      </c>
    </row>
    <row r="140" spans="1:36" s="100" customFormat="1" ht="30">
      <c r="A140" s="649">
        <v>6</v>
      </c>
      <c r="B140" s="1418" t="s">
        <v>514</v>
      </c>
      <c r="C140" s="119">
        <f>C172</f>
        <v>0.7</v>
      </c>
      <c r="D140" s="119">
        <f t="shared" ref="D140:J140" si="21">H172</f>
        <v>0.7</v>
      </c>
      <c r="E140" s="119">
        <f t="shared" si="21"/>
        <v>0.7</v>
      </c>
      <c r="F140" s="119">
        <f t="shared" si="21"/>
        <v>0.7</v>
      </c>
      <c r="G140" s="119">
        <f t="shared" si="21"/>
        <v>0</v>
      </c>
      <c r="H140" s="119">
        <f t="shared" si="21"/>
        <v>0</v>
      </c>
      <c r="I140" s="119">
        <f t="shared" si="21"/>
        <v>0</v>
      </c>
      <c r="J140" s="1568">
        <f t="shared" si="21"/>
        <v>0</v>
      </c>
      <c r="K140" s="1572">
        <v>0.97499999999999998</v>
      </c>
      <c r="L140" s="1570">
        <v>1.075</v>
      </c>
    </row>
    <row r="141" spans="1:36" s="100" customFormat="1" ht="30.75" thickBot="1">
      <c r="A141" s="544">
        <v>7</v>
      </c>
      <c r="B141" s="1419" t="s">
        <v>515</v>
      </c>
      <c r="C141" s="120">
        <f>C178</f>
        <v>0.7</v>
      </c>
      <c r="D141" s="120">
        <f t="shared" ref="D141:J141" si="22">H178</f>
        <v>0.7</v>
      </c>
      <c r="E141" s="120">
        <f t="shared" si="22"/>
        <v>0.7</v>
      </c>
      <c r="F141" s="120">
        <f t="shared" si="22"/>
        <v>0.7</v>
      </c>
      <c r="G141" s="120">
        <f t="shared" si="22"/>
        <v>0</v>
      </c>
      <c r="H141" s="120">
        <f t="shared" si="22"/>
        <v>0</v>
      </c>
      <c r="I141" s="120">
        <f t="shared" si="22"/>
        <v>0</v>
      </c>
      <c r="J141" s="1569">
        <f t="shared" si="22"/>
        <v>0</v>
      </c>
      <c r="K141" s="1573">
        <v>0.97499999999999998</v>
      </c>
      <c r="L141" s="1571">
        <v>1.1000000000000001</v>
      </c>
    </row>
    <row r="142" spans="1:36" s="112" customFormat="1" ht="27.95" customHeight="1" thickBot="1">
      <c r="B142" s="568" t="s">
        <v>355</v>
      </c>
      <c r="C142" s="1420" t="e">
        <f t="shared" ref="C142:J142" si="23">C138*C139*C140*C141</f>
        <v>#DIV/0!</v>
      </c>
      <c r="D142" s="1420" t="e">
        <f t="shared" si="23"/>
        <v>#DIV/0!</v>
      </c>
      <c r="E142" s="1577" t="e">
        <f t="shared" si="23"/>
        <v>#DIV/0!</v>
      </c>
      <c r="F142" s="1567" t="e">
        <f t="shared" si="23"/>
        <v>#DIV/0!</v>
      </c>
      <c r="G142" s="1420">
        <f t="shared" si="23"/>
        <v>0</v>
      </c>
      <c r="H142" s="1420">
        <f t="shared" si="23"/>
        <v>0</v>
      </c>
      <c r="I142" s="1420">
        <f t="shared" si="23"/>
        <v>0</v>
      </c>
      <c r="J142" s="1567">
        <f t="shared" si="23"/>
        <v>0</v>
      </c>
      <c r="M142" s="113"/>
      <c r="N142" s="113"/>
    </row>
    <row r="143" spans="1:36" ht="16.5" thickBot="1">
      <c r="A143" s="100"/>
      <c r="B143" s="100" t="s">
        <v>500</v>
      </c>
      <c r="C143" s="1498"/>
      <c r="D143" s="674" t="s">
        <v>364</v>
      </c>
      <c r="E143" s="1485"/>
      <c r="F143" s="1492"/>
      <c r="G143" s="674"/>
      <c r="H143" s="674" t="s">
        <v>365</v>
      </c>
      <c r="I143" s="674"/>
      <c r="J143" s="1499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</row>
    <row r="144" spans="1:36">
      <c r="A144" s="100"/>
      <c r="B144" s="627" t="s">
        <v>402</v>
      </c>
      <c r="C144" s="1580"/>
      <c r="D144" s="1580"/>
      <c r="E144" s="1580"/>
      <c r="F144" s="1580"/>
      <c r="G144" s="1580"/>
      <c r="H144" s="1046"/>
      <c r="I144" s="1580"/>
      <c r="J144" s="1046"/>
      <c r="K144" s="101"/>
      <c r="L144" s="101"/>
      <c r="M144" s="101"/>
      <c r="N144" s="101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</row>
    <row r="145" spans="1:36">
      <c r="A145" s="100"/>
      <c r="B145" s="628" t="s">
        <v>403</v>
      </c>
      <c r="C145" s="1578">
        <f>C8</f>
        <v>0</v>
      </c>
      <c r="D145" s="1578">
        <f>C9</f>
        <v>0</v>
      </c>
      <c r="E145" s="1578">
        <f>C10</f>
        <v>0</v>
      </c>
      <c r="F145" s="1578">
        <f>C11</f>
        <v>0</v>
      </c>
      <c r="G145" s="1578">
        <f>C12</f>
        <v>0</v>
      </c>
      <c r="H145" s="1579">
        <f>C13</f>
        <v>0</v>
      </c>
      <c r="I145" s="1578">
        <f>C14</f>
        <v>0</v>
      </c>
      <c r="J145" s="1048">
        <f>C15</f>
        <v>0</v>
      </c>
      <c r="K145" s="101"/>
      <c r="L145" s="101"/>
      <c r="M145" s="101"/>
      <c r="N145" s="101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</row>
    <row r="146" spans="1:36">
      <c r="A146" s="100"/>
      <c r="B146" s="628" t="s">
        <v>404</v>
      </c>
      <c r="C146" s="1578">
        <v>15</v>
      </c>
      <c r="D146" s="1578">
        <v>15</v>
      </c>
      <c r="E146" s="1578">
        <v>15</v>
      </c>
      <c r="F146" s="1578">
        <v>15</v>
      </c>
      <c r="G146" s="1578">
        <v>15</v>
      </c>
      <c r="H146" s="1579">
        <v>15</v>
      </c>
      <c r="I146" s="1578">
        <v>15</v>
      </c>
      <c r="J146" s="1048">
        <v>15</v>
      </c>
      <c r="K146" s="101"/>
      <c r="L146" s="101"/>
      <c r="M146" s="101"/>
      <c r="N146" s="101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</row>
    <row r="147" spans="1:36" ht="16.5" thickBot="1">
      <c r="A147" s="100"/>
      <c r="B147" s="629" t="s">
        <v>405</v>
      </c>
      <c r="C147" s="1581"/>
      <c r="D147" s="1581"/>
      <c r="E147" s="1581"/>
      <c r="F147" s="1581"/>
      <c r="G147" s="1581"/>
      <c r="H147" s="1582"/>
      <c r="I147" s="1581"/>
      <c r="J147" s="1582"/>
      <c r="K147" s="101"/>
      <c r="L147" s="101"/>
      <c r="M147" s="101"/>
      <c r="N147" s="101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</row>
    <row r="148" spans="1:36">
      <c r="A148" s="100"/>
      <c r="B148" s="660" t="s">
        <v>412</v>
      </c>
      <c r="C148" s="198"/>
      <c r="D148" s="107"/>
      <c r="E148" s="107"/>
      <c r="F148" s="107"/>
      <c r="G148" s="1575"/>
      <c r="H148" s="107"/>
      <c r="I148" s="1586"/>
      <c r="J148" s="108"/>
      <c r="K148" s="101"/>
      <c r="L148" s="101"/>
      <c r="M148" s="101"/>
      <c r="N148" s="101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</row>
    <row r="149" spans="1:36" ht="16.5" thickBot="1">
      <c r="A149" s="100"/>
      <c r="B149" s="604" t="s">
        <v>400</v>
      </c>
      <c r="C149" s="207"/>
      <c r="D149" s="561"/>
      <c r="E149" s="561"/>
      <c r="F149" s="561"/>
      <c r="G149" s="1583"/>
      <c r="H149" s="561"/>
      <c r="I149" s="1587"/>
      <c r="J149" s="1443"/>
      <c r="K149" s="101"/>
      <c r="L149" s="101"/>
      <c r="M149" s="101"/>
      <c r="N149" s="101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</row>
    <row r="150" spans="1:36" ht="16.5" thickBot="1">
      <c r="A150" s="100"/>
      <c r="B150" s="604" t="s">
        <v>413</v>
      </c>
      <c r="C150" s="1498" t="e">
        <f>C149/(C145*C146)</f>
        <v>#DIV/0!</v>
      </c>
      <c r="D150" s="1498" t="e">
        <f t="shared" ref="D150:J150" si="24">D149/(D145*D146)</f>
        <v>#DIV/0!</v>
      </c>
      <c r="E150" s="1498" t="e">
        <f t="shared" si="24"/>
        <v>#DIV/0!</v>
      </c>
      <c r="F150" s="1498" t="e">
        <f t="shared" si="24"/>
        <v>#DIV/0!</v>
      </c>
      <c r="G150" s="1498" t="e">
        <f t="shared" si="24"/>
        <v>#DIV/0!</v>
      </c>
      <c r="H150" s="1498" t="e">
        <f t="shared" si="24"/>
        <v>#DIV/0!</v>
      </c>
      <c r="I150" s="1498" t="e">
        <f t="shared" si="24"/>
        <v>#DIV/0!</v>
      </c>
      <c r="J150" s="1509" t="e">
        <f t="shared" si="24"/>
        <v>#DIV/0!</v>
      </c>
      <c r="K150" s="101"/>
      <c r="L150" s="101"/>
      <c r="M150" s="101"/>
      <c r="N150" s="101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</row>
    <row r="151" spans="1:36" ht="16.5" thickBot="1">
      <c r="A151" s="100"/>
      <c r="B151" s="604" t="s">
        <v>414</v>
      </c>
      <c r="C151" s="1588" t="e">
        <f>C150/C147</f>
        <v>#DIV/0!</v>
      </c>
      <c r="D151" s="1588" t="e">
        <f t="shared" ref="D151:J151" si="25">D150/D147</f>
        <v>#DIV/0!</v>
      </c>
      <c r="E151" s="1588" t="e">
        <f t="shared" si="25"/>
        <v>#DIV/0!</v>
      </c>
      <c r="F151" s="1588" t="e">
        <f t="shared" si="25"/>
        <v>#DIV/0!</v>
      </c>
      <c r="G151" s="1588" t="e">
        <f t="shared" si="25"/>
        <v>#DIV/0!</v>
      </c>
      <c r="H151" s="1588" t="e">
        <f t="shared" si="25"/>
        <v>#DIV/0!</v>
      </c>
      <c r="I151" s="1588" t="e">
        <f t="shared" si="25"/>
        <v>#DIV/0!</v>
      </c>
      <c r="J151" s="1589" t="e">
        <f t="shared" si="25"/>
        <v>#DIV/0!</v>
      </c>
      <c r="K151" s="101"/>
      <c r="L151" s="101"/>
      <c r="M151" s="101"/>
      <c r="N151" s="101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</row>
    <row r="152" spans="1:36" ht="16.5" thickBot="1">
      <c r="A152" s="100"/>
      <c r="B152" s="633" t="s">
        <v>415</v>
      </c>
      <c r="C152" s="1584" t="e">
        <f>IF(C151&gt;=120%,Cenovnik!$E$73,IF(C151&gt;=110%,Cenovnik!$E$72,IF(C151&gt;=90%,Cenovnik!$E$71,IF(C151&gt;=80%,Cenovnik!$E$70,IF(C151&gt;=70%,Cenovnik!$E$69,IF(C151&gt;=30%,Cenovnik!$E$68,0))))))</f>
        <v>#DIV/0!</v>
      </c>
      <c r="D152" s="1584" t="e">
        <f>IF(D151&gt;=120%,Cenovnik!$E$73,IF(D151&gt;=110%,Cenovnik!$E$72,IF(D151&gt;=90%,Cenovnik!$E$71,IF(D151&gt;=80%,Cenovnik!$E$70,IF(D151&gt;=70%,Cenovnik!$E$69,IF(D151&gt;=30%,Cenovnik!$E$68,0))))))</f>
        <v>#DIV/0!</v>
      </c>
      <c r="E152" s="1584" t="e">
        <f>IF(E151&gt;=120%,Cenovnik!$E$73,IF(E151&gt;=110%,Cenovnik!$E$72,IF(E151&gt;=90%,Cenovnik!$E$71,IF(E151&gt;=80%,Cenovnik!$E$70,IF(E151&gt;=70%,Cenovnik!$E$69,IF(E151&gt;=30%,Cenovnik!$E$68,0))))))</f>
        <v>#DIV/0!</v>
      </c>
      <c r="F152" s="1584" t="e">
        <f>IF(F151&gt;=120%,Cenovnik!$E$73,IF(F151&gt;=110%,Cenovnik!$E$72,IF(F151&gt;=90%,Cenovnik!$E$71,IF(F151&gt;=80%,Cenovnik!$E$70,IF(F151&gt;=70%,Cenovnik!$E$69,IF(F151&gt;=30%,Cenovnik!$E$68,0))))))</f>
        <v>#DIV/0!</v>
      </c>
      <c r="G152" s="1584" t="e">
        <f>IF(G151&gt;=120%,Cenovnik!$E$73,IF(G151&gt;=110%,Cenovnik!$E$72,IF(G151&gt;=90%,Cenovnik!$E$71,IF(G151&gt;=80%,Cenovnik!$E$70,IF(G151&gt;=70%,Cenovnik!$E$69,IF(G151&gt;=30%,Cenovnik!$E$68,0))))))</f>
        <v>#DIV/0!</v>
      </c>
      <c r="H152" s="1584" t="e">
        <f>IF(H151&gt;=120%,Cenovnik!$E$73,IF(H151&gt;=110%,Cenovnik!$E$72,IF(H151&gt;=90%,Cenovnik!$E$71,IF(H151&gt;=80%,Cenovnik!$E$70,IF(H151&gt;=70%,Cenovnik!$E$69,IF(H151&gt;=30%,Cenovnik!$E$68,0))))))</f>
        <v>#DIV/0!</v>
      </c>
      <c r="I152" s="1584" t="e">
        <f>IF(I151&gt;=120%,Cenovnik!$E$73,IF(I151&gt;=110%,Cenovnik!$E$72,IF(I151&gt;=90%,Cenovnik!$E$71,IF(I151&gt;=80%,Cenovnik!$E$70,IF(I151&gt;=70%,Cenovnik!$E$69,IF(I151&gt;=30%,Cenovnik!$E$68,0))))))</f>
        <v>#DIV/0!</v>
      </c>
      <c r="J152" s="1585" t="e">
        <f>IF(J151&gt;=120%,Cenovnik!$E$73,IF(J151&gt;=110%,Cenovnik!$E$72,IF(J151&gt;=90%,Cenovnik!$E$71,IF(J151&gt;=80%,Cenovnik!$E$70,IF(J151&gt;=70%,Cenovnik!$E$69,IF(J151&gt;=30%,Cenovnik!$E$68,0))))))</f>
        <v>#DIV/0!</v>
      </c>
      <c r="K152" s="101"/>
      <c r="L152" s="101"/>
      <c r="M152" s="101"/>
      <c r="N152" s="101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</row>
    <row r="153" spans="1:36">
      <c r="A153" s="100"/>
      <c r="B153" s="662" t="s">
        <v>416</v>
      </c>
      <c r="C153" s="198"/>
      <c r="D153" s="107"/>
      <c r="E153" s="107"/>
      <c r="F153" s="107"/>
      <c r="G153" s="1575"/>
      <c r="H153" s="107"/>
      <c r="I153" s="1586"/>
      <c r="J153" s="1500"/>
      <c r="K153" s="101"/>
      <c r="L153" s="101"/>
      <c r="M153" s="101"/>
      <c r="N153" s="101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</row>
    <row r="154" spans="1:36">
      <c r="A154" s="100"/>
      <c r="B154" s="604" t="s">
        <v>417</v>
      </c>
      <c r="C154" s="203"/>
      <c r="D154" s="106"/>
      <c r="E154" s="106"/>
      <c r="F154" s="106"/>
      <c r="G154" s="1576"/>
      <c r="H154" s="106"/>
      <c r="I154" s="1590"/>
      <c r="J154" s="749"/>
      <c r="K154" s="101"/>
      <c r="L154" s="101"/>
      <c r="M154" s="101"/>
      <c r="N154" s="101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</row>
    <row r="155" spans="1:36">
      <c r="A155" s="100"/>
      <c r="B155" s="604" t="s">
        <v>418</v>
      </c>
      <c r="C155" s="203"/>
      <c r="D155" s="106"/>
      <c r="E155" s="106"/>
      <c r="F155" s="106"/>
      <c r="G155" s="1576"/>
      <c r="H155" s="106"/>
      <c r="I155" s="1590"/>
      <c r="J155" s="749"/>
      <c r="K155" s="101"/>
      <c r="L155" s="101"/>
      <c r="M155" s="101"/>
      <c r="N155" s="101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</row>
    <row r="156" spans="1:36">
      <c r="A156" s="100"/>
      <c r="B156" s="604" t="s">
        <v>419</v>
      </c>
      <c r="C156" s="203"/>
      <c r="D156" s="106"/>
      <c r="E156" s="106"/>
      <c r="F156" s="106"/>
      <c r="G156" s="1576"/>
      <c r="H156" s="106"/>
      <c r="I156" s="1590"/>
      <c r="J156" s="749"/>
      <c r="K156" s="101"/>
      <c r="L156" s="101"/>
      <c r="M156" s="101"/>
      <c r="N156" s="101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</row>
    <row r="157" spans="1:36">
      <c r="A157" s="100"/>
      <c r="B157" s="604" t="s">
        <v>420</v>
      </c>
      <c r="C157" s="203"/>
      <c r="D157" s="106"/>
      <c r="E157" s="106"/>
      <c r="F157" s="106"/>
      <c r="G157" s="1576"/>
      <c r="H157" s="106"/>
      <c r="I157" s="1590"/>
      <c r="J157" s="749"/>
      <c r="K157" s="101"/>
      <c r="L157" s="101"/>
      <c r="M157" s="101"/>
      <c r="N157" s="101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</row>
    <row r="158" spans="1:36" ht="16.5" thickBot="1">
      <c r="A158" s="100"/>
      <c r="B158" s="604" t="s">
        <v>421</v>
      </c>
      <c r="C158" s="302"/>
      <c r="D158" s="1591"/>
      <c r="E158" s="1591"/>
      <c r="F158" s="1591"/>
      <c r="G158" s="1583"/>
      <c r="H158" s="1591"/>
      <c r="I158" s="1587"/>
      <c r="J158" s="1592"/>
      <c r="K158" s="101"/>
      <c r="L158" s="101"/>
      <c r="M158" s="101"/>
      <c r="N158" s="101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</row>
    <row r="159" spans="1:36" ht="16.5" thickBot="1">
      <c r="A159" s="100"/>
      <c r="B159" s="641" t="s">
        <v>422</v>
      </c>
      <c r="C159" s="1498">
        <f>SUM(C155:C158)</f>
        <v>0</v>
      </c>
      <c r="D159" s="1498">
        <f t="shared" ref="D159:J159" si="26">SUM(D155:D158)</f>
        <v>0</v>
      </c>
      <c r="E159" s="1498">
        <f t="shared" si="26"/>
        <v>0</v>
      </c>
      <c r="F159" s="1498">
        <f t="shared" si="26"/>
        <v>0</v>
      </c>
      <c r="G159" s="1498">
        <f t="shared" si="26"/>
        <v>0</v>
      </c>
      <c r="H159" s="1498">
        <f t="shared" si="26"/>
        <v>0</v>
      </c>
      <c r="I159" s="861">
        <f t="shared" si="26"/>
        <v>0</v>
      </c>
      <c r="J159" s="1499">
        <f t="shared" si="26"/>
        <v>0</v>
      </c>
      <c r="K159" s="101"/>
      <c r="L159" s="101"/>
      <c r="M159" s="101"/>
      <c r="N159" s="101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</row>
    <row r="160" spans="1:36" ht="16.5" thickBot="1">
      <c r="A160" s="100"/>
      <c r="B160" s="641" t="s">
        <v>424</v>
      </c>
      <c r="C160" s="1595" t="e">
        <f>C159/C154</f>
        <v>#DIV/0!</v>
      </c>
      <c r="D160" s="1595" t="e">
        <f t="shared" ref="D160:J160" si="27">D159/D154</f>
        <v>#DIV/0!</v>
      </c>
      <c r="E160" s="1595" t="e">
        <f t="shared" si="27"/>
        <v>#DIV/0!</v>
      </c>
      <c r="F160" s="1595" t="e">
        <f t="shared" si="27"/>
        <v>#DIV/0!</v>
      </c>
      <c r="G160" s="1595" t="e">
        <f t="shared" si="27"/>
        <v>#DIV/0!</v>
      </c>
      <c r="H160" s="1595" t="e">
        <f t="shared" si="27"/>
        <v>#DIV/0!</v>
      </c>
      <c r="I160" s="1595" t="e">
        <f t="shared" si="27"/>
        <v>#DIV/0!</v>
      </c>
      <c r="J160" s="1596" t="e">
        <f t="shared" si="27"/>
        <v>#DIV/0!</v>
      </c>
      <c r="K160" s="101"/>
      <c r="L160" s="101"/>
      <c r="M160" s="101"/>
      <c r="N160" s="101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</row>
    <row r="161" spans="1:36" ht="16.5" thickBot="1">
      <c r="A161" s="100"/>
      <c r="B161" s="643" t="s">
        <v>423</v>
      </c>
      <c r="C161" s="1593" t="e">
        <f>(IF(C160&gt;=100%,Cenovnik!$E$78,IF(C160&gt;=50%,Cenovnik!$E$79,IF(C160&gt;=30%,Cenovnik!$E$80,IF(C160&gt;0%,Cenovnik!$E$81,Cenovnik!$E$82)))))</f>
        <v>#DIV/0!</v>
      </c>
      <c r="D161" s="1593" t="e">
        <f>(IF(D160&gt;=100%,Cenovnik!$E$78,IF(D160&gt;=50%,Cenovnik!$E$79,IF(D160&gt;=30%,Cenovnik!$E$80,IF(D160&gt;0%,Cenovnik!$E$81,Cenovnik!$E$82)))))</f>
        <v>#DIV/0!</v>
      </c>
      <c r="E161" s="1593" t="e">
        <f>(IF(E160&gt;=100%,Cenovnik!$E$78,IF(E160&gt;=50%,Cenovnik!$E$79,IF(E160&gt;=30%,Cenovnik!$E$80,IF(E160&gt;0%,Cenovnik!$E$81,Cenovnik!$E$82)))))</f>
        <v>#DIV/0!</v>
      </c>
      <c r="F161" s="1593" t="e">
        <f>(IF(F160&gt;=100%,Cenovnik!$E$78,IF(F160&gt;=50%,Cenovnik!$E$79,IF(F160&gt;=30%,Cenovnik!$E$80,IF(F160&gt;0%,Cenovnik!$E$81,Cenovnik!$E$82)))))</f>
        <v>#DIV/0!</v>
      </c>
      <c r="G161" s="1593" t="e">
        <f>(IF(G160&gt;=100%,Cenovnik!$E$78,IF(G160&gt;=50%,Cenovnik!$E$79,IF(G160&gt;=30%,Cenovnik!$E$80,IF(G160&gt;0%,Cenovnik!$E$81,Cenovnik!$E$82)))))</f>
        <v>#DIV/0!</v>
      </c>
      <c r="H161" s="1593" t="e">
        <f>(IF(H160&gt;=100%,Cenovnik!$E$78,IF(H160&gt;=50%,Cenovnik!$E$79,IF(H160&gt;=30%,Cenovnik!$E$80,IF(H160&gt;0%,Cenovnik!$E$81,Cenovnik!$E$82)))))</f>
        <v>#DIV/0!</v>
      </c>
      <c r="I161" s="1593" t="e">
        <f>(IF(I160&gt;=100%,Cenovnik!$E$78,IF(I160&gt;=50%,Cenovnik!$E$79,IF(I160&gt;=30%,Cenovnik!$E$80,IF(I160&gt;0%,Cenovnik!$E$81,Cenovnik!$E$82)))))</f>
        <v>#DIV/0!</v>
      </c>
      <c r="J161" s="1594" t="e">
        <f>(IF(J160&gt;=100%,Cenovnik!$E$78,IF(J160&gt;=50%,Cenovnik!$E$79,IF(J160&gt;=30%,Cenovnik!$E$80,IF(J160&gt;0%,Cenovnik!$E$81,Cenovnik!$E$82)))))</f>
        <v>#DIV/0!</v>
      </c>
      <c r="K161" s="101"/>
      <c r="L161" s="101"/>
      <c r="M161" s="101"/>
      <c r="N161" s="101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</row>
    <row r="162" spans="1:36">
      <c r="A162" s="100"/>
      <c r="B162" s="660" t="s">
        <v>432</v>
      </c>
      <c r="C162" s="198"/>
      <c r="D162" s="107"/>
      <c r="E162" s="107"/>
      <c r="F162" s="107"/>
      <c r="G162" s="1575"/>
      <c r="H162" s="107"/>
      <c r="I162" s="107"/>
      <c r="J162" s="1500"/>
      <c r="K162" s="101"/>
      <c r="L162" s="101"/>
      <c r="M162" s="101"/>
      <c r="N162" s="101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</row>
    <row r="163" spans="1:36">
      <c r="A163" s="100"/>
      <c r="B163" s="604" t="s">
        <v>425</v>
      </c>
      <c r="C163" s="203"/>
      <c r="D163" s="106"/>
      <c r="E163" s="106"/>
      <c r="F163" s="106"/>
      <c r="G163" s="1576"/>
      <c r="H163" s="106"/>
      <c r="I163" s="106"/>
      <c r="J163" s="749"/>
      <c r="K163" s="101"/>
      <c r="L163" s="101"/>
      <c r="M163" s="101"/>
      <c r="N163" s="101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</row>
    <row r="164" spans="1:36">
      <c r="A164" s="100"/>
      <c r="B164" s="604" t="s">
        <v>426</v>
      </c>
      <c r="C164" s="203"/>
      <c r="D164" s="106"/>
      <c r="E164" s="106"/>
      <c r="F164" s="106"/>
      <c r="G164" s="1576"/>
      <c r="H164" s="106"/>
      <c r="I164" s="106"/>
      <c r="J164" s="749"/>
      <c r="K164" s="101"/>
      <c r="L164" s="101"/>
      <c r="M164" s="101"/>
      <c r="N164" s="101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</row>
    <row r="165" spans="1:36">
      <c r="A165" s="100"/>
      <c r="B165" s="604" t="s">
        <v>427</v>
      </c>
      <c r="C165" s="203"/>
      <c r="D165" s="106"/>
      <c r="E165" s="106"/>
      <c r="F165" s="106"/>
      <c r="G165" s="1576"/>
      <c r="H165" s="106"/>
      <c r="I165" s="106"/>
      <c r="J165" s="749"/>
      <c r="K165" s="101"/>
      <c r="L165" s="101"/>
      <c r="M165" s="101"/>
      <c r="N165" s="101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</row>
    <row r="166" spans="1:36">
      <c r="A166" s="100"/>
      <c r="B166" s="604" t="s">
        <v>428</v>
      </c>
      <c r="C166" s="203"/>
      <c r="D166" s="106"/>
      <c r="E166" s="106"/>
      <c r="F166" s="106"/>
      <c r="G166" s="1576"/>
      <c r="H166" s="106"/>
      <c r="I166" s="106"/>
      <c r="J166" s="749"/>
      <c r="K166" s="101"/>
      <c r="L166" s="101"/>
      <c r="M166" s="101"/>
      <c r="N166" s="101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</row>
    <row r="167" spans="1:36">
      <c r="A167" s="100"/>
      <c r="B167" s="604" t="s">
        <v>429</v>
      </c>
      <c r="C167" s="203"/>
      <c r="D167" s="106"/>
      <c r="E167" s="106"/>
      <c r="F167" s="106"/>
      <c r="G167" s="1576"/>
      <c r="H167" s="106"/>
      <c r="I167" s="106"/>
      <c r="J167" s="749"/>
      <c r="K167" s="101"/>
      <c r="L167" s="101"/>
      <c r="M167" s="101"/>
      <c r="N167" s="101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</row>
    <row r="168" spans="1:36">
      <c r="A168" s="100"/>
      <c r="B168" s="604" t="s">
        <v>431</v>
      </c>
      <c r="C168" s="203"/>
      <c r="D168" s="106"/>
      <c r="E168" s="106"/>
      <c r="F168" s="106"/>
      <c r="G168" s="1576"/>
      <c r="H168" s="106"/>
      <c r="I168" s="106"/>
      <c r="J168" s="749"/>
      <c r="K168" s="101"/>
      <c r="L168" s="101"/>
      <c r="M168" s="101"/>
      <c r="N168" s="101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</row>
    <row r="169" spans="1:36" ht="16.5" thickBot="1">
      <c r="A169" s="100"/>
      <c r="B169" s="604" t="s">
        <v>430</v>
      </c>
      <c r="C169" s="207"/>
      <c r="D169" s="561"/>
      <c r="E169" s="1591"/>
      <c r="F169" s="1591"/>
      <c r="G169" s="1583"/>
      <c r="H169" s="1591"/>
      <c r="I169" s="1591"/>
      <c r="J169" s="1592"/>
      <c r="K169" s="101"/>
      <c r="L169" s="101"/>
      <c r="M169" s="101"/>
      <c r="N169" s="101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</row>
    <row r="170" spans="1:36" ht="16.5" thickBot="1">
      <c r="A170" s="100"/>
      <c r="B170" s="640" t="s">
        <v>433</v>
      </c>
      <c r="C170" s="1498">
        <f>SUM(C163:C169)</f>
        <v>0</v>
      </c>
      <c r="D170" s="1498">
        <f t="shared" ref="D170:J170" si="28">SUM(D163:D169)</f>
        <v>0</v>
      </c>
      <c r="E170" s="1498">
        <f t="shared" si="28"/>
        <v>0</v>
      </c>
      <c r="F170" s="1498">
        <f t="shared" si="28"/>
        <v>0</v>
      </c>
      <c r="G170" s="1498">
        <f t="shared" si="28"/>
        <v>0</v>
      </c>
      <c r="H170" s="1498">
        <f t="shared" si="28"/>
        <v>0</v>
      </c>
      <c r="I170" s="1498">
        <f t="shared" si="28"/>
        <v>0</v>
      </c>
      <c r="J170" s="1509">
        <f t="shared" si="28"/>
        <v>0</v>
      </c>
      <c r="K170" s="101"/>
      <c r="L170" s="101"/>
      <c r="M170" s="101"/>
      <c r="N170" s="101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</row>
    <row r="171" spans="1:36" ht="16.5" thickBot="1">
      <c r="A171" s="100"/>
      <c r="B171" s="641" t="s">
        <v>434</v>
      </c>
      <c r="C171" s="1498">
        <f>C170/C146</f>
        <v>0</v>
      </c>
      <c r="D171" s="1498">
        <f t="shared" ref="D171:J171" si="29">D170/D146</f>
        <v>0</v>
      </c>
      <c r="E171" s="1498">
        <f t="shared" si="29"/>
        <v>0</v>
      </c>
      <c r="F171" s="1498">
        <f t="shared" si="29"/>
        <v>0</v>
      </c>
      <c r="G171" s="1498">
        <f t="shared" si="29"/>
        <v>0</v>
      </c>
      <c r="H171" s="1498">
        <f t="shared" si="29"/>
        <v>0</v>
      </c>
      <c r="I171" s="1498">
        <f t="shared" si="29"/>
        <v>0</v>
      </c>
      <c r="J171" s="1509">
        <f t="shared" si="29"/>
        <v>0</v>
      </c>
      <c r="K171" s="101"/>
      <c r="L171" s="101"/>
      <c r="M171" s="101"/>
      <c r="N171" s="101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</row>
    <row r="172" spans="1:36" ht="16.5" thickBot="1">
      <c r="A172" s="100"/>
      <c r="B172" s="633" t="s">
        <v>435</v>
      </c>
      <c r="C172" s="1597">
        <f>(IF(C171&gt;=3.5,Cenovnik!$E$84,IF(C171&gt;=2.5,Cenovnik!$E$85,IF(C171&gt;=1.5,Cenovnik!$E$86,IF(C171&gt;=0.5,Cenovnik!$E$87,0.7)))))</f>
        <v>0.7</v>
      </c>
      <c r="D172" s="1597">
        <f>(IF(D171&gt;=3.5,Cenovnik!$E$84,IF(D171&gt;=2.5,Cenovnik!$E$85,IF(D171&gt;=1.5,Cenovnik!$E$86,IF(D171&gt;=0.5,Cenovnik!$E$87,0.7)))))</f>
        <v>0.7</v>
      </c>
      <c r="E172" s="1597">
        <f>(IF(E171&gt;=3.5,Cenovnik!$E$84,IF(E171&gt;=2.5,Cenovnik!$E$85,IF(E171&gt;=1.5,Cenovnik!$E$86,IF(E171&gt;=0.5,Cenovnik!$E$87,0.7)))))</f>
        <v>0.7</v>
      </c>
      <c r="F172" s="1597">
        <f>(IF(F171&gt;=3.5,Cenovnik!$E$84,IF(F171&gt;=2.5,Cenovnik!$E$85,IF(F171&gt;=1.5,Cenovnik!$E$86,IF(F171&gt;=0.5,Cenovnik!$E$87,0.7)))))</f>
        <v>0.7</v>
      </c>
      <c r="G172" s="1597">
        <f>(IF(G171&gt;=3.5,Cenovnik!$E$84,IF(G171&gt;=2.5,Cenovnik!$E$85,IF(G171&gt;=1.5,Cenovnik!$E$86,IF(G171&gt;=0.5,Cenovnik!$E$87,0.7)))))</f>
        <v>0.7</v>
      </c>
      <c r="H172" s="1597">
        <f>(IF(H171&gt;=3.5,Cenovnik!$E$84,IF(H171&gt;=2.5,Cenovnik!$E$85,IF(H171&gt;=1.5,Cenovnik!$E$86,IF(H171&gt;=0.5,Cenovnik!$E$87,0.7)))))</f>
        <v>0.7</v>
      </c>
      <c r="I172" s="1597">
        <f>(IF(I171&gt;=3.5,Cenovnik!$E$84,IF(I171&gt;=2.5,Cenovnik!$E$85,IF(I171&gt;=1.5,Cenovnik!$E$86,IF(I171&gt;=0.5,Cenovnik!$E$87,0.7)))))</f>
        <v>0.7</v>
      </c>
      <c r="J172" s="1598">
        <f>(IF(J171&gt;=3.5,Cenovnik!$E$84,IF(J171&gt;=2.5,Cenovnik!$E$85,IF(J171&gt;=1.5,Cenovnik!$E$86,IF(J171&gt;=0.5,Cenovnik!$E$87,0.7)))))</f>
        <v>0.7</v>
      </c>
      <c r="K172" s="101"/>
      <c r="L172" s="101"/>
      <c r="M172" s="101"/>
      <c r="N172" s="101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</row>
    <row r="173" spans="1:36">
      <c r="A173" s="100"/>
      <c r="B173" s="662" t="s">
        <v>436</v>
      </c>
      <c r="C173" s="198"/>
      <c r="D173" s="107"/>
      <c r="E173" s="107"/>
      <c r="F173" s="107"/>
      <c r="G173" s="107"/>
      <c r="H173" s="107"/>
      <c r="I173" s="1586"/>
      <c r="J173" s="1500"/>
      <c r="K173" s="101"/>
      <c r="L173" s="101"/>
      <c r="M173" s="101"/>
      <c r="N173" s="101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</row>
    <row r="174" spans="1:36">
      <c r="A174" s="100"/>
      <c r="B174" s="604" t="s">
        <v>438</v>
      </c>
      <c r="C174" s="203"/>
      <c r="D174" s="106"/>
      <c r="E174" s="106"/>
      <c r="F174" s="106"/>
      <c r="G174" s="106"/>
      <c r="H174" s="106"/>
      <c r="I174" s="1590"/>
      <c r="J174" s="749"/>
      <c r="K174" s="101"/>
      <c r="L174" s="101"/>
      <c r="M174" s="101"/>
      <c r="N174" s="101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</row>
    <row r="175" spans="1:36" ht="16.5" thickBot="1">
      <c r="A175" s="100"/>
      <c r="B175" s="604" t="s">
        <v>437</v>
      </c>
      <c r="C175" s="302"/>
      <c r="D175" s="1591"/>
      <c r="E175" s="1591"/>
      <c r="F175" s="1591"/>
      <c r="G175" s="1591"/>
      <c r="H175" s="1591"/>
      <c r="I175" s="1587"/>
      <c r="J175" s="1592"/>
      <c r="K175" s="101"/>
      <c r="L175" s="101"/>
      <c r="M175" s="101"/>
      <c r="N175" s="101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</row>
    <row r="176" spans="1:36" ht="16.5" thickBot="1">
      <c r="A176" s="100"/>
      <c r="B176" s="641" t="s">
        <v>439</v>
      </c>
      <c r="C176" s="1498">
        <f>SUM(C174:C175)</f>
        <v>0</v>
      </c>
      <c r="D176" s="1498">
        <f t="shared" ref="D176:J176" si="30">SUM(D174:D175)</f>
        <v>0</v>
      </c>
      <c r="E176" s="1498">
        <f t="shared" si="30"/>
        <v>0</v>
      </c>
      <c r="F176" s="1498">
        <f t="shared" si="30"/>
        <v>0</v>
      </c>
      <c r="G176" s="1498">
        <f t="shared" si="30"/>
        <v>0</v>
      </c>
      <c r="H176" s="1498">
        <f t="shared" si="30"/>
        <v>0</v>
      </c>
      <c r="I176" s="861">
        <f t="shared" si="30"/>
        <v>0</v>
      </c>
      <c r="J176" s="1499">
        <f t="shared" si="30"/>
        <v>0</v>
      </c>
      <c r="K176" s="101"/>
      <c r="L176" s="101"/>
      <c r="M176" s="101"/>
      <c r="N176" s="101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</row>
    <row r="177" spans="1:36" ht="16.5" thickBot="1">
      <c r="A177" s="100"/>
      <c r="B177" s="641" t="s">
        <v>440</v>
      </c>
      <c r="C177" s="1498">
        <f>C176/C146</f>
        <v>0</v>
      </c>
      <c r="D177" s="1498">
        <f t="shared" ref="D177:J177" si="31">D176/D146</f>
        <v>0</v>
      </c>
      <c r="E177" s="1498">
        <f t="shared" si="31"/>
        <v>0</v>
      </c>
      <c r="F177" s="1498">
        <f t="shared" si="31"/>
        <v>0</v>
      </c>
      <c r="G177" s="1498">
        <f t="shared" si="31"/>
        <v>0</v>
      </c>
      <c r="H177" s="1498">
        <f t="shared" si="31"/>
        <v>0</v>
      </c>
      <c r="I177" s="1498">
        <f t="shared" si="31"/>
        <v>0</v>
      </c>
      <c r="J177" s="1509">
        <f t="shared" si="31"/>
        <v>0</v>
      </c>
      <c r="K177" s="101"/>
      <c r="L177" s="101"/>
      <c r="M177" s="101"/>
      <c r="N177" s="101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</row>
    <row r="178" spans="1:36" ht="16.5" thickBot="1">
      <c r="A178" s="100"/>
      <c r="B178" s="643" t="s">
        <v>441</v>
      </c>
      <c r="C178" s="1597">
        <f>(IF(C177&gt;=5,Cenovnik!$E$90,IF(C177&gt;=4,Cenovnik!$E$91,IF(C177&gt;=3,Cenovnik!$E$92,IF(C177&gt;=2,Cenovnik!$E$93,IF(C177&gt;=1,Cenovnik!$E$94,Cenovnik!$E$95))))))</f>
        <v>0.7</v>
      </c>
      <c r="D178" s="1597">
        <f>(IF(D177&gt;=5,Cenovnik!$E$90,IF(D177&gt;=4,Cenovnik!$E$91,IF(D177&gt;=3,Cenovnik!$E$92,IF(D177&gt;=2,Cenovnik!$E$93,IF(D177&gt;=1,Cenovnik!$E$94,Cenovnik!$E$95))))))</f>
        <v>0.7</v>
      </c>
      <c r="E178" s="1597">
        <f>(IF(E177&gt;=5,Cenovnik!$E$90,IF(E177&gt;=4,Cenovnik!$E$91,IF(E177&gt;=3,Cenovnik!$E$92,IF(E177&gt;=2,Cenovnik!$E$93,IF(E177&gt;=1,Cenovnik!$E$94,Cenovnik!$E$95))))))</f>
        <v>0.7</v>
      </c>
      <c r="F178" s="1597">
        <f>(IF(F177&gt;=5,Cenovnik!$E$90,IF(F177&gt;=4,Cenovnik!$E$91,IF(F177&gt;=3,Cenovnik!$E$92,IF(F177&gt;=2,Cenovnik!$E$93,IF(F177&gt;=1,Cenovnik!$E$94,Cenovnik!$E$95))))))</f>
        <v>0.7</v>
      </c>
      <c r="G178" s="1597">
        <f>(IF(G177&gt;=5,Cenovnik!$E$90,IF(G177&gt;=4,Cenovnik!$E$91,IF(G177&gt;=3,Cenovnik!$E$92,IF(G177&gt;=2,Cenovnik!$E$93,IF(G177&gt;=1,Cenovnik!$E$94,Cenovnik!$E$95))))))</f>
        <v>0.7</v>
      </c>
      <c r="H178" s="1597">
        <f>(IF(H177&gt;=5,Cenovnik!$E$90,IF(H177&gt;=4,Cenovnik!$E$91,IF(H177&gt;=3,Cenovnik!$E$92,IF(H177&gt;=2,Cenovnik!$E$93,IF(H177&gt;=1,Cenovnik!$E$94,Cenovnik!$E$95))))))</f>
        <v>0.7</v>
      </c>
      <c r="I178" s="1597">
        <f>(IF(I177&gt;=5,Cenovnik!$E$90,IF(I177&gt;=4,Cenovnik!$E$91,IF(I177&gt;=3,Cenovnik!$E$92,IF(I177&gt;=2,Cenovnik!$E$93,IF(I177&gt;=1,Cenovnik!$E$94,Cenovnik!$E$95))))))</f>
        <v>0.7</v>
      </c>
      <c r="J178" s="1598">
        <f>(IF(J177&gt;=5,Cenovnik!$E$90,IF(J177&gt;=4,Cenovnik!$E$91,IF(J177&gt;=3,Cenovnik!$E$92,IF(J177&gt;=2,Cenovnik!$E$93,IF(J177&gt;=1,Cenovnik!$E$94,Cenovnik!$E$95))))))</f>
        <v>0.7</v>
      </c>
      <c r="K178" s="101"/>
      <c r="L178" s="101"/>
      <c r="M178" s="101"/>
      <c r="N178" s="101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</row>
    <row r="179" spans="1:36">
      <c r="A179" s="109"/>
      <c r="B179" s="109"/>
      <c r="C179" s="110"/>
      <c r="D179" s="110"/>
      <c r="E179" s="110"/>
      <c r="F179" s="110"/>
      <c r="G179" s="110"/>
      <c r="H179" s="110"/>
      <c r="I179" s="110"/>
      <c r="J179" s="101"/>
      <c r="K179" s="101"/>
      <c r="L179" s="101"/>
      <c r="M179" s="101"/>
    </row>
    <row r="180" spans="1:36" s="100" customFormat="1" ht="15">
      <c r="A180" s="101"/>
      <c r="C180" s="113"/>
      <c r="D180" s="101"/>
      <c r="E180" s="101"/>
      <c r="F180" s="101"/>
      <c r="G180" s="101"/>
      <c r="H180" s="101"/>
      <c r="I180" s="101"/>
      <c r="J180" s="101"/>
    </row>
    <row r="181" spans="1:36" s="100" customFormat="1" ht="15">
      <c r="A181" s="101"/>
      <c r="C181" s="113"/>
      <c r="D181" s="101"/>
      <c r="E181" s="101"/>
      <c r="F181" s="101"/>
      <c r="G181" s="101"/>
      <c r="H181" s="101"/>
      <c r="I181" s="101"/>
      <c r="J181" s="101"/>
    </row>
    <row r="182" spans="1:36" s="100" customFormat="1" ht="15">
      <c r="A182" s="101"/>
      <c r="C182" s="113"/>
      <c r="D182" s="101"/>
      <c r="E182" s="101"/>
      <c r="F182" s="101"/>
      <c r="G182" s="101"/>
      <c r="H182" s="101"/>
      <c r="I182" s="101"/>
      <c r="J182" s="101"/>
    </row>
    <row r="183" spans="1:36">
      <c r="A183" s="109"/>
      <c r="B183" s="109" t="s">
        <v>501</v>
      </c>
      <c r="C183" s="110"/>
      <c r="D183" s="110"/>
      <c r="E183" s="110"/>
      <c r="F183" s="110"/>
      <c r="G183" s="110"/>
      <c r="H183" s="110"/>
      <c r="I183" s="110"/>
      <c r="J183" s="101"/>
      <c r="K183" s="101"/>
      <c r="L183" s="101"/>
      <c r="M183" s="101"/>
    </row>
    <row r="184" spans="1:36">
      <c r="A184" s="109"/>
      <c r="B184" s="109"/>
      <c r="C184" s="110"/>
      <c r="D184" s="110"/>
      <c r="E184" s="110"/>
      <c r="F184" s="110"/>
      <c r="G184" s="110"/>
      <c r="H184" s="110"/>
      <c r="I184" s="110"/>
      <c r="J184" s="101"/>
      <c r="K184" s="101"/>
      <c r="L184" s="101"/>
      <c r="M184" s="101"/>
    </row>
    <row r="185" spans="1:36" ht="18.75">
      <c r="A185" s="109"/>
      <c r="B185" s="34" t="s">
        <v>761</v>
      </c>
    </row>
    <row r="186" spans="1:36" s="111" customFormat="1">
      <c r="A186" s="109"/>
      <c r="B186" s="562" t="s">
        <v>367</v>
      </c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36" s="111" customFormat="1" ht="45">
      <c r="A187" s="109"/>
      <c r="B187" s="1117"/>
      <c r="C187" s="1117" t="s">
        <v>368</v>
      </c>
      <c r="D187" s="1117" t="s">
        <v>369</v>
      </c>
      <c r="E187" s="1117" t="s">
        <v>370</v>
      </c>
      <c r="F187" s="1117" t="s">
        <v>371</v>
      </c>
      <c r="G187" s="1117" t="s">
        <v>372</v>
      </c>
      <c r="H187" s="1117" t="s">
        <v>373</v>
      </c>
      <c r="I187" s="1117" t="s">
        <v>374</v>
      </c>
      <c r="J187" s="1117" t="s">
        <v>375</v>
      </c>
      <c r="K187" s="1117" t="s">
        <v>376</v>
      </c>
      <c r="L187" s="1117" t="s">
        <v>377</v>
      </c>
      <c r="M187" s="1117" t="s">
        <v>378</v>
      </c>
      <c r="N187" s="1117" t="s">
        <v>379</v>
      </c>
      <c r="O187" s="1117" t="s">
        <v>380</v>
      </c>
      <c r="P187" s="1117" t="s">
        <v>381</v>
      </c>
      <c r="Q187" s="1117" t="s">
        <v>382</v>
      </c>
      <c r="R187" s="1117" t="s">
        <v>383</v>
      </c>
      <c r="S187" s="1117" t="s">
        <v>384</v>
      </c>
      <c r="T187" s="1117" t="s">
        <v>385</v>
      </c>
      <c r="U187" s="1117" t="s">
        <v>386</v>
      </c>
      <c r="V187" s="1117" t="s">
        <v>387</v>
      </c>
      <c r="W187" s="1117" t="s">
        <v>388</v>
      </c>
      <c r="X187" s="1117" t="s">
        <v>389</v>
      </c>
      <c r="Y187" s="1117" t="s">
        <v>390</v>
      </c>
    </row>
    <row r="188" spans="1:36" s="111" customFormat="1">
      <c r="A188" s="109"/>
      <c r="B188" s="1118" t="s">
        <v>391</v>
      </c>
      <c r="C188" s="567"/>
      <c r="D188" s="567"/>
      <c r="E188" s="567"/>
      <c r="F188" s="567"/>
      <c r="G188" s="1119"/>
      <c r="H188" s="567"/>
      <c r="I188" s="567"/>
      <c r="J188" s="567"/>
      <c r="K188" s="567"/>
      <c r="L188" s="567"/>
      <c r="M188" s="567"/>
      <c r="N188" s="567"/>
      <c r="O188" s="567"/>
      <c r="P188" s="567"/>
      <c r="Q188" s="567"/>
      <c r="R188" s="567"/>
      <c r="S188" s="567"/>
      <c r="T188" s="567"/>
      <c r="U188" s="567"/>
      <c r="V188" s="567"/>
      <c r="W188" s="567"/>
      <c r="X188" s="567"/>
      <c r="Y188" s="567"/>
    </row>
    <row r="189" spans="1:36" s="111" customFormat="1">
      <c r="A189" s="109"/>
      <c r="B189" s="1118" t="s">
        <v>392</v>
      </c>
      <c r="C189" s="567"/>
      <c r="D189" s="567"/>
      <c r="E189" s="567"/>
      <c r="F189" s="567"/>
      <c r="G189" s="1120"/>
      <c r="H189" s="567"/>
      <c r="I189" s="567"/>
      <c r="J189" s="567"/>
      <c r="K189" s="567"/>
      <c r="L189" s="567"/>
      <c r="M189" s="567"/>
      <c r="N189" s="567"/>
      <c r="O189" s="567"/>
      <c r="P189" s="567"/>
      <c r="Q189" s="567"/>
      <c r="R189" s="567"/>
      <c r="S189" s="567"/>
      <c r="T189" s="567"/>
      <c r="U189" s="567"/>
      <c r="V189" s="567"/>
      <c r="W189" s="567"/>
      <c r="X189" s="567"/>
      <c r="Y189" s="567"/>
    </row>
    <row r="190" spans="1:36" s="111" customFormat="1">
      <c r="A190" s="109"/>
      <c r="B190" s="1116" t="s">
        <v>393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36" s="111" customFormat="1" ht="60">
      <c r="A191" s="109"/>
      <c r="B191" s="1117" t="s">
        <v>394</v>
      </c>
      <c r="C191" s="1117" t="s">
        <v>395</v>
      </c>
      <c r="D191" s="1117" t="s">
        <v>396</v>
      </c>
      <c r="E191" s="1117" t="s">
        <v>397</v>
      </c>
      <c r="F191" s="1117" t="s">
        <v>398</v>
      </c>
      <c r="G191" s="1117" t="s">
        <v>399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36" s="111" customFormat="1">
      <c r="A192" s="109"/>
      <c r="B192" s="567">
        <v>0</v>
      </c>
      <c r="C192" s="567">
        <v>0</v>
      </c>
      <c r="D192" s="567">
        <v>0</v>
      </c>
      <c r="E192" s="567">
        <v>0</v>
      </c>
      <c r="F192" s="567">
        <v>0</v>
      </c>
      <c r="G192" s="567">
        <v>0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>
      <c r="A193" s="109"/>
      <c r="B193" s="109"/>
      <c r="C193" s="110"/>
      <c r="D193" s="110"/>
      <c r="E193" s="110"/>
      <c r="F193" s="110"/>
      <c r="G193" s="110"/>
      <c r="H193" s="110"/>
      <c r="I193" s="110"/>
      <c r="J193" s="101"/>
      <c r="K193" s="101"/>
      <c r="L193" s="101"/>
      <c r="M193" s="101"/>
    </row>
    <row r="194" spans="1:25">
      <c r="A194" s="109"/>
      <c r="B194" s="109"/>
      <c r="C194" s="110"/>
      <c r="D194" s="110"/>
      <c r="E194" s="110"/>
      <c r="F194" s="110"/>
      <c r="G194" s="110"/>
      <c r="H194" s="110"/>
      <c r="I194" s="110"/>
      <c r="J194" s="101"/>
      <c r="K194" s="101"/>
      <c r="L194" s="101"/>
      <c r="M194" s="101"/>
    </row>
    <row r="195" spans="1:25" ht="18.75">
      <c r="A195" s="109"/>
      <c r="B195" s="34" t="s">
        <v>762</v>
      </c>
    </row>
    <row r="196" spans="1:25">
      <c r="A196" s="109"/>
      <c r="B196" s="562" t="s">
        <v>367</v>
      </c>
    </row>
    <row r="197" spans="1:25" ht="38.25">
      <c r="A197" s="109"/>
      <c r="B197" s="563"/>
      <c r="C197" s="563" t="s">
        <v>368</v>
      </c>
      <c r="D197" s="563" t="s">
        <v>369</v>
      </c>
      <c r="E197" s="563" t="s">
        <v>370</v>
      </c>
      <c r="F197" s="563" t="s">
        <v>371</v>
      </c>
      <c r="G197" s="563" t="s">
        <v>372</v>
      </c>
      <c r="H197" s="563" t="s">
        <v>373</v>
      </c>
      <c r="I197" s="563" t="s">
        <v>374</v>
      </c>
      <c r="J197" s="563" t="s">
        <v>375</v>
      </c>
      <c r="K197" s="563" t="s">
        <v>376</v>
      </c>
      <c r="L197" s="563" t="s">
        <v>377</v>
      </c>
      <c r="M197" s="563" t="s">
        <v>378</v>
      </c>
      <c r="N197" s="563" t="s">
        <v>379</v>
      </c>
      <c r="O197" s="563" t="s">
        <v>380</v>
      </c>
      <c r="P197" s="563" t="s">
        <v>381</v>
      </c>
      <c r="Q197" s="563" t="s">
        <v>382</v>
      </c>
      <c r="R197" s="563" t="s">
        <v>383</v>
      </c>
      <c r="S197" s="563" t="s">
        <v>384</v>
      </c>
      <c r="T197" s="563" t="s">
        <v>385</v>
      </c>
      <c r="U197" s="563" t="s">
        <v>386</v>
      </c>
      <c r="V197" s="563" t="s">
        <v>387</v>
      </c>
      <c r="W197" s="563" t="s">
        <v>388</v>
      </c>
      <c r="X197" s="563" t="s">
        <v>389</v>
      </c>
      <c r="Y197" s="563" t="s">
        <v>390</v>
      </c>
    </row>
    <row r="198" spans="1:25">
      <c r="A198" s="109"/>
      <c r="B198" s="564" t="s">
        <v>391</v>
      </c>
      <c r="C198" s="565"/>
      <c r="D198" s="565"/>
      <c r="E198" s="565"/>
      <c r="F198" s="565"/>
      <c r="G198" s="566"/>
      <c r="H198" s="565"/>
      <c r="I198" s="565"/>
      <c r="J198" s="565"/>
      <c r="K198" s="565"/>
      <c r="L198" s="565"/>
      <c r="M198" s="565"/>
      <c r="N198" s="565"/>
      <c r="O198" s="565"/>
      <c r="P198" s="565"/>
      <c r="Q198" s="565"/>
      <c r="R198" s="565"/>
      <c r="S198" s="565"/>
      <c r="T198" s="565"/>
      <c r="U198" s="565"/>
      <c r="V198" s="565"/>
      <c r="W198" s="565"/>
      <c r="X198" s="565"/>
      <c r="Y198" s="565"/>
    </row>
    <row r="199" spans="1:25">
      <c r="A199" s="109"/>
      <c r="B199" s="564" t="s">
        <v>392</v>
      </c>
      <c r="C199" s="565"/>
      <c r="D199" s="565"/>
      <c r="E199" s="565"/>
      <c r="F199" s="565"/>
      <c r="G199" s="565"/>
      <c r="H199" s="565"/>
      <c r="I199" s="565"/>
      <c r="J199" s="565"/>
      <c r="K199" s="565"/>
      <c r="L199" s="565"/>
      <c r="M199" s="565"/>
      <c r="N199" s="565"/>
      <c r="O199" s="565"/>
      <c r="P199" s="565"/>
      <c r="Q199" s="565"/>
      <c r="R199" s="565"/>
      <c r="S199" s="565"/>
      <c r="T199" s="565"/>
      <c r="U199" s="565"/>
      <c r="V199" s="565"/>
      <c r="W199" s="565"/>
      <c r="X199" s="565"/>
      <c r="Y199" s="565"/>
    </row>
    <row r="200" spans="1:25">
      <c r="A200" s="109"/>
      <c r="B200" s="562" t="s">
        <v>393</v>
      </c>
    </row>
    <row r="201" spans="1:25" ht="38.25">
      <c r="A201" s="109"/>
      <c r="B201" s="563" t="s">
        <v>394</v>
      </c>
      <c r="C201" s="563" t="s">
        <v>395</v>
      </c>
      <c r="D201" s="563" t="s">
        <v>396</v>
      </c>
      <c r="E201" s="563" t="s">
        <v>397</v>
      </c>
      <c r="F201" s="563" t="s">
        <v>398</v>
      </c>
      <c r="G201" s="563" t="s">
        <v>399</v>
      </c>
    </row>
    <row r="202" spans="1:25">
      <c r="A202" s="109"/>
      <c r="B202" s="565"/>
      <c r="C202" s="565"/>
      <c r="D202" s="565"/>
      <c r="E202" s="565"/>
      <c r="F202" s="565"/>
      <c r="G202" s="565"/>
    </row>
    <row r="203" spans="1:25">
      <c r="A203" s="109"/>
      <c r="B203" s="109"/>
      <c r="C203" s="110"/>
      <c r="D203" s="110"/>
      <c r="E203" s="110"/>
      <c r="F203" s="110"/>
      <c r="G203" s="110"/>
      <c r="H203" s="110"/>
      <c r="I203" s="110"/>
      <c r="J203" s="101"/>
      <c r="K203" s="101"/>
      <c r="L203" s="101"/>
      <c r="M203" s="101"/>
    </row>
    <row r="204" spans="1:25">
      <c r="A204" s="109"/>
      <c r="B204" s="109"/>
      <c r="C204" s="110"/>
      <c r="D204" s="110"/>
      <c r="E204" s="110"/>
      <c r="F204" s="110"/>
      <c r="G204" s="110"/>
      <c r="H204" s="110"/>
      <c r="I204" s="110"/>
      <c r="J204" s="101"/>
      <c r="K204" s="101"/>
      <c r="L204" s="101"/>
      <c r="M204" s="101"/>
    </row>
    <row r="205" spans="1:25" ht="18.75">
      <c r="A205" s="109"/>
      <c r="B205" s="34" t="s">
        <v>763</v>
      </c>
    </row>
    <row r="206" spans="1:25">
      <c r="A206" s="109"/>
      <c r="B206" s="562" t="s">
        <v>367</v>
      </c>
    </row>
    <row r="207" spans="1:25" ht="38.25">
      <c r="A207" s="109"/>
      <c r="B207" s="563"/>
      <c r="C207" s="563" t="s">
        <v>368</v>
      </c>
      <c r="D207" s="563" t="s">
        <v>369</v>
      </c>
      <c r="E207" s="563" t="s">
        <v>370</v>
      </c>
      <c r="F207" s="563" t="s">
        <v>371</v>
      </c>
      <c r="G207" s="563" t="s">
        <v>372</v>
      </c>
      <c r="H207" s="563" t="s">
        <v>373</v>
      </c>
      <c r="I207" s="563" t="s">
        <v>374</v>
      </c>
      <c r="J207" s="563" t="s">
        <v>375</v>
      </c>
      <c r="K207" s="563" t="s">
        <v>376</v>
      </c>
      <c r="L207" s="563" t="s">
        <v>377</v>
      </c>
      <c r="M207" s="563" t="s">
        <v>378</v>
      </c>
      <c r="N207" s="563" t="s">
        <v>379</v>
      </c>
      <c r="O207" s="563" t="s">
        <v>380</v>
      </c>
      <c r="P207" s="563" t="s">
        <v>381</v>
      </c>
      <c r="Q207" s="563" t="s">
        <v>382</v>
      </c>
      <c r="R207" s="563" t="s">
        <v>383</v>
      </c>
      <c r="S207" s="563" t="s">
        <v>384</v>
      </c>
      <c r="T207" s="563" t="s">
        <v>385</v>
      </c>
      <c r="U207" s="563" t="s">
        <v>386</v>
      </c>
      <c r="V207" s="563" t="s">
        <v>387</v>
      </c>
      <c r="W207" s="563" t="s">
        <v>388</v>
      </c>
      <c r="X207" s="563" t="s">
        <v>389</v>
      </c>
      <c r="Y207" s="563" t="s">
        <v>390</v>
      </c>
    </row>
    <row r="208" spans="1:25">
      <c r="A208" s="109"/>
      <c r="B208" s="564" t="s">
        <v>391</v>
      </c>
      <c r="C208" s="565"/>
      <c r="D208" s="565"/>
      <c r="E208" s="565"/>
      <c r="F208" s="565"/>
      <c r="G208" s="566"/>
      <c r="H208" s="565"/>
      <c r="I208" s="565"/>
      <c r="J208" s="565"/>
      <c r="K208" s="565"/>
      <c r="L208" s="565"/>
      <c r="M208" s="565"/>
      <c r="N208" s="565"/>
      <c r="O208" s="565"/>
      <c r="P208" s="565"/>
      <c r="Q208" s="565"/>
      <c r="R208" s="565"/>
      <c r="S208" s="565"/>
      <c r="T208" s="565"/>
      <c r="U208" s="565"/>
      <c r="V208" s="565"/>
      <c r="W208" s="565"/>
      <c r="X208" s="565"/>
      <c r="Y208" s="565"/>
    </row>
    <row r="209" spans="1:25">
      <c r="A209" s="109"/>
      <c r="B209" s="564" t="s">
        <v>392</v>
      </c>
      <c r="C209" s="565"/>
      <c r="D209" s="565"/>
      <c r="E209" s="565"/>
      <c r="F209" s="565"/>
      <c r="G209" s="565"/>
      <c r="H209" s="565"/>
      <c r="I209" s="565"/>
      <c r="J209" s="565"/>
      <c r="K209" s="565"/>
      <c r="L209" s="565"/>
      <c r="M209" s="565"/>
      <c r="N209" s="565"/>
      <c r="O209" s="565"/>
      <c r="P209" s="565"/>
      <c r="Q209" s="565"/>
      <c r="R209" s="565"/>
      <c r="S209" s="565"/>
      <c r="T209" s="565"/>
      <c r="U209" s="565"/>
      <c r="V209" s="565"/>
      <c r="W209" s="565"/>
      <c r="X209" s="565"/>
      <c r="Y209" s="565"/>
    </row>
    <row r="210" spans="1:25">
      <c r="A210" s="109"/>
      <c r="B210" s="562" t="s">
        <v>393</v>
      </c>
    </row>
    <row r="211" spans="1:25" ht="38.25">
      <c r="A211" s="109"/>
      <c r="B211" s="563" t="s">
        <v>394</v>
      </c>
      <c r="C211" s="563" t="s">
        <v>395</v>
      </c>
      <c r="D211" s="563" t="s">
        <v>396</v>
      </c>
      <c r="E211" s="563" t="s">
        <v>397</v>
      </c>
      <c r="F211" s="563" t="s">
        <v>398</v>
      </c>
      <c r="G211" s="563" t="s">
        <v>399</v>
      </c>
    </row>
    <row r="212" spans="1:25">
      <c r="A212" s="109"/>
      <c r="B212" s="565"/>
      <c r="C212" s="565"/>
      <c r="D212" s="565"/>
      <c r="E212" s="565"/>
      <c r="F212" s="565"/>
      <c r="G212" s="565"/>
    </row>
    <row r="213" spans="1:25">
      <c r="A213" s="109"/>
      <c r="B213" s="109"/>
      <c r="C213" s="110"/>
      <c r="D213" s="110"/>
      <c r="E213" s="110"/>
      <c r="F213" s="110"/>
      <c r="G213" s="110"/>
      <c r="H213" s="110"/>
      <c r="I213" s="110"/>
      <c r="J213" s="101"/>
      <c r="K213" s="101"/>
      <c r="L213" s="101"/>
      <c r="M213" s="101"/>
    </row>
    <row r="214" spans="1:25">
      <c r="A214" s="109"/>
      <c r="B214" s="109"/>
      <c r="C214" s="110"/>
      <c r="D214" s="110"/>
      <c r="E214" s="110"/>
      <c r="F214" s="110"/>
      <c r="G214" s="110"/>
      <c r="H214" s="110"/>
      <c r="I214" s="110"/>
      <c r="J214" s="101"/>
      <c r="K214" s="101"/>
      <c r="L214" s="101"/>
      <c r="M214" s="101"/>
    </row>
    <row r="215" spans="1:25" ht="18.75">
      <c r="A215" s="109"/>
      <c r="B215" s="34" t="s">
        <v>764</v>
      </c>
    </row>
    <row r="216" spans="1:25">
      <c r="A216" s="109"/>
      <c r="B216" s="562" t="s">
        <v>367</v>
      </c>
    </row>
    <row r="217" spans="1:25" ht="38.25">
      <c r="A217" s="109"/>
      <c r="B217" s="563"/>
      <c r="C217" s="563" t="s">
        <v>368</v>
      </c>
      <c r="D217" s="563" t="s">
        <v>369</v>
      </c>
      <c r="E217" s="563" t="s">
        <v>370</v>
      </c>
      <c r="F217" s="563" t="s">
        <v>371</v>
      </c>
      <c r="G217" s="563" t="s">
        <v>372</v>
      </c>
      <c r="H217" s="563" t="s">
        <v>373</v>
      </c>
      <c r="I217" s="563" t="s">
        <v>374</v>
      </c>
      <c r="J217" s="563" t="s">
        <v>375</v>
      </c>
      <c r="K217" s="563" t="s">
        <v>376</v>
      </c>
      <c r="L217" s="563" t="s">
        <v>377</v>
      </c>
      <c r="M217" s="563" t="s">
        <v>378</v>
      </c>
      <c r="N217" s="563" t="s">
        <v>379</v>
      </c>
      <c r="O217" s="563" t="s">
        <v>380</v>
      </c>
      <c r="P217" s="563" t="s">
        <v>381</v>
      </c>
      <c r="Q217" s="563" t="s">
        <v>382</v>
      </c>
      <c r="R217" s="563" t="s">
        <v>383</v>
      </c>
      <c r="S217" s="563" t="s">
        <v>384</v>
      </c>
      <c r="T217" s="563" t="s">
        <v>385</v>
      </c>
      <c r="U217" s="563" t="s">
        <v>386</v>
      </c>
      <c r="V217" s="563" t="s">
        <v>387</v>
      </c>
      <c r="W217" s="563" t="s">
        <v>388</v>
      </c>
      <c r="X217" s="563" t="s">
        <v>389</v>
      </c>
      <c r="Y217" s="563" t="s">
        <v>390</v>
      </c>
    </row>
    <row r="218" spans="1:25">
      <c r="A218" s="109"/>
      <c r="B218" s="564" t="s">
        <v>391</v>
      </c>
      <c r="C218" s="565"/>
      <c r="D218" s="565"/>
      <c r="E218" s="565"/>
      <c r="F218" s="565"/>
      <c r="G218" s="566"/>
      <c r="H218" s="565"/>
      <c r="I218" s="565"/>
      <c r="J218" s="565"/>
      <c r="K218" s="565"/>
      <c r="L218" s="565"/>
      <c r="M218" s="565"/>
      <c r="N218" s="565"/>
      <c r="O218" s="565"/>
      <c r="P218" s="565"/>
      <c r="Q218" s="565"/>
      <c r="R218" s="565"/>
      <c r="S218" s="565"/>
      <c r="T218" s="565"/>
      <c r="U218" s="565"/>
      <c r="V218" s="565"/>
      <c r="W218" s="565"/>
      <c r="X218" s="565"/>
      <c r="Y218" s="565"/>
    </row>
    <row r="219" spans="1:25">
      <c r="A219" s="109"/>
      <c r="B219" s="564" t="s">
        <v>392</v>
      </c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</row>
    <row r="220" spans="1:25">
      <c r="A220" s="109"/>
      <c r="B220" s="562" t="s">
        <v>393</v>
      </c>
    </row>
    <row r="221" spans="1:25" ht="38.25">
      <c r="A221" s="109"/>
      <c r="B221" s="563" t="s">
        <v>394</v>
      </c>
      <c r="C221" s="563" t="s">
        <v>395</v>
      </c>
      <c r="D221" s="563" t="s">
        <v>396</v>
      </c>
      <c r="E221" s="563" t="s">
        <v>397</v>
      </c>
      <c r="F221" s="563" t="s">
        <v>398</v>
      </c>
      <c r="G221" s="563" t="s">
        <v>399</v>
      </c>
    </row>
    <row r="222" spans="1:25">
      <c r="A222" s="109"/>
      <c r="B222" s="565"/>
      <c r="C222" s="565"/>
      <c r="D222" s="565"/>
      <c r="E222" s="565"/>
      <c r="F222" s="565"/>
      <c r="G222" s="565"/>
    </row>
    <row r="223" spans="1:25">
      <c r="A223" s="109"/>
      <c r="B223" s="109"/>
      <c r="C223" s="110"/>
      <c r="D223" s="110"/>
      <c r="E223" s="110"/>
      <c r="F223" s="110"/>
      <c r="G223" s="110"/>
      <c r="H223" s="110"/>
      <c r="I223" s="110"/>
      <c r="J223" s="101"/>
      <c r="K223" s="101"/>
      <c r="L223" s="101"/>
      <c r="M223" s="101"/>
    </row>
    <row r="224" spans="1:25">
      <c r="A224" s="109"/>
      <c r="B224" s="109"/>
      <c r="C224" s="110"/>
      <c r="D224" s="110"/>
      <c r="E224" s="110"/>
      <c r="F224" s="110"/>
      <c r="G224" s="110"/>
      <c r="H224" s="110"/>
      <c r="I224" s="110"/>
      <c r="J224" s="101"/>
      <c r="K224" s="101"/>
      <c r="L224" s="101"/>
      <c r="M224" s="101"/>
    </row>
  </sheetData>
  <mergeCells count="1">
    <mergeCell ref="C3:D3"/>
  </mergeCells>
  <dataValidations count="2">
    <dataValidation type="list" allowBlank="1" showInputMessage="1" showErrorMessage="1" sqref="J8:J15">
      <formula1>Tip_nastave</formula1>
    </dataValidation>
    <dataValidation type="list" allowBlank="1" showInputMessage="1" showErrorMessage="1" sqref="A8:A15">
      <formula1>Semestar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Liste!$G$2:$G$4</xm:f>
          </x14:formula1>
          <xm:sqref>C4</xm:sqref>
        </x14:dataValidation>
        <x14:dataValidation type="list" allowBlank="1" showInputMessage="1" showErrorMessage="1">
          <x14:formula1>
            <xm:f>Liste!$E$2:$E$3</xm:f>
          </x14:formula1>
          <xm:sqref>I8:I11</xm:sqref>
        </x14:dataValidation>
        <x14:dataValidation type="list" allowBlank="1" showInputMessage="1" showErrorMessage="1">
          <x14:formula1>
            <xm:f>Liste!$F$2:$F$9</xm:f>
          </x14:formula1>
          <xm:sqref>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zoomScalePageLayoutView="125" workbookViewId="0">
      <selection activeCell="B10" sqref="B10"/>
    </sheetView>
  </sheetViews>
  <sheetFormatPr defaultColWidth="11" defaultRowHeight="15.75"/>
  <cols>
    <col min="1" max="1" width="5.375" customWidth="1"/>
    <col min="2" max="2" width="40.125" customWidth="1"/>
    <col min="3" max="16" width="9.5" customWidth="1"/>
  </cols>
  <sheetData>
    <row r="1" spans="1:13" ht="16.5" thickBot="1">
      <c r="A1" s="1076"/>
      <c r="B1" s="164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</row>
    <row r="2" spans="1:13">
      <c r="A2" s="1223"/>
      <c r="B2" s="1196"/>
      <c r="C2" s="1224"/>
      <c r="D2" s="1225"/>
      <c r="E2" s="1223"/>
      <c r="F2" s="1223"/>
      <c r="G2" s="1223"/>
      <c r="H2" s="1223"/>
      <c r="I2" s="1223"/>
      <c r="J2" s="1223"/>
      <c r="K2" s="1223"/>
      <c r="L2" s="1226"/>
      <c r="M2" s="124"/>
    </row>
    <row r="3" spans="1:13">
      <c r="A3" s="1223"/>
      <c r="B3" s="1228" t="s">
        <v>138</v>
      </c>
      <c r="C3" s="1229" t="s">
        <v>218</v>
      </c>
      <c r="D3" s="1078"/>
      <c r="E3" s="1223"/>
      <c r="F3" s="1223"/>
      <c r="G3" s="1223"/>
      <c r="H3" s="1223"/>
      <c r="I3" s="1223"/>
      <c r="J3" s="1223"/>
      <c r="K3" s="1223"/>
      <c r="L3" s="1223"/>
      <c r="M3" s="1223"/>
    </row>
    <row r="4" spans="1:13" ht="16.5" thickBot="1">
      <c r="A4" s="1223"/>
      <c r="B4" s="1230" t="s">
        <v>144</v>
      </c>
      <c r="C4" s="1231">
        <v>1</v>
      </c>
      <c r="D4" s="1232"/>
      <c r="E4" s="1223"/>
      <c r="F4" s="1223"/>
      <c r="G4" s="1233"/>
      <c r="H4" s="1223"/>
      <c r="I4" s="1223"/>
      <c r="J4" s="1223"/>
      <c r="K4" s="1223"/>
      <c r="L4" s="1223"/>
      <c r="M4" s="1223"/>
    </row>
    <row r="5" spans="1:13" ht="16.5" thickBot="1">
      <c r="A5" s="1223"/>
      <c r="B5" s="1234" t="s">
        <v>711</v>
      </c>
      <c r="C5" s="1235">
        <v>100</v>
      </c>
      <c r="D5" s="1236" t="s">
        <v>146</v>
      </c>
      <c r="E5" s="1223"/>
      <c r="F5" s="1223"/>
      <c r="G5" s="1223"/>
      <c r="H5" s="1223"/>
      <c r="I5" s="1223"/>
      <c r="J5" s="1445" t="s">
        <v>770</v>
      </c>
      <c r="K5" s="1448">
        <f>SUM(K8:K11)</f>
        <v>0</v>
      </c>
      <c r="L5" s="1447">
        <f>SUM(L8:L11)</f>
        <v>0</v>
      </c>
    </row>
    <row r="6" spans="1:13" ht="16.5" thickBot="1">
      <c r="A6" s="1223"/>
      <c r="B6" s="1237" t="s">
        <v>712</v>
      </c>
      <c r="C6" s="1238"/>
      <c r="D6" s="1239" t="s">
        <v>153</v>
      </c>
      <c r="E6" s="1240"/>
      <c r="F6" s="1365" t="s">
        <v>154</v>
      </c>
      <c r="G6" s="1365" t="s">
        <v>155</v>
      </c>
      <c r="H6" s="1365" t="s">
        <v>156</v>
      </c>
      <c r="I6" s="1365" t="s">
        <v>157</v>
      </c>
      <c r="J6" s="619" t="s">
        <v>771</v>
      </c>
      <c r="K6" s="620">
        <f>SUM(K12:K15)</f>
        <v>0</v>
      </c>
      <c r="L6" s="151">
        <f>SUM(L12:L15)</f>
        <v>0</v>
      </c>
    </row>
    <row r="7" spans="1:13" ht="16.5" thickBot="1">
      <c r="A7" s="1241" t="s">
        <v>158</v>
      </c>
      <c r="B7" s="1242" t="s">
        <v>159</v>
      </c>
      <c r="C7" s="1243" t="s">
        <v>160</v>
      </c>
      <c r="D7" s="1244" t="s">
        <v>161</v>
      </c>
      <c r="E7" s="1240" t="s">
        <v>162</v>
      </c>
      <c r="F7" s="1366"/>
      <c r="G7" s="1366" t="s">
        <v>162</v>
      </c>
      <c r="H7" s="1367" t="s">
        <v>163</v>
      </c>
      <c r="I7" s="1366" t="s">
        <v>164</v>
      </c>
      <c r="J7" s="1241" t="s">
        <v>165</v>
      </c>
      <c r="K7" s="1245" t="s">
        <v>149</v>
      </c>
      <c r="L7" s="1246" t="s">
        <v>146</v>
      </c>
      <c r="M7" s="1223"/>
    </row>
    <row r="8" spans="1:13" ht="16.5" thickBot="1">
      <c r="A8" s="1247" t="s">
        <v>167</v>
      </c>
      <c r="B8" s="1248"/>
      <c r="C8" s="1250"/>
      <c r="D8" s="1250"/>
      <c r="E8" s="1250"/>
      <c r="F8" s="1250"/>
      <c r="G8" s="1250"/>
      <c r="H8" s="1250">
        <f>(D8+E8)*G8</f>
        <v>0</v>
      </c>
      <c r="I8" s="1251"/>
      <c r="J8" s="1247"/>
      <c r="K8" s="1453">
        <f>IF(J8="Klas.",1,IF(J8="Hibr.",0.9,0.2))*$C$4*15*IF(I8="Beograd",IF(OR($C$3="Red. profesor",$C$3="Vanr. profesor",$C$3="Docent"),C8*Cenovnik!$D$106+Cenovnik!$D$104*H8,IF(OR($C$3="Doktor nauka",$C$3="Predavač",$C$3="Asistent",$C$3="Saradnik"),C8*Cenovnik!$D$105+Cenovnik!$D$104*H8,(C8+H8)*Cenovnik!$D$103)),IF(I8="Niš",IF(OR($C$3="Red. profesor",$C$3="Vanr. profesor",$C$3="Docent"),C8*Cenovnik!$D$114+Cenovnik!$D$111*H8,IF($C$3="Doktor nauka",C8*Cenovnik!$D$113+Cenovnik!$D$113*H8,IF(OR($C$3="Predavač",$C$3="Asistent",$C$3="Saradnik"),C8*Cenovnik!$D$112+H8*Cenovnik!$D$111,C8*Cenovnik!$D$110+Cenovnik!$D$109*H8))),0))</f>
        <v>0</v>
      </c>
      <c r="L8" s="1252">
        <f t="shared" ref="L8:L15" si="0">K8*$C$5</f>
        <v>0</v>
      </c>
      <c r="M8" s="1223"/>
    </row>
    <row r="9" spans="1:13">
      <c r="A9" s="1253" t="s">
        <v>167</v>
      </c>
      <c r="B9" s="1229"/>
      <c r="C9" s="1255"/>
      <c r="D9" s="1255"/>
      <c r="E9" s="1255"/>
      <c r="F9" s="1255"/>
      <c r="G9" s="1255"/>
      <c r="H9" s="1255">
        <f t="shared" ref="H9" si="1">(D9+E9)*G9</f>
        <v>0</v>
      </c>
      <c r="I9" s="1256"/>
      <c r="J9" s="1253"/>
      <c r="K9" s="1257">
        <f>IF(J9="Klas.",1,IF(J9="Hibr.",0.9,0.2))*$C$4*15*IF(I9="Beograd",IF(OR($C$3="Red. profesor",$C$3="Vanr. profesor",$C$3="Docent"),C9*Cenovnik!$D$106+Cenovnik!$D$104*H9,IF(OR($C$3="Doktor nauka",$C$3="Predavač",$C$3="Asistent",$C$3="Saradnik"),C9*Cenovnik!$D$105+Cenovnik!$D$104*H9,(C9+H9)*Cenovnik!$D$103)),IF(I9="Niš",IF(OR($C$3="Red. profesor",$C$3="Vanr. profesor",$C$3="Docent"),C9*Cenovnik!$D$114+Cenovnik!$D$111*H9,IF($C$3="Doktor nauka",C9*Cenovnik!$D$113+Cenovnik!$D$113*H9,IF(OR($C$3="Predavač",$C$3="Asistent",$C$3="Saradnik"),C9*Cenovnik!$D$112+H9*Cenovnik!$D$111,C9*Cenovnik!$D$110+Cenovnik!$D$109*H9))),0))</f>
        <v>0</v>
      </c>
      <c r="L9" s="1258">
        <f t="shared" ref="L9" si="2">K9*$C$5</f>
        <v>0</v>
      </c>
      <c r="M9" s="1223"/>
    </row>
    <row r="10" spans="1:13">
      <c r="A10" s="1253" t="s">
        <v>167</v>
      </c>
      <c r="B10" s="1229"/>
      <c r="C10" s="1255"/>
      <c r="D10" s="1255"/>
      <c r="E10" s="1255"/>
      <c r="F10" s="1255"/>
      <c r="G10" s="1255"/>
      <c r="H10" s="1255">
        <f t="shared" ref="H10:H15" si="3">(D10+E10)*G10</f>
        <v>0</v>
      </c>
      <c r="I10" s="1256"/>
      <c r="J10" s="1253"/>
      <c r="K10" s="1257">
        <f>IF(J10="Klas.",1,IF(J10="Hibr.",0.9,0.2))*$C$4*15*IF(I10="Beograd",IF(OR($C$3="Red. profesor",$C$3="Vanr. profesor",$C$3="Docent"),C10*Cenovnik!$D$106+Cenovnik!$D$104*H10,IF(OR($C$3="Doktor nauka",$C$3="Predavač",$C$3="Asistent",$C$3="Saradnik"),C10*Cenovnik!$D$105+Cenovnik!$D$104*H10,(C10+H10)*Cenovnik!$D$103)),IF(I10="Niš",IF(OR($C$3="Red. profesor",$C$3="Vanr. profesor",$C$3="Docent"),C10*Cenovnik!$D$114+Cenovnik!$D$111*H10,IF($C$3="Doktor nauka",C10*Cenovnik!$D$113+Cenovnik!$D$113*H10,IF(OR($C$3="Predavač",$C$3="Asistent",$C$3="Saradnik"),C10*Cenovnik!$D$112+H10*Cenovnik!$D$111,C10*Cenovnik!$D$110+Cenovnik!$D$109*H10))),0))</f>
        <v>0</v>
      </c>
      <c r="L10" s="1258">
        <f t="shared" si="0"/>
        <v>0</v>
      </c>
      <c r="M10" s="1223"/>
    </row>
    <row r="11" spans="1:13" ht="16.5" thickBot="1">
      <c r="A11" s="1259" t="s">
        <v>167</v>
      </c>
      <c r="B11" s="1260"/>
      <c r="C11" s="1231"/>
      <c r="D11" s="1231"/>
      <c r="E11" s="1231"/>
      <c r="F11" s="1231"/>
      <c r="G11" s="1231"/>
      <c r="H11" s="1231">
        <f t="shared" si="3"/>
        <v>0</v>
      </c>
      <c r="I11" s="1261"/>
      <c r="J11" s="1259"/>
      <c r="K11" s="1262">
        <f>IF(J11="Klas.",1,IF(J11="Hibr.",0.9,0.2))*$C$4*15*IF(I11="Beograd",IF(OR($C$3="Red. profesor",$C$3="Vanr. profesor",$C$3="Docent"),C11*Cenovnik!$D$106+Cenovnik!$D$104*H11,IF(OR($C$3="Doktor nauka",$C$3="Predavač",$C$3="Asistent",$C$3="Saradnik"),C11*Cenovnik!$D$105+Cenovnik!$D$104*H11,(C11+H11)*Cenovnik!$D$103)),IF(I11="Niš",IF(OR($C$3="Red. profesor",$C$3="Vanr. profesor",$C$3="Docent"),C11*Cenovnik!$D$114+Cenovnik!$D$111*H11,IF($C$3="Doktor nauka",C11*Cenovnik!$D$113+Cenovnik!$D$113*H11,IF(OR($C$3="Predavač",$C$3="Asistent",$C$3="Saradnik"),C11*Cenovnik!$D$112+H11*Cenovnik!$D$111,C11*Cenovnik!$D$110+Cenovnik!$D$109*H11))),0))</f>
        <v>0</v>
      </c>
      <c r="L11" s="1263">
        <f t="shared" si="0"/>
        <v>0</v>
      </c>
      <c r="M11" s="1223"/>
    </row>
    <row r="12" spans="1:13">
      <c r="A12" s="1253" t="s">
        <v>173</v>
      </c>
      <c r="B12" s="1229"/>
      <c r="C12" s="1255"/>
      <c r="D12" s="1255"/>
      <c r="E12" s="1255"/>
      <c r="F12" s="1255"/>
      <c r="G12" s="1255"/>
      <c r="H12" s="1255">
        <f t="shared" si="3"/>
        <v>0</v>
      </c>
      <c r="I12" s="1256"/>
      <c r="J12" s="1247"/>
      <c r="K12" s="1449">
        <f>IF(J12="Klas.",1,IF(J12="Hibr.",0.9,0.2))*$C$4*15*IF(I12="Beograd",IF(OR($C$3="Red. profesor",$C$3="Vanr. profesor",$C$3="Docent"),C12*Cenovnik!$D$106+Cenovnik!$D$104*H12,IF(OR($C$3="Doktor nauka",$C$3="Predavač",$C$3="Asistent",$C$3="Saradnik"),C12*Cenovnik!$D$105+Cenovnik!$D$104*H12,(C12+H12)*Cenovnik!$D$103)),IF(I12="Niš",IF(OR($C$3="Red. profesor",$C$3="Vanr. profesor",$C$3="Docent"),C12*Cenovnik!$D$114+Cenovnik!$D$111*H12,IF($C$3="Doktor nauka",C12*Cenovnik!$D$113+Cenovnik!$D$113*H12,IF(OR($C$3="Predavač",$C$3="Asistent",$C$3="Saradnik"),C12*Cenovnik!$D$112+H12*Cenovnik!$D$111,C12*Cenovnik!$D$110+Cenovnik!$D$109*H12))),0))</f>
        <v>0</v>
      </c>
      <c r="L12" s="1252">
        <f t="shared" si="0"/>
        <v>0</v>
      </c>
      <c r="M12" s="1223"/>
    </row>
    <row r="13" spans="1:13">
      <c r="A13" s="1253" t="s">
        <v>173</v>
      </c>
      <c r="B13" s="1229"/>
      <c r="C13" s="1255"/>
      <c r="D13" s="1255"/>
      <c r="E13" s="1255"/>
      <c r="F13" s="1255"/>
      <c r="G13" s="1255"/>
      <c r="H13" s="1255">
        <f t="shared" si="3"/>
        <v>0</v>
      </c>
      <c r="I13" s="1256"/>
      <c r="J13" s="1253"/>
      <c r="K13" s="1257">
        <f>IF(J13="Klas.",1,IF(J13="Hibr.",0.9,0.2))*$C$4*15*IF(I13="Beograd",IF(OR($C$3="Red. profesor",$C$3="Vanr. profesor",$C$3="Docent"),C13*Cenovnik!$D$106+Cenovnik!$D$104*H13,IF(OR($C$3="Doktor nauka",$C$3="Predavač",$C$3="Asistent",$C$3="Saradnik"),C13*Cenovnik!$D$105+Cenovnik!$D$104*H13,(C13+H13)*Cenovnik!$D$103)),IF(I13="Niš",IF(OR($C$3="Red. profesor",$C$3="Vanr. profesor",$C$3="Docent"),C13*Cenovnik!$D$114+Cenovnik!$D$111*H13,IF($C$3="Doktor nauka",C13*Cenovnik!$D$113+Cenovnik!$D$113*H13,IF(OR($C$3="Predavač",$C$3="Asistent",$C$3="Saradnik"),C13*Cenovnik!$D$112+H13*Cenovnik!$D$111,C13*Cenovnik!$D$110+Cenovnik!$D$109*H13))),0))</f>
        <v>0</v>
      </c>
      <c r="L13" s="1258">
        <f t="shared" si="0"/>
        <v>0</v>
      </c>
      <c r="M13" s="1223"/>
    </row>
    <row r="14" spans="1:13">
      <c r="A14" s="1264" t="s">
        <v>173</v>
      </c>
      <c r="B14" s="1265"/>
      <c r="C14" s="1266"/>
      <c r="D14" s="1266"/>
      <c r="E14" s="1266"/>
      <c r="F14" s="1266"/>
      <c r="G14" s="1266"/>
      <c r="H14" s="1266">
        <f t="shared" si="3"/>
        <v>0</v>
      </c>
      <c r="I14" s="1256"/>
      <c r="J14" s="1253"/>
      <c r="K14" s="1257">
        <f>IF(J14="Klas.",1,IF(J14="Hibr.",0.9,0.2))*$C$4*15*IF(I14="Beograd",IF(OR($C$3="Red. profesor",$C$3="Vanr. profesor",$C$3="Docent"),C14*Cenovnik!$D$106+Cenovnik!$D$104*H14,IF(OR($C$3="Doktor nauka",$C$3="Predavač",$C$3="Asistent",$C$3="Saradnik"),C14*Cenovnik!$D$105+Cenovnik!$D$104*H14,(C14+H14)*Cenovnik!$D$103)),IF(I14="Niš",IF(OR($C$3="Red. profesor",$C$3="Vanr. profesor",$C$3="Docent"),C14*Cenovnik!$D$114+Cenovnik!$D$111*H14,IF($C$3="Doktor nauka",C14*Cenovnik!$D$113+Cenovnik!$D$113*H14,IF(OR($C$3="Predavač",$C$3="Asistent",$C$3="Saradnik"),C14*Cenovnik!$D$112+H14*Cenovnik!$D$111,C14*Cenovnik!$D$110+Cenovnik!$D$109*H14))),0))</f>
        <v>0</v>
      </c>
      <c r="L14" s="1258">
        <f t="shared" si="0"/>
        <v>0</v>
      </c>
      <c r="M14" s="1223"/>
    </row>
    <row r="15" spans="1:13" ht="16.5" thickBot="1">
      <c r="A15" s="1267" t="s">
        <v>173</v>
      </c>
      <c r="B15" s="1268"/>
      <c r="C15" s="1269"/>
      <c r="D15" s="1269"/>
      <c r="E15" s="1269"/>
      <c r="F15" s="1269"/>
      <c r="G15" s="1269"/>
      <c r="H15" s="1231">
        <f t="shared" si="3"/>
        <v>0</v>
      </c>
      <c r="I15" s="1256"/>
      <c r="J15" s="1259"/>
      <c r="K15" s="1262">
        <f>IF(J15="Klas.",1,IF(J15="Hibr.",0.9,0.2))*$C$4*15*IF(I15="Beograd",IF(OR($C$3="Red. profesor",$C$3="Vanr. profesor",$C$3="Docent"),C15*Cenovnik!$D$106+Cenovnik!$D$104*H15,IF(OR($C$3="Doktor nauka",$C$3="Predavač",$C$3="Asistent",$C$3="Saradnik"),C15*Cenovnik!$D$105+Cenovnik!$D$104*H15,(C15+H15)*Cenovnik!$D$103)),IF(I15="Niš",IF(OR($C$3="Red. profesor",$C$3="Vanr. profesor",$C$3="Docent"),C15*Cenovnik!$D$114+Cenovnik!$D$111*H15,IF($C$3="Doktor nauka",C15*Cenovnik!$D$113+Cenovnik!$D$113*H15,IF(OR($C$3="Predavač",$C$3="Asistent",$C$3="Saradnik"),C15*Cenovnik!$D$112+H15*Cenovnik!$D$111,C15*Cenovnik!$D$110+Cenovnik!$D$109*H15))),0))</f>
        <v>0</v>
      </c>
      <c r="L15" s="1263">
        <f t="shared" si="0"/>
        <v>0</v>
      </c>
      <c r="M15" s="1223"/>
    </row>
    <row r="16" spans="1:13">
      <c r="A16" s="1270"/>
      <c r="B16" s="1223"/>
      <c r="C16" s="1270"/>
      <c r="D16" s="1270"/>
      <c r="E16" s="1270"/>
      <c r="F16" s="1270"/>
      <c r="G16" s="1270"/>
      <c r="H16" s="1271"/>
      <c r="I16" s="1223"/>
      <c r="J16" s="1223"/>
      <c r="K16" s="1223"/>
      <c r="L16" s="1223"/>
      <c r="M16" s="1223"/>
    </row>
    <row r="17" spans="1:13" ht="16.5" thickBot="1">
      <c r="A17" s="1270"/>
      <c r="B17" s="1223"/>
      <c r="C17" s="1223"/>
      <c r="D17" s="1223"/>
      <c r="E17" s="1270"/>
      <c r="F17" s="1271"/>
      <c r="G17" s="1223"/>
      <c r="H17" s="1223"/>
      <c r="I17" s="1223"/>
      <c r="J17" s="1223"/>
      <c r="K17" s="1223"/>
      <c r="L17" s="1223"/>
      <c r="M17" s="1223"/>
    </row>
    <row r="18" spans="1:13" ht="16.5" thickBot="1">
      <c r="A18" s="1270"/>
      <c r="B18" s="1272" t="s">
        <v>713</v>
      </c>
      <c r="C18" s="1273" t="s">
        <v>149</v>
      </c>
      <c r="D18" s="1246" t="s">
        <v>714</v>
      </c>
      <c r="E18" s="1270"/>
      <c r="F18" s="1271"/>
      <c r="G18" s="1223"/>
      <c r="H18" s="1223"/>
      <c r="I18" s="1223"/>
      <c r="J18" s="1223"/>
      <c r="K18" s="1223"/>
      <c r="L18" s="1223"/>
      <c r="M18" s="1223"/>
    </row>
    <row r="19" spans="1:13" ht="16.5" thickBot="1">
      <c r="A19" s="1223"/>
      <c r="B19" s="1274" t="s">
        <v>715</v>
      </c>
      <c r="C19" s="1275">
        <f>C20*Cenovnik!$B$3</f>
        <v>0</v>
      </c>
      <c r="D19" s="1276">
        <f>D20*Cenovnik!$B$3</f>
        <v>0</v>
      </c>
      <c r="E19" s="1223"/>
      <c r="F19" s="1223"/>
      <c r="G19" s="1223"/>
      <c r="H19" s="1223"/>
      <c r="I19" s="1223"/>
      <c r="J19" s="1223"/>
      <c r="K19" s="1223"/>
      <c r="L19" s="1223"/>
      <c r="M19" s="1223"/>
    </row>
    <row r="20" spans="1:13" ht="16.5" thickBot="1">
      <c r="A20" s="1270"/>
      <c r="B20" s="1274" t="s">
        <v>716</v>
      </c>
      <c r="C20" s="1275">
        <f>C21+C22</f>
        <v>0</v>
      </c>
      <c r="D20" s="1276">
        <f>D21+D22</f>
        <v>0</v>
      </c>
      <c r="E20" s="1270"/>
      <c r="F20" s="1271"/>
      <c r="G20" s="1223"/>
      <c r="H20" s="1223"/>
      <c r="I20" s="1223"/>
      <c r="J20" s="1223"/>
      <c r="K20" s="1223"/>
      <c r="L20" s="1223"/>
      <c r="M20" s="1223"/>
    </row>
    <row r="21" spans="1:13">
      <c r="A21" s="1270"/>
      <c r="B21" s="1277" t="s">
        <v>772</v>
      </c>
      <c r="C21" s="1278">
        <f>K5</f>
        <v>0</v>
      </c>
      <c r="D21" s="1279">
        <f>L5</f>
        <v>0</v>
      </c>
      <c r="E21" s="1270"/>
      <c r="F21" s="1271"/>
      <c r="G21" s="1223"/>
      <c r="H21" s="1223"/>
      <c r="I21" s="1223"/>
      <c r="J21" s="1223"/>
      <c r="K21" s="1223"/>
      <c r="L21" s="1223"/>
      <c r="M21" s="1223"/>
    </row>
    <row r="22" spans="1:13" ht="16.5" thickBot="1">
      <c r="A22" s="1270"/>
      <c r="B22" s="1280" t="s">
        <v>773</v>
      </c>
      <c r="C22" s="1281">
        <f>K6</f>
        <v>0</v>
      </c>
      <c r="D22" s="1282">
        <f>L6</f>
        <v>0</v>
      </c>
      <c r="E22" s="1270"/>
      <c r="F22" s="1271"/>
      <c r="G22" s="1233"/>
      <c r="H22" s="1223"/>
      <c r="I22" s="1223"/>
      <c r="J22" s="1223"/>
      <c r="K22" s="1223"/>
      <c r="L22" s="1223"/>
      <c r="M22" s="1223"/>
    </row>
    <row r="23" spans="1:13">
      <c r="A23" s="1270"/>
      <c r="B23" s="124"/>
      <c r="C23" s="1283"/>
      <c r="D23" s="1283"/>
      <c r="E23" s="1270"/>
      <c r="F23" s="1271"/>
      <c r="G23" s="1223"/>
      <c r="H23" s="1223"/>
      <c r="I23" s="1223"/>
      <c r="J23" s="1223"/>
      <c r="K23" s="1223"/>
      <c r="L23" s="1223"/>
      <c r="M23" s="1223"/>
    </row>
    <row r="24" spans="1:13">
      <c r="A24" s="130" t="s">
        <v>717</v>
      </c>
      <c r="B24" s="130"/>
      <c r="C24" s="1223"/>
      <c r="D24" s="1223"/>
      <c r="E24" s="1223"/>
      <c r="F24" s="1223"/>
      <c r="G24" s="1223"/>
      <c r="H24" s="1223"/>
      <c r="I24" s="1223"/>
      <c r="J24" s="1223"/>
      <c r="K24" s="1223"/>
      <c r="L24" s="1223"/>
      <c r="M24" s="1223"/>
    </row>
    <row r="25" spans="1:13">
      <c r="A25" s="1223" t="s">
        <v>718</v>
      </c>
      <c r="B25" s="1223"/>
      <c r="C25" s="1223"/>
      <c r="D25" s="1223"/>
      <c r="E25" s="1223"/>
      <c r="F25" s="1223"/>
      <c r="G25" s="1223"/>
      <c r="H25" s="1223"/>
      <c r="I25" s="1223"/>
      <c r="J25" s="1223"/>
      <c r="K25" s="1223"/>
      <c r="L25" s="1223"/>
      <c r="M25" s="1223"/>
    </row>
    <row r="26" spans="1:13">
      <c r="A26" s="1223" t="s">
        <v>719</v>
      </c>
      <c r="B26" s="1223"/>
      <c r="C26" s="1223"/>
      <c r="D26" s="1223"/>
      <c r="E26" s="1223"/>
      <c r="F26" s="1223"/>
      <c r="G26" s="1223"/>
      <c r="H26" s="1223"/>
      <c r="I26" s="1223"/>
      <c r="J26" s="1223"/>
      <c r="K26" s="1223"/>
      <c r="L26" s="1223"/>
      <c r="M26" s="1223"/>
    </row>
    <row r="27" spans="1:13">
      <c r="A27" s="1223" t="s">
        <v>720</v>
      </c>
      <c r="B27" s="1223"/>
      <c r="C27" s="1223"/>
      <c r="D27" s="1223"/>
      <c r="E27" s="1223"/>
      <c r="F27" s="1223"/>
      <c r="G27" s="1223"/>
      <c r="H27" s="1223"/>
      <c r="I27" s="1223"/>
      <c r="J27" s="1223"/>
      <c r="K27" s="1223"/>
      <c r="L27" s="1223"/>
      <c r="M27" s="1223"/>
    </row>
    <row r="28" spans="1:13">
      <c r="A28" s="1076"/>
      <c r="B28" s="1076"/>
      <c r="C28" s="1076"/>
      <c r="D28" s="1076"/>
      <c r="E28" s="1076"/>
      <c r="F28" s="1076"/>
      <c r="G28" s="1076"/>
      <c r="H28" s="1076"/>
      <c r="I28" s="1076"/>
      <c r="J28" s="1076"/>
      <c r="K28" s="1076"/>
      <c r="L28" s="1076"/>
      <c r="M28" s="1076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Liste!$E$2:$E$3</xm:f>
          </x14:formula1>
          <xm:sqref>I8:I14</xm:sqref>
        </x14:dataValidation>
        <x14:dataValidation type="list" allowBlank="1" showInputMessage="1" showErrorMessage="1">
          <x14:formula1>
            <xm:f>Liste!$A$2:$A$3</xm:f>
          </x14:formula1>
          <xm:sqref>A8:A14</xm:sqref>
        </x14:dataValidation>
        <x14:dataValidation type="list" allowBlank="1" showInputMessage="1" showErrorMessage="1">
          <x14:formula1>
            <xm:f>Liste!$D$2:$D$4</xm:f>
          </x14:formula1>
          <xm:sqref>J8:J14</xm:sqref>
        </x14:dataValidation>
        <x14:dataValidation type="list" allowBlank="1" showInputMessage="1" showErrorMessage="1">
          <x14:formula1>
            <xm:f>Liste!$G$2:$G$5</xm:f>
          </x14:formula1>
          <xm:sqref>C4</xm:sqref>
        </x14:dataValidation>
        <x14:dataValidation type="list" allowBlank="1" showInputMessage="1" showErrorMessage="1">
          <x14:formula1>
            <xm:f>Liste!$F$2:$F$9</xm:f>
          </x14:formula1>
          <xm:sqref>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Angazovanje FIT</vt:lpstr>
      <vt:lpstr>Cenovnik</vt:lpstr>
      <vt:lpstr>Kriterijumi obračuna faktora AH</vt:lpstr>
      <vt:lpstr>Zarade nastavmika-RO</vt:lpstr>
      <vt:lpstr>Zarade saradnika-RO</vt:lpstr>
      <vt:lpstr>Zarada nastavnika-HO</vt:lpstr>
      <vt:lpstr>Zarada saradnika-HO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Domazet</dc:creator>
  <cp:lastModifiedBy>Milica</cp:lastModifiedBy>
  <dcterms:created xsi:type="dcterms:W3CDTF">2016-08-25T13:16:10Z</dcterms:created>
  <dcterms:modified xsi:type="dcterms:W3CDTF">2017-01-23T14:20:35Z</dcterms:modified>
</cp:coreProperties>
</file>