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indsharma/Developer/PlatformIO/Projects/Wireless Charger/Simulation and Modelling/"/>
    </mc:Choice>
  </mc:AlternateContent>
  <xr:revisionPtr revIDLastSave="0" documentId="8_{79F11A0C-EAAC-2F43-9B21-296F69790969}" xr6:coauthVersionLast="47" xr6:coauthVersionMax="47" xr10:uidLastSave="{00000000-0000-0000-0000-000000000000}"/>
  <bookViews>
    <workbookView xWindow="0" yWindow="760" windowWidth="25800" windowHeight="18880" xr2:uid="{50505BFB-20DD-AF49-8584-4BAC5C844F98}"/>
  </bookViews>
  <sheets>
    <sheet name="General Design" sheetId="1" r:id="rId1"/>
    <sheet name="Sheet5" sheetId="5" r:id="rId2"/>
    <sheet name="Testing" sheetId="4" r:id="rId3"/>
    <sheet name="Comp. Network Capacitan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4" l="1" a="1"/>
  <c r="B23" i="4" s="1"/>
  <c r="F36" i="1"/>
  <c r="Y64" i="5"/>
  <c r="V64" i="5"/>
  <c r="U64" i="5"/>
  <c r="Z64" i="5" s="1"/>
  <c r="W64" i="5" s="1"/>
  <c r="T64" i="5"/>
  <c r="X64" i="5" s="1"/>
  <c r="Z63" i="5"/>
  <c r="W63" i="5" s="1"/>
  <c r="Y63" i="5"/>
  <c r="V63" i="5"/>
  <c r="U63" i="5"/>
  <c r="T63" i="5"/>
  <c r="X63" i="5" s="1"/>
  <c r="Y62" i="5"/>
  <c r="Z62" i="5" s="1"/>
  <c r="W62" i="5" s="1"/>
  <c r="V62" i="5"/>
  <c r="U62" i="5"/>
  <c r="T62" i="5" s="1"/>
  <c r="X62" i="5" s="1"/>
  <c r="Y61" i="5"/>
  <c r="Z61" i="5" s="1"/>
  <c r="W61" i="5" s="1"/>
  <c r="X61" i="5"/>
  <c r="V61" i="5"/>
  <c r="U61" i="5"/>
  <c r="T61" i="5"/>
  <c r="Y60" i="5"/>
  <c r="Z60" i="5" s="1"/>
  <c r="W60" i="5" s="1"/>
  <c r="X60" i="5"/>
  <c r="V60" i="5"/>
  <c r="U60" i="5"/>
  <c r="T60" i="5"/>
  <c r="Z59" i="5"/>
  <c r="Y59" i="5"/>
  <c r="W59" i="5"/>
  <c r="V59" i="5"/>
  <c r="U59" i="5"/>
  <c r="T59" i="5" s="1"/>
  <c r="X59" i="5" s="1"/>
  <c r="Y58" i="5"/>
  <c r="V58" i="5"/>
  <c r="U58" i="5"/>
  <c r="T58" i="5" s="1"/>
  <c r="X58" i="5" s="1"/>
  <c r="Y57" i="5"/>
  <c r="V57" i="5"/>
  <c r="U57" i="5"/>
  <c r="Z57" i="5" s="1"/>
  <c r="W57" i="5" s="1"/>
  <c r="T57" i="5"/>
  <c r="X57" i="5" s="1"/>
  <c r="Y56" i="5"/>
  <c r="V56" i="5"/>
  <c r="U56" i="5"/>
  <c r="Z56" i="5" s="1"/>
  <c r="W56" i="5" s="1"/>
  <c r="T56" i="5"/>
  <c r="X56" i="5" s="1"/>
  <c r="Z55" i="5"/>
  <c r="W55" i="5" s="1"/>
  <c r="Y55" i="5"/>
  <c r="V55" i="5"/>
  <c r="U55" i="5"/>
  <c r="T55" i="5"/>
  <c r="X55" i="5" s="1"/>
  <c r="Y54" i="5"/>
  <c r="Z54" i="5" s="1"/>
  <c r="W54" i="5" s="1"/>
  <c r="V54" i="5"/>
  <c r="U54" i="5"/>
  <c r="T54" i="5" s="1"/>
  <c r="X54" i="5" s="1"/>
  <c r="Y53" i="5"/>
  <c r="Z53" i="5" s="1"/>
  <c r="W53" i="5" s="1"/>
  <c r="X53" i="5"/>
  <c r="V53" i="5"/>
  <c r="U53" i="5"/>
  <c r="T53" i="5"/>
  <c r="Y52" i="5"/>
  <c r="Z52" i="5" s="1"/>
  <c r="W52" i="5" s="1"/>
  <c r="X52" i="5"/>
  <c r="V52" i="5"/>
  <c r="U52" i="5"/>
  <c r="T52" i="5"/>
  <c r="Z51" i="5"/>
  <c r="Y51" i="5"/>
  <c r="W51" i="5"/>
  <c r="V51" i="5"/>
  <c r="U51" i="5"/>
  <c r="T51" i="5" s="1"/>
  <c r="X51" i="5" s="1"/>
  <c r="Y50" i="5"/>
  <c r="V50" i="5"/>
  <c r="U50" i="5"/>
  <c r="T50" i="5" s="1"/>
  <c r="X50" i="5" s="1"/>
  <c r="Y49" i="5"/>
  <c r="V49" i="5"/>
  <c r="U49" i="5"/>
  <c r="Z49" i="5" s="1"/>
  <c r="W49" i="5" s="1"/>
  <c r="T49" i="5"/>
  <c r="X49" i="5" s="1"/>
  <c r="Y48" i="5"/>
  <c r="V48" i="5"/>
  <c r="U48" i="5"/>
  <c r="Z48" i="5" s="1"/>
  <c r="W48" i="5" s="1"/>
  <c r="T48" i="5"/>
  <c r="X48" i="5" s="1"/>
  <c r="Z47" i="5"/>
  <c r="W47" i="5" s="1"/>
  <c r="Y47" i="5"/>
  <c r="V47" i="5"/>
  <c r="U47" i="5"/>
  <c r="T47" i="5"/>
  <c r="X47" i="5" s="1"/>
  <c r="Y46" i="5"/>
  <c r="Z46" i="5" s="1"/>
  <c r="W46" i="5" s="1"/>
  <c r="V46" i="5"/>
  <c r="U46" i="5"/>
  <c r="T46" i="5" s="1"/>
  <c r="X46" i="5" s="1"/>
  <c r="Y45" i="5"/>
  <c r="Z45" i="5" s="1"/>
  <c r="W45" i="5" s="1"/>
  <c r="X45" i="5"/>
  <c r="V45" i="5"/>
  <c r="U45" i="5"/>
  <c r="T45" i="5"/>
  <c r="Y44" i="5"/>
  <c r="Z44" i="5" s="1"/>
  <c r="W44" i="5" s="1"/>
  <c r="X44" i="5"/>
  <c r="V44" i="5"/>
  <c r="U44" i="5"/>
  <c r="T44" i="5"/>
  <c r="Z43" i="5"/>
  <c r="Y43" i="5"/>
  <c r="W43" i="5"/>
  <c r="V43" i="5"/>
  <c r="U43" i="5"/>
  <c r="T43" i="5" s="1"/>
  <c r="X43" i="5" s="1"/>
  <c r="Y42" i="5"/>
  <c r="V42" i="5"/>
  <c r="U42" i="5"/>
  <c r="T42" i="5" s="1"/>
  <c r="X42" i="5" s="1"/>
  <c r="Y41" i="5"/>
  <c r="V41" i="5"/>
  <c r="U41" i="5"/>
  <c r="Z41" i="5" s="1"/>
  <c r="W41" i="5" s="1"/>
  <c r="T41" i="5"/>
  <c r="X41" i="5" s="1"/>
  <c r="Y40" i="5"/>
  <c r="V40" i="5"/>
  <c r="U40" i="5"/>
  <c r="Z40" i="5" s="1"/>
  <c r="W40" i="5" s="1"/>
  <c r="T40" i="5"/>
  <c r="X40" i="5" s="1"/>
  <c r="Z39" i="5"/>
  <c r="W39" i="5" s="1"/>
  <c r="Y39" i="5"/>
  <c r="V39" i="5"/>
  <c r="U39" i="5"/>
  <c r="T39" i="5"/>
  <c r="X39" i="5" s="1"/>
  <c r="Y38" i="5"/>
  <c r="Z38" i="5" s="1"/>
  <c r="W38" i="5" s="1"/>
  <c r="V38" i="5"/>
  <c r="U38" i="5"/>
  <c r="T38" i="5" s="1"/>
  <c r="X38" i="5" s="1"/>
  <c r="Y37" i="5"/>
  <c r="Z37" i="5" s="1"/>
  <c r="W37" i="5" s="1"/>
  <c r="X37" i="5"/>
  <c r="V37" i="5"/>
  <c r="U37" i="5"/>
  <c r="T37" i="5"/>
  <c r="Y36" i="5"/>
  <c r="Z36" i="5" s="1"/>
  <c r="W36" i="5" s="1"/>
  <c r="X36" i="5"/>
  <c r="V36" i="5"/>
  <c r="U36" i="5"/>
  <c r="T36" i="5"/>
  <c r="Z35" i="5"/>
  <c r="Y35" i="5"/>
  <c r="W35" i="5"/>
  <c r="V35" i="5"/>
  <c r="U35" i="5"/>
  <c r="T35" i="5" s="1"/>
  <c r="X35" i="5" s="1"/>
  <c r="Y34" i="5"/>
  <c r="V34" i="5"/>
  <c r="U34" i="5"/>
  <c r="T34" i="5" s="1"/>
  <c r="X34" i="5" s="1"/>
  <c r="Y33" i="5"/>
  <c r="V33" i="5"/>
  <c r="U33" i="5"/>
  <c r="Z33" i="5" s="1"/>
  <c r="W33" i="5" s="1"/>
  <c r="T33" i="5"/>
  <c r="X33" i="5" s="1"/>
  <c r="Y32" i="5"/>
  <c r="V32" i="5"/>
  <c r="U32" i="5"/>
  <c r="Z32" i="5" s="1"/>
  <c r="W32" i="5" s="1"/>
  <c r="T32" i="5"/>
  <c r="X32" i="5" s="1"/>
  <c r="Z31" i="5"/>
  <c r="W31" i="5" s="1"/>
  <c r="Y31" i="5"/>
  <c r="V31" i="5"/>
  <c r="U31" i="5"/>
  <c r="T31" i="5"/>
  <c r="X31" i="5" s="1"/>
  <c r="Y30" i="5"/>
  <c r="Z30" i="5" s="1"/>
  <c r="W30" i="5" s="1"/>
  <c r="V30" i="5"/>
  <c r="U30" i="5"/>
  <c r="T30" i="5" s="1"/>
  <c r="X30" i="5" s="1"/>
  <c r="Y29" i="5"/>
  <c r="Z29" i="5" s="1"/>
  <c r="W29" i="5" s="1"/>
  <c r="X29" i="5"/>
  <c r="V29" i="5"/>
  <c r="U29" i="5"/>
  <c r="T29" i="5"/>
  <c r="Y28" i="5"/>
  <c r="Z28" i="5" s="1"/>
  <c r="W28" i="5" s="1"/>
  <c r="X28" i="5"/>
  <c r="V28" i="5"/>
  <c r="U28" i="5"/>
  <c r="T28" i="5"/>
  <c r="Z27" i="5"/>
  <c r="Y27" i="5"/>
  <c r="W27" i="5"/>
  <c r="V27" i="5"/>
  <c r="U27" i="5"/>
  <c r="T27" i="5" s="1"/>
  <c r="X27" i="5" s="1"/>
  <c r="AD9" i="5"/>
  <c r="AE9" i="5"/>
  <c r="AF9" i="5"/>
  <c r="AG9" i="5"/>
  <c r="AH9" i="5"/>
  <c r="AI9" i="5"/>
  <c r="AJ9" i="5"/>
  <c r="AK9" i="5"/>
  <c r="AL9" i="5"/>
  <c r="AM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B9" i="5"/>
  <c r="AG6" i="5"/>
  <c r="AG5" i="5" s="1"/>
  <c r="AH6" i="5"/>
  <c r="AH5" i="5" s="1"/>
  <c r="AI6" i="5"/>
  <c r="AI5" i="5" s="1"/>
  <c r="AJ6" i="5"/>
  <c r="AJ5" i="5" s="1"/>
  <c r="AK6" i="5"/>
  <c r="AK5" i="5" s="1"/>
  <c r="AL6" i="5"/>
  <c r="AL5" i="5" s="1"/>
  <c r="AM6" i="5"/>
  <c r="AM5" i="5" s="1"/>
  <c r="AG7" i="5"/>
  <c r="AH7" i="5"/>
  <c r="AI7" i="5"/>
  <c r="AJ7" i="5"/>
  <c r="AK7" i="5"/>
  <c r="AL7" i="5"/>
  <c r="AM7" i="5"/>
  <c r="AG10" i="5"/>
  <c r="AH10" i="5"/>
  <c r="AI10" i="5"/>
  <c r="AJ10" i="5"/>
  <c r="AK10" i="5"/>
  <c r="AL10" i="5"/>
  <c r="AM10" i="5"/>
  <c r="AG11" i="5"/>
  <c r="AG8" i="5" s="1"/>
  <c r="AH11" i="5"/>
  <c r="AH8" i="5" s="1"/>
  <c r="AI11" i="5"/>
  <c r="AI8" i="5" s="1"/>
  <c r="AJ11" i="5"/>
  <c r="AJ8" i="5" s="1"/>
  <c r="AL11" i="5"/>
  <c r="AL8" i="5" s="1"/>
  <c r="AM11" i="5"/>
  <c r="AM8" i="5" s="1"/>
  <c r="U5" i="5"/>
  <c r="V5" i="5"/>
  <c r="AC5" i="5"/>
  <c r="AD5" i="5"/>
  <c r="O6" i="5"/>
  <c r="O5" i="5" s="1"/>
  <c r="P6" i="5"/>
  <c r="P5" i="5" s="1"/>
  <c r="Q6" i="5"/>
  <c r="Q5" i="5" s="1"/>
  <c r="R6" i="5"/>
  <c r="R5" i="5" s="1"/>
  <c r="S6" i="5"/>
  <c r="S5" i="5" s="1"/>
  <c r="T6" i="5"/>
  <c r="T5" i="5" s="1"/>
  <c r="U6" i="5"/>
  <c r="V6" i="5"/>
  <c r="W6" i="5"/>
  <c r="W5" i="5" s="1"/>
  <c r="X6" i="5"/>
  <c r="X5" i="5" s="1"/>
  <c r="Y6" i="5"/>
  <c r="Y5" i="5" s="1"/>
  <c r="Z6" i="5"/>
  <c r="Z5" i="5" s="1"/>
  <c r="AA6" i="5"/>
  <c r="AA5" i="5" s="1"/>
  <c r="AB6" i="5"/>
  <c r="AB5" i="5" s="1"/>
  <c r="AC6" i="5"/>
  <c r="AD6" i="5"/>
  <c r="AE6" i="5"/>
  <c r="AE5" i="5" s="1"/>
  <c r="AF6" i="5"/>
  <c r="AF5" i="5" s="1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X8" i="5"/>
  <c r="O10" i="5"/>
  <c r="P10" i="5"/>
  <c r="Q10" i="5"/>
  <c r="R10" i="5"/>
  <c r="S10" i="5"/>
  <c r="T10" i="5"/>
  <c r="U10" i="5"/>
  <c r="U11" i="5" s="1"/>
  <c r="U8" i="5" s="1"/>
  <c r="V10" i="5"/>
  <c r="V11" i="5" s="1"/>
  <c r="V8" i="5" s="1"/>
  <c r="W10" i="5"/>
  <c r="X10" i="5"/>
  <c r="Y10" i="5"/>
  <c r="Z10" i="5"/>
  <c r="AA10" i="5"/>
  <c r="AB10" i="5"/>
  <c r="AC10" i="5"/>
  <c r="AC11" i="5" s="1"/>
  <c r="AC8" i="5" s="1"/>
  <c r="AD10" i="5"/>
  <c r="AD11" i="5" s="1"/>
  <c r="AD8" i="5" s="1"/>
  <c r="AE10" i="5"/>
  <c r="AF10" i="5"/>
  <c r="O11" i="5"/>
  <c r="O8" i="5" s="1"/>
  <c r="P11" i="5"/>
  <c r="P8" i="5" s="1"/>
  <c r="Q11" i="5"/>
  <c r="Q8" i="5" s="1"/>
  <c r="R11" i="5"/>
  <c r="R8" i="5" s="1"/>
  <c r="S11" i="5"/>
  <c r="S8" i="5" s="1"/>
  <c r="T11" i="5"/>
  <c r="T8" i="5" s="1"/>
  <c r="W11" i="5"/>
  <c r="W8" i="5" s="1"/>
  <c r="X11" i="5"/>
  <c r="Y11" i="5"/>
  <c r="Y8" i="5" s="1"/>
  <c r="Z11" i="5"/>
  <c r="Z8" i="5" s="1"/>
  <c r="AA11" i="5"/>
  <c r="AA8" i="5" s="1"/>
  <c r="AB11" i="5"/>
  <c r="AB8" i="5" s="1"/>
  <c r="AE11" i="5"/>
  <c r="AE8" i="5" s="1"/>
  <c r="AF11" i="5"/>
  <c r="AF8" i="5" s="1"/>
  <c r="I5" i="5"/>
  <c r="L5" i="5"/>
  <c r="M5" i="5"/>
  <c r="H6" i="5"/>
  <c r="H5" i="5" s="1"/>
  <c r="I6" i="5"/>
  <c r="J6" i="5"/>
  <c r="J5" i="5" s="1"/>
  <c r="K6" i="5"/>
  <c r="K5" i="5" s="1"/>
  <c r="L6" i="5"/>
  <c r="M6" i="5"/>
  <c r="M11" i="5" s="1"/>
  <c r="M8" i="5" s="1"/>
  <c r="N6" i="5"/>
  <c r="N11" i="5" s="1"/>
  <c r="N8" i="5" s="1"/>
  <c r="H7" i="5"/>
  <c r="I7" i="5"/>
  <c r="J7" i="5"/>
  <c r="K7" i="5"/>
  <c r="L7" i="5"/>
  <c r="M7" i="5"/>
  <c r="N7" i="5"/>
  <c r="H10" i="5"/>
  <c r="I10" i="5"/>
  <c r="I11" i="5" s="1"/>
  <c r="I8" i="5" s="1"/>
  <c r="J10" i="5"/>
  <c r="J11" i="5" s="1"/>
  <c r="J8" i="5" s="1"/>
  <c r="K10" i="5"/>
  <c r="K11" i="5" s="1"/>
  <c r="K8" i="5" s="1"/>
  <c r="L10" i="5"/>
  <c r="M10" i="5"/>
  <c r="N10" i="5"/>
  <c r="L11" i="5"/>
  <c r="L8" i="5" s="1"/>
  <c r="E6" i="5"/>
  <c r="E5" i="5" s="1"/>
  <c r="F6" i="5"/>
  <c r="F5" i="5" s="1"/>
  <c r="G6" i="5"/>
  <c r="G11" i="5" s="1"/>
  <c r="G8" i="5" s="1"/>
  <c r="E7" i="5"/>
  <c r="F7" i="5"/>
  <c r="G7" i="5"/>
  <c r="E10" i="5"/>
  <c r="F10" i="5"/>
  <c r="G10" i="5"/>
  <c r="F11" i="5"/>
  <c r="F8" i="5" s="1"/>
  <c r="C6" i="5"/>
  <c r="C5" i="5" s="1"/>
  <c r="D6" i="5"/>
  <c r="C7" i="5"/>
  <c r="D7" i="5"/>
  <c r="C10" i="5"/>
  <c r="C11" i="5" s="1"/>
  <c r="C8" i="5" s="1"/>
  <c r="D10" i="5"/>
  <c r="B10" i="5"/>
  <c r="B6" i="5"/>
  <c r="B5" i="5" s="1"/>
  <c r="B7" i="5"/>
  <c r="B21" i="1"/>
  <c r="B22" i="1"/>
  <c r="B20" i="1"/>
  <c r="H14" i="4"/>
  <c r="D14" i="4"/>
  <c r="I14" i="4" s="1"/>
  <c r="H12" i="4"/>
  <c r="D12" i="4"/>
  <c r="C8" i="4"/>
  <c r="D8" i="4" s="1"/>
  <c r="H8" i="4"/>
  <c r="H7" i="4"/>
  <c r="C6" i="4"/>
  <c r="D6" i="4" s="1"/>
  <c r="C7" i="4"/>
  <c r="D7" i="4" s="1"/>
  <c r="H6" i="4"/>
  <c r="C5" i="4"/>
  <c r="D5" i="4" s="1"/>
  <c r="C4" i="4"/>
  <c r="D4" i="4" s="1"/>
  <c r="H18" i="4"/>
  <c r="H4" i="4"/>
  <c r="H5" i="4"/>
  <c r="D18" i="4"/>
  <c r="D16" i="4"/>
  <c r="H16" i="4"/>
  <c r="H11" i="1"/>
  <c r="F39" i="1"/>
  <c r="B3" i="3"/>
  <c r="D37" i="1"/>
  <c r="F37" i="1" s="1"/>
  <c r="D38" i="1"/>
  <c r="H12" i="1" s="1"/>
  <c r="D39" i="1"/>
  <c r="D40" i="1"/>
  <c r="F40" i="1" s="1"/>
  <c r="D41" i="1"/>
  <c r="F41" i="1" s="1"/>
  <c r="D36" i="1"/>
  <c r="H3" i="3"/>
  <c r="H2" i="3" s="1"/>
  <c r="E3" i="3"/>
  <c r="B2" i="3"/>
  <c r="C32" i="1"/>
  <c r="B32" i="1"/>
  <c r="H20" i="1"/>
  <c r="H5" i="1"/>
  <c r="C3" i="1"/>
  <c r="E11" i="1" s="1"/>
  <c r="B26" i="1"/>
  <c r="C26" i="1"/>
  <c r="C17" i="1"/>
  <c r="C21" i="1" s="1"/>
  <c r="H3" i="1"/>
  <c r="C11" i="1"/>
  <c r="D11" i="1" s="1"/>
  <c r="I5" i="4" l="1"/>
  <c r="I8" i="4"/>
  <c r="I12" i="4"/>
  <c r="I18" i="4"/>
  <c r="I4" i="4"/>
  <c r="I16" i="4"/>
  <c r="I7" i="4"/>
  <c r="Z34" i="5"/>
  <c r="W34" i="5" s="1"/>
  <c r="Z58" i="5"/>
  <c r="W58" i="5" s="1"/>
  <c r="Z42" i="5"/>
  <c r="W42" i="5" s="1"/>
  <c r="Z50" i="5"/>
  <c r="W50" i="5" s="1"/>
  <c r="AK11" i="5"/>
  <c r="AK8" i="5" s="1"/>
  <c r="N5" i="5"/>
  <c r="H11" i="5"/>
  <c r="H8" i="5" s="1"/>
  <c r="E11" i="5"/>
  <c r="E8" i="5" s="1"/>
  <c r="G5" i="5"/>
  <c r="D11" i="5"/>
  <c r="D8" i="5" s="1"/>
  <c r="B11" i="5"/>
  <c r="B8" i="5" s="1"/>
  <c r="D5" i="5"/>
  <c r="F38" i="1"/>
  <c r="H13" i="1" s="1"/>
  <c r="I6" i="4"/>
  <c r="E2" i="3"/>
  <c r="H14" i="1"/>
  <c r="C27" i="1"/>
  <c r="C23" i="1" s="1"/>
  <c r="C20" i="1"/>
  <c r="B27" i="1"/>
  <c r="C22" i="1"/>
  <c r="B23" i="1" l="1"/>
  <c r="B25" i="1" s="1"/>
  <c r="C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<sst xmlns="http://schemas.openxmlformats.org/spreadsheetml/2006/main" count="175" uniqueCount="109">
  <si>
    <t>Charging End Requirements</t>
  </si>
  <si>
    <t>Max Current (A)</t>
  </si>
  <si>
    <t>Nominal Voltage (V)</t>
  </si>
  <si>
    <t>Rectifier Characteristics</t>
  </si>
  <si>
    <t>Total V drop (V)</t>
  </si>
  <si>
    <t>Coil Characteristics</t>
  </si>
  <si>
    <t>Primary Coil</t>
  </si>
  <si>
    <t xml:space="preserve">Secondary Coil </t>
  </si>
  <si>
    <t>I in (A)</t>
  </si>
  <si>
    <t>No. of turns</t>
  </si>
  <si>
    <t xml:space="preserve">Litz Wire Characteristics </t>
  </si>
  <si>
    <t>Type</t>
  </si>
  <si>
    <t>spiral planar</t>
  </si>
  <si>
    <t>System Constants</t>
  </si>
  <si>
    <t>0.1 x 350</t>
  </si>
  <si>
    <t>capacitance (nF)</t>
  </si>
  <si>
    <t>mm</t>
  </si>
  <si>
    <t>m^2</t>
  </si>
  <si>
    <t>nF</t>
  </si>
  <si>
    <t xml:space="preserve">Inner diameter </t>
  </si>
  <si>
    <t xml:space="preserve">Turn spacing </t>
  </si>
  <si>
    <t>Outer diameter</t>
  </si>
  <si>
    <t>Unit</t>
  </si>
  <si>
    <t>Shape</t>
  </si>
  <si>
    <t>m</t>
  </si>
  <si>
    <t>wire length (approx)</t>
  </si>
  <si>
    <t>Resonant frequency</t>
  </si>
  <si>
    <t>µH</t>
  </si>
  <si>
    <t>kHz</t>
  </si>
  <si>
    <t>width (hidden)</t>
  </si>
  <si>
    <t>radius (hidden)</t>
  </si>
  <si>
    <t>source for calculation of inductance etc: https://kaizerpowerelectronics.dk/calculators/spiral-coil-calculator/</t>
  </si>
  <si>
    <t>Output Power (W)</t>
  </si>
  <si>
    <t>Coil area</t>
  </si>
  <si>
    <t>Inductance L</t>
  </si>
  <si>
    <t xml:space="preserve">Coupling Factor k </t>
  </si>
  <si>
    <t>Coil Voltage-Current Relationships</t>
  </si>
  <si>
    <t>copper resistivity</t>
  </si>
  <si>
    <t>strand diameter</t>
  </si>
  <si>
    <t>Measured Characteristics</t>
  </si>
  <si>
    <t>Series inductance Ls</t>
  </si>
  <si>
    <t>Series resistance Rs</t>
  </si>
  <si>
    <t>mOHm</t>
  </si>
  <si>
    <t>Theoretical Characteristics</t>
  </si>
  <si>
    <t>Required capacitance</t>
  </si>
  <si>
    <t>Power Losses (W)</t>
  </si>
  <si>
    <t>AC V in. (V)</t>
  </si>
  <si>
    <t>Power In</t>
  </si>
  <si>
    <t>Ls + Lp + 2M</t>
  </si>
  <si>
    <t>M</t>
  </si>
  <si>
    <t>unit</t>
  </si>
  <si>
    <t>Spacer height (cm)</t>
  </si>
  <si>
    <t>Ls + Lp - 2M</t>
  </si>
  <si>
    <t>Compensation Network</t>
  </si>
  <si>
    <t>General Constants</t>
  </si>
  <si>
    <t>DC-DC Boost Converter Characteristics</t>
  </si>
  <si>
    <t>Diode Fwd. V. drop (V)</t>
  </si>
  <si>
    <t xml:space="preserve">Req. resonant freqency </t>
  </si>
  <si>
    <t>Efficiency (%)</t>
  </si>
  <si>
    <t>Vin (V)</t>
  </si>
  <si>
    <t>Vout (V)</t>
  </si>
  <si>
    <t>P in (W)</t>
  </si>
  <si>
    <t>P out (W)</t>
  </si>
  <si>
    <t>H/m</t>
  </si>
  <si>
    <t xml:space="preserve">µ0 </t>
  </si>
  <si>
    <t>µm</t>
  </si>
  <si>
    <t xml:space="preserve">Mutual Inductance </t>
  </si>
  <si>
    <t>Ohm m</t>
  </si>
  <si>
    <t>wire diameter</t>
  </si>
  <si>
    <t>µr copper</t>
  </si>
  <si>
    <t>µr air</t>
  </si>
  <si>
    <t>Cp</t>
  </si>
  <si>
    <t>Ct</t>
  </si>
  <si>
    <t>sec./pri. ratio</t>
  </si>
  <si>
    <t xml:space="preserve">Coil separation  </t>
  </si>
  <si>
    <t xml:space="preserve">Skin effect </t>
  </si>
  <si>
    <t>Operating freq.</t>
  </si>
  <si>
    <t>Cr</t>
  </si>
  <si>
    <t>C1</t>
  </si>
  <si>
    <t>C2</t>
  </si>
  <si>
    <t>C3</t>
  </si>
  <si>
    <t>Result</t>
  </si>
  <si>
    <t>C4</t>
  </si>
  <si>
    <t>Remaining</t>
  </si>
  <si>
    <t>C5</t>
  </si>
  <si>
    <t>C6</t>
  </si>
  <si>
    <t>Mutual Inductance Measurements</t>
  </si>
  <si>
    <t xml:space="preserve">Lp </t>
  </si>
  <si>
    <t>C7</t>
  </si>
  <si>
    <t>coupling factor k</t>
  </si>
  <si>
    <t>Coil Seperation Distance</t>
  </si>
  <si>
    <t>short circuit</t>
  </si>
  <si>
    <t>open circuit</t>
  </si>
  <si>
    <t>5 V test</t>
  </si>
  <si>
    <t>10 V test</t>
  </si>
  <si>
    <t>Efficiency Test</t>
  </si>
  <si>
    <t>15 V test</t>
  </si>
  <si>
    <t>efficiency (%)</t>
  </si>
  <si>
    <t>I out (A)</t>
  </si>
  <si>
    <t>V out (V)</t>
  </si>
  <si>
    <t>20 V test</t>
  </si>
  <si>
    <t>load (ohms)</t>
  </si>
  <si>
    <t>INF</t>
  </si>
  <si>
    <t>resistance R</t>
  </si>
  <si>
    <t>diameter</t>
  </si>
  <si>
    <t>turn spacing</t>
  </si>
  <si>
    <t>resistance/m</t>
  </si>
  <si>
    <t>mOhm/m</t>
  </si>
  <si>
    <t>25 V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</si>
</sst>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40404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3"/>
      <color theme="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4506668294322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0" borderId="16" applyNumberFormat="0" applyFill="0" applyAlignment="0" applyProtection="0"/>
    <xf numFmtId="0" fontId="8" fillId="10" borderId="17" applyNumberFormat="0" applyAlignment="0" applyProtection="0"/>
    <xf numFmtId="0" fontId="9" fillId="16" borderId="18" applyNumberFormat="0" applyAlignment="0" applyProtection="0"/>
    <xf numFmtId="0" fontId="10" fillId="11" borderId="17" applyNumberForma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3" fillId="0" borderId="0" xfId="2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2" borderId="4" xfId="3" applyBorder="1"/>
    <xf numFmtId="2" fontId="5" fillId="0" borderId="4" xfId="0" applyNumberFormat="1" applyFont="1" applyBorder="1"/>
    <xf numFmtId="2" fontId="5" fillId="0" borderId="6" xfId="0" applyNumberFormat="1" applyFont="1" applyBorder="1"/>
    <xf numFmtId="0" fontId="1" fillId="2" borderId="14" xfId="3" applyNumberFormat="1" applyBorder="1"/>
    <xf numFmtId="0" fontId="1" fillId="2" borderId="14" xfId="3" applyBorder="1"/>
    <xf numFmtId="2" fontId="5" fillId="0" borderId="14" xfId="0" applyNumberFormat="1" applyFont="1" applyBorder="1"/>
    <xf numFmtId="2" fontId="6" fillId="0" borderId="15" xfId="0" applyNumberFormat="1" applyFont="1" applyBorder="1"/>
    <xf numFmtId="0" fontId="0" fillId="0" borderId="4" xfId="0" applyBorder="1" applyAlignment="1">
      <alignment horizontal="center"/>
    </xf>
    <xf numFmtId="0" fontId="1" fillId="2" borderId="5" xfId="3" applyBorder="1" applyAlignment="1">
      <alignment horizontal="center"/>
    </xf>
    <xf numFmtId="2" fontId="1" fillId="2" borderId="4" xfId="3" applyNumberFormat="1" applyBorder="1"/>
    <xf numFmtId="2" fontId="1" fillId="2" borderId="14" xfId="3" applyNumberFormat="1" applyBorder="1"/>
    <xf numFmtId="0" fontId="1" fillId="2" borderId="14" xfId="3" applyBorder="1" applyAlignment="1">
      <alignment horizontal="center"/>
    </xf>
    <xf numFmtId="0" fontId="1" fillId="2" borderId="2" xfId="3" applyBorder="1"/>
    <xf numFmtId="0" fontId="1" fillId="2" borderId="13" xfId="3" applyBorder="1"/>
    <xf numFmtId="0" fontId="1" fillId="2" borderId="3" xfId="3" applyBorder="1" applyAlignment="1">
      <alignment horizontal="center"/>
    </xf>
    <xf numFmtId="0" fontId="1" fillId="2" borderId="6" xfId="3" applyBorder="1"/>
    <xf numFmtId="0" fontId="1" fillId="2" borderId="15" xfId="3" applyBorder="1"/>
    <xf numFmtId="0" fontId="1" fillId="2" borderId="7" xfId="3" applyBorder="1" applyAlignment="1">
      <alignment horizontal="center"/>
    </xf>
    <xf numFmtId="0" fontId="1" fillId="6" borderId="0" xfId="6" applyBorder="1"/>
    <xf numFmtId="0" fontId="8" fillId="10" borderId="17" xfId="9"/>
    <xf numFmtId="0" fontId="8" fillId="10" borderId="17" xfId="9" applyAlignment="1">
      <alignment horizontal="center"/>
    </xf>
    <xf numFmtId="2" fontId="8" fillId="10" borderId="17" xfId="9" applyNumberFormat="1"/>
    <xf numFmtId="0" fontId="9" fillId="16" borderId="18" xfId="10"/>
    <xf numFmtId="0" fontId="9" fillId="16" borderId="18" xfId="10" applyAlignment="1">
      <alignment horizontal="center"/>
    </xf>
    <xf numFmtId="2" fontId="9" fillId="16" borderId="18" xfId="10" applyNumberFormat="1"/>
    <xf numFmtId="0" fontId="1" fillId="2" borderId="0" xfId="3" applyBorder="1"/>
    <xf numFmtId="0" fontId="1" fillId="2" borderId="0" xfId="3" applyBorder="1" applyAlignment="1">
      <alignment horizontal="center"/>
    </xf>
    <xf numFmtId="0" fontId="8" fillId="10" borderId="20" xfId="9" applyBorder="1"/>
    <xf numFmtId="0" fontId="8" fillId="10" borderId="21" xfId="9" applyBorder="1"/>
    <xf numFmtId="0" fontId="10" fillId="11" borderId="21" xfId="11" applyBorder="1"/>
    <xf numFmtId="0" fontId="9" fillId="16" borderId="22" xfId="10" applyBorder="1"/>
    <xf numFmtId="0" fontId="8" fillId="10" borderId="23" xfId="9" applyBorder="1"/>
    <xf numFmtId="0" fontId="8" fillId="10" borderId="24" xfId="9" applyBorder="1"/>
    <xf numFmtId="0" fontId="10" fillId="11" borderId="24" xfId="11" applyBorder="1"/>
    <xf numFmtId="0" fontId="9" fillId="16" borderId="25" xfId="10" applyBorder="1"/>
    <xf numFmtId="0" fontId="9" fillId="16" borderId="26" xfId="10" applyBorder="1"/>
    <xf numFmtId="0" fontId="9" fillId="16" borderId="27" xfId="10" applyBorder="1"/>
    <xf numFmtId="0" fontId="8" fillId="10" borderId="28" xfId="9" applyBorder="1"/>
    <xf numFmtId="0" fontId="8" fillId="10" borderId="29" xfId="9" applyBorder="1" applyAlignment="1">
      <alignment horizontal="center"/>
    </xf>
    <xf numFmtId="0" fontId="9" fillId="16" borderId="30" xfId="10" applyBorder="1"/>
    <xf numFmtId="0" fontId="9" fillId="16" borderId="26" xfId="10" applyBorder="1" applyAlignment="1">
      <alignment horizontal="center"/>
    </xf>
    <xf numFmtId="0" fontId="1" fillId="12" borderId="0" xfId="12" applyBorder="1"/>
    <xf numFmtId="0" fontId="4" fillId="0" borderId="0" xfId="0" applyFont="1"/>
    <xf numFmtId="0" fontId="1" fillId="12" borderId="4" xfId="12" applyBorder="1"/>
    <xf numFmtId="0" fontId="1" fillId="12" borderId="5" xfId="12" applyBorder="1" applyAlignment="1">
      <alignment horizontal="center"/>
    </xf>
    <xf numFmtId="0" fontId="1" fillId="12" borderId="6" xfId="12" applyBorder="1"/>
    <xf numFmtId="2" fontId="0" fillId="0" borderId="9" xfId="0" applyNumberFormat="1" applyBorder="1"/>
    <xf numFmtId="2" fontId="0" fillId="0" borderId="7" xfId="0" applyNumberFormat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1" fillId="0" borderId="5" xfId="7" applyFill="1" applyBorder="1" applyAlignment="1">
      <alignment horizontal="center"/>
    </xf>
    <xf numFmtId="0" fontId="1" fillId="2" borderId="9" xfId="3" applyBorder="1"/>
    <xf numFmtId="0" fontId="1" fillId="3" borderId="5" xfId="4" applyBorder="1" applyAlignment="1">
      <alignment horizontal="center"/>
    </xf>
    <xf numFmtId="0" fontId="1" fillId="2" borderId="4" xfId="3" applyBorder="1" applyAlignment="1">
      <alignment horizontal="left"/>
    </xf>
    <xf numFmtId="0" fontId="1" fillId="2" borderId="6" xfId="3" applyBorder="1" applyAlignment="1">
      <alignment horizontal="left"/>
    </xf>
    <xf numFmtId="0" fontId="1" fillId="3" borderId="0" xfId="4" applyNumberFormat="1"/>
    <xf numFmtId="0" fontId="1" fillId="3" borderId="4" xfId="4" applyBorder="1" applyAlignment="1">
      <alignment horizontal="left"/>
    </xf>
    <xf numFmtId="0" fontId="1" fillId="3" borderId="2" xfId="4" applyBorder="1" applyAlignment="1">
      <alignment horizontal="left"/>
    </xf>
    <xf numFmtId="0" fontId="1" fillId="3" borderId="3" xfId="4" applyNumberFormat="1" applyBorder="1"/>
    <xf numFmtId="0" fontId="1" fillId="14" borderId="4" xfId="14" applyBorder="1"/>
    <xf numFmtId="0" fontId="1" fillId="14" borderId="5" xfId="14" applyBorder="1"/>
    <xf numFmtId="0" fontId="9" fillId="16" borderId="31" xfId="10" applyBorder="1"/>
    <xf numFmtId="0" fontId="1" fillId="12" borderId="5" xfId="12" applyBorder="1"/>
    <xf numFmtId="0" fontId="1" fillId="4" borderId="5" xfId="5" applyBorder="1"/>
    <xf numFmtId="0" fontId="1" fillId="3" borderId="5" xfId="4" applyBorder="1"/>
    <xf numFmtId="0" fontId="1" fillId="3" borderId="7" xfId="4" applyBorder="1"/>
    <xf numFmtId="0" fontId="1" fillId="12" borderId="7" xfId="12" applyBorder="1"/>
    <xf numFmtId="0" fontId="1" fillId="12" borderId="4" xfId="12" applyBorder="1" applyAlignment="1">
      <alignment horizontal="left"/>
    </xf>
    <xf numFmtId="0" fontId="1" fillId="12" borderId="0" xfId="12" applyNumberFormat="1" applyBorder="1"/>
    <xf numFmtId="0" fontId="4" fillId="0" borderId="4" xfId="0" applyFont="1" applyBorder="1"/>
    <xf numFmtId="0" fontId="1" fillId="13" borderId="4" xfId="13" applyBorder="1" applyAlignment="1">
      <alignment horizontal="center"/>
    </xf>
    <xf numFmtId="0" fontId="1" fillId="13" borderId="0" xfId="13" applyBorder="1" applyAlignment="1">
      <alignment horizontal="center"/>
    </xf>
    <xf numFmtId="0" fontId="1" fillId="13" borderId="5" xfId="13" applyBorder="1" applyAlignment="1">
      <alignment horizontal="center"/>
    </xf>
    <xf numFmtId="0" fontId="1" fillId="15" borderId="6" xfId="15" applyBorder="1" applyAlignment="1">
      <alignment horizontal="left"/>
    </xf>
    <xf numFmtId="0" fontId="1" fillId="15" borderId="9" xfId="15" applyNumberFormat="1" applyBorder="1"/>
    <xf numFmtId="0" fontId="1" fillId="15" borderId="7" xfId="15" applyBorder="1" applyAlignment="1">
      <alignment horizontal="center"/>
    </xf>
    <xf numFmtId="0" fontId="1" fillId="15" borderId="4" xfId="15" applyBorder="1"/>
    <xf numFmtId="0" fontId="1" fillId="15" borderId="0" xfId="15" applyBorder="1"/>
    <xf numFmtId="0" fontId="1" fillId="15" borderId="5" xfId="15" applyBorder="1" applyAlignment="1">
      <alignment horizontal="center"/>
    </xf>
    <xf numFmtId="0" fontId="1" fillId="2" borderId="4" xfId="3" applyNumberFormat="1" applyBorder="1"/>
    <xf numFmtId="2" fontId="9" fillId="16" borderId="19" xfId="10" applyNumberFormat="1" applyBorder="1"/>
    <xf numFmtId="2" fontId="6" fillId="0" borderId="6" xfId="0" applyNumberFormat="1" applyFont="1" applyBorder="1"/>
    <xf numFmtId="2" fontId="6" fillId="0" borderId="0" xfId="0" applyNumberFormat="1" applyFont="1"/>
    <xf numFmtId="2" fontId="1" fillId="4" borderId="0" xfId="5" applyNumberFormat="1" applyBorder="1"/>
    <xf numFmtId="11" fontId="0" fillId="0" borderId="0" xfId="0" applyNumberFormat="1"/>
    <xf numFmtId="164" fontId="0" fillId="0" borderId="5" xfId="0" applyNumberFormat="1" applyBorder="1"/>
    <xf numFmtId="164" fontId="0" fillId="0" borderId="7" xfId="0" applyNumberFormat="1" applyBorder="1"/>
    <xf numFmtId="2" fontId="0" fillId="0" borderId="0" xfId="0" applyNumberFormat="1"/>
    <xf numFmtId="0" fontId="2" fillId="5" borderId="10" xfId="1" applyFill="1" applyBorder="1" applyAlignment="1">
      <alignment horizontal="center"/>
    </xf>
    <xf numFmtId="0" fontId="2" fillId="5" borderId="12" xfId="1" applyFill="1" applyBorder="1" applyAlignment="1">
      <alignment horizontal="center"/>
    </xf>
    <xf numFmtId="0" fontId="2" fillId="5" borderId="11" xfId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1" xfId="1" applyFill="1" applyAlignment="1">
      <alignment horizontal="center"/>
    </xf>
    <xf numFmtId="0" fontId="11" fillId="5" borderId="10" xfId="8" applyFont="1" applyFill="1" applyBorder="1" applyAlignment="1">
      <alignment horizontal="center"/>
    </xf>
    <xf numFmtId="0" fontId="11" fillId="5" borderId="12" xfId="8" applyFont="1" applyFill="1" applyBorder="1" applyAlignment="1">
      <alignment horizontal="center"/>
    </xf>
    <xf numFmtId="0" fontId="11" fillId="5" borderId="11" xfId="8" applyFont="1" applyFill="1" applyBorder="1" applyAlignment="1">
      <alignment horizontal="center"/>
    </xf>
    <xf numFmtId="0" fontId="2" fillId="5" borderId="2" xfId="1" applyFill="1" applyBorder="1" applyAlignment="1">
      <alignment horizontal="center"/>
    </xf>
    <xf numFmtId="0" fontId="2" fillId="5" borderId="8" xfId="1" applyFill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2" fillId="5" borderId="4" xfId="1" applyFill="1" applyBorder="1" applyAlignment="1">
      <alignment horizontal="center"/>
    </xf>
    <xf numFmtId="0" fontId="2" fillId="5" borderId="0" xfId="1" applyFill="1" applyBorder="1" applyAlignment="1">
      <alignment horizontal="center"/>
    </xf>
    <xf numFmtId="0" fontId="2" fillId="5" borderId="6" xfId="1" applyFill="1" applyBorder="1" applyAlignment="1">
      <alignment horizontal="center"/>
    </xf>
    <xf numFmtId="0" fontId="2" fillId="5" borderId="9" xfId="1" applyFill="1" applyBorder="1" applyAlignment="1">
      <alignment horizontal="center"/>
    </xf>
  </cellXfs>
  <cellStyles count="16">
    <cellStyle name="20% - Accent1" xfId="3" builtinId="30"/>
    <cellStyle name="20% - Accent3" xfId="13" builtinId="38"/>
    <cellStyle name="20% - Accent6" xfId="7" builtinId="50"/>
    <cellStyle name="40% - Accent1" xfId="12" builtinId="31"/>
    <cellStyle name="40% - Accent2" xfId="4" builtinId="35"/>
    <cellStyle name="40% - Accent3" xfId="14" builtinId="39"/>
    <cellStyle name="40% - Accent4" xfId="15" builtinId="43"/>
    <cellStyle name="60% - Accent2" xfId="5" builtinId="36"/>
    <cellStyle name="60% - Accent4" xfId="6" builtinId="44"/>
    <cellStyle name="Calculation" xfId="11" builtinId="22"/>
    <cellStyle name="Explanatory Text" xfId="2" builtinId="53"/>
    <cellStyle name="Heading 1" xfId="1" builtinId="16"/>
    <cellStyle name="Heading 2" xfId="8" builtinId="17"/>
    <cellStyle name="Input" xfId="9" builtinId="20"/>
    <cellStyle name="Normal" xfId="0" builtinId="0"/>
    <cellStyle name="Output" xfId="10" builtinId="2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Coupling</a:t>
            </a:r>
            <a:r>
              <a:rPr lang="en-GB" baseline="0"/>
              <a:t> Factor k vs Distance between coils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'General Design'!$A$36:$A$41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'General Design'!$F$36:$F$41</c:f>
              <c:numCache>
                <c:formatCode>0.0000</c:formatCode>
                <c:ptCount val="6"/>
                <c:pt idx="0">
                  <c:v>0.8574378977000674</c:v>
                </c:pt>
                <c:pt idx="1">
                  <c:v>0.6263434313395283</c:v>
                </c:pt>
                <c:pt idx="2">
                  <c:v>0.41728917467620097</c:v>
                </c:pt>
                <c:pt idx="3">
                  <c:v>0.28656369299627193</c:v>
                </c:pt>
                <c:pt idx="4">
                  <c:v>0.20626850525178403</c:v>
                </c:pt>
                <c:pt idx="5">
                  <c:v>0.15063541088596027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0-DB4C-A575-76DAC498B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784256"/>
        <c:axId val="1923830159"/>
      </c:scatterChart>
      <c:valAx>
        <c:axId val="29078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between coils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830159"/>
        <c:crosses val="autoZero"/>
        <c:crossBetween val="midCat"/>
      </c:valAx>
      <c:valAx>
        <c:axId val="19238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Coupling Factor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8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Modelled</a:t>
            </a:r>
            <a:r>
              <a:rPr lang="en-GB" baseline="0"/>
              <a:t> Inductance and Resistance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Sheet5!$W$26</c:f>
              <c:strCache>
                <c:ptCount val="1"/>
                <c:pt idx="0">
                  <c:v>Inductance 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Sheet5!$S$27:$S$64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Sheet5!$W$27:$W$64</c:f>
              <c:numCache>
                <c:formatCode>0.00</c:formatCode>
                <c:ptCount val="38"/>
                <c:pt idx="0">
                  <c:v>0.53923751403264453</c:v>
                </c:pt>
                <c:pt idx="1">
                  <c:v>2.0554623435543173</c:v>
                </c:pt>
                <c:pt idx="2">
                  <c:v>4.4076988017248011</c:v>
                </c:pt>
                <c:pt idx="3">
                  <c:v>7.4687349236255969</c:v>
                </c:pt>
                <c:pt idx="4">
                  <c:v>11.123725192082691</c:v>
                </c:pt>
                <c:pt idx="5">
                  <c:v>15.268960095410094</c:v>
                </c:pt>
                <c:pt idx="6">
                  <c:v>19.810779731184017</c:v>
                </c:pt>
                <c:pt idx="7">
                  <c:v>24.664612158769938</c:v>
                </c:pt>
                <c:pt idx="8">
                  <c:v>29.754120102334966</c:v>
                </c:pt>
                <c:pt idx="9">
                  <c:v>35.010442024164483</c:v>
                </c:pt>
                <c:pt idx="10">
                  <c:v>40.371515612306879</c:v>
                </c:pt>
                <c:pt idx="11">
                  <c:v>45.781473426913749</c:v>
                </c:pt>
                <c:pt idx="12">
                  <c:v>51.190101882693334</c:v>
                </c:pt>
                <c:pt idx="13">
                  <c:v>56.552355956537582</c:v>
                </c:pt>
                <c:pt idx="14">
                  <c:v>61.827923036985204</c:v>
                </c:pt>
                <c:pt idx="15">
                  <c:v>66.98083020628934</c:v>
                </c:pt>
                <c:pt idx="16">
                  <c:v>71.979089991529463</c:v>
                </c:pt>
                <c:pt idx="17">
                  <c:v>76.794380259073137</c:v>
                </c:pt>
                <c:pt idx="18">
                  <c:v>81.401754473799087</c:v>
                </c:pt>
                <c:pt idx="19">
                  <c:v>85.77937901496405</c:v>
                </c:pt>
                <c:pt idx="20">
                  <c:v>89.908294646175435</c:v>
                </c:pt>
                <c:pt idx="21">
                  <c:v>93.772199587417077</c:v>
                </c:pt>
                <c:pt idx="22">
                  <c:v>97.357251940655402</c:v>
                </c:pt>
                <c:pt idx="23">
                  <c:v>100.65188948410258</c:v>
                </c:pt>
                <c:pt idx="24">
                  <c:v>103.64666507951267</c:v>
                </c:pt>
                <c:pt idx="25">
                  <c:v>106.33409613680801</c:v>
                </c:pt>
                <c:pt idx="26">
                  <c:v>108.70852675500535</c:v>
                </c:pt>
                <c:pt idx="27">
                  <c:v>110.76600131132248</c:v>
                </c:pt>
                <c:pt idx="28">
                  <c:v>112.50414840447139</c:v>
                </c:pt>
                <c:pt idx="29">
                  <c:v>113.92207417601334</c:v>
                </c:pt>
                <c:pt idx="30">
                  <c:v>115.02026413742134</c:v>
                </c:pt>
                <c:pt idx="31">
                  <c:v>115.80049272201893</c:v>
                </c:pt>
                <c:pt idx="32">
                  <c:v>116.26573986182538</c:v>
                </c:pt>
                <c:pt idx="33">
                  <c:v>116.42011396089715</c:v>
                </c:pt>
                <c:pt idx="34">
                  <c:v>116.26878070019073</c:v>
                </c:pt>
                <c:pt idx="35">
                  <c:v>115.81789716529015</c:v>
                </c:pt>
                <c:pt idx="36">
                  <c:v>115.07455083842655</c:v>
                </c:pt>
                <c:pt idx="37">
                  <c:v>114.04670304081721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D-8E48-90D7-F84C67AA8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200896"/>
        <c:axId val="567718848"/>
      </c:lineChart>
      <c:lineChart>
        <c:grouping val="standard"/>
        <c:varyColors val="0"/>
        <c:ser>
          <c:idx val="1"/>
          <c:order val="1"/>
          <c:tx>
            <c:strRef>
              <c:f>Sheet5!$X$26</c:f>
              <c:strCache>
                <c:ptCount val="1"/>
                <c:pt idx="0">
                  <c:v>resistance 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Sheet5!$S$27:$S$64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Sheet5!$X$27:$X$64</c:f>
              <c:numCache>
                <c:formatCode>0.00E+00</c:formatCode>
                <c:ptCount val="38"/>
                <c:pt idx="0">
                  <c:v>6.9084017664795372</c:v>
                </c:pt>
                <c:pt idx="1">
                  <c:v>13.63605250228961</c:v>
                </c:pt>
                <c:pt idx="2">
                  <c:v>20.182952207430219</c:v>
                </c:pt>
                <c:pt idx="3">
                  <c:v>26.549100881901367</c:v>
                </c:pt>
                <c:pt idx="4">
                  <c:v>32.734498525703046</c:v>
                </c:pt>
                <c:pt idx="5">
                  <c:v>38.739145138835262</c:v>
                </c:pt>
                <c:pt idx="6">
                  <c:v>44.563040721298016</c:v>
                </c:pt>
                <c:pt idx="7">
                  <c:v>50.2061852730913</c:v>
                </c:pt>
                <c:pt idx="8">
                  <c:v>55.668578794215122</c:v>
                </c:pt>
                <c:pt idx="9">
                  <c:v>60.950221284669489</c:v>
                </c:pt>
                <c:pt idx="10">
                  <c:v>66.051112744454372</c:v>
                </c:pt>
                <c:pt idx="11">
                  <c:v>70.971253173569821</c:v>
                </c:pt>
                <c:pt idx="12">
                  <c:v>75.710642572015772</c:v>
                </c:pt>
                <c:pt idx="13">
                  <c:v>80.269280939792282</c:v>
                </c:pt>
                <c:pt idx="14">
                  <c:v>84.647168276899293</c:v>
                </c:pt>
                <c:pt idx="15">
                  <c:v>88.844304583336893</c:v>
                </c:pt>
                <c:pt idx="16">
                  <c:v>92.860689859105022</c:v>
                </c:pt>
                <c:pt idx="17">
                  <c:v>96.69632410420364</c:v>
                </c:pt>
                <c:pt idx="18">
                  <c:v>100.35120731863282</c:v>
                </c:pt>
                <c:pt idx="19">
                  <c:v>103.82533950239255</c:v>
                </c:pt>
                <c:pt idx="20">
                  <c:v>107.1187206554828</c:v>
                </c:pt>
                <c:pt idx="21">
                  <c:v>110.23135077790357</c:v>
                </c:pt>
                <c:pt idx="22">
                  <c:v>113.16322986965491</c:v>
                </c:pt>
                <c:pt idx="23">
                  <c:v>115.91435793073678</c:v>
                </c:pt>
                <c:pt idx="24">
                  <c:v>118.48473496114919</c:v>
                </c:pt>
                <c:pt idx="25">
                  <c:v>120.87436096089212</c:v>
                </c:pt>
                <c:pt idx="26">
                  <c:v>123.08323592996558</c:v>
                </c:pt>
                <c:pt idx="27">
                  <c:v>125.11135986836958</c:v>
                </c:pt>
                <c:pt idx="28">
                  <c:v>126.95873277610413</c:v>
                </c:pt>
                <c:pt idx="29">
                  <c:v>128.62535465316915</c:v>
                </c:pt>
                <c:pt idx="30">
                  <c:v>130.11122549956482</c:v>
                </c:pt>
                <c:pt idx="31">
                  <c:v>131.41634531529095</c:v>
                </c:pt>
                <c:pt idx="32">
                  <c:v>132.54071410034766</c:v>
                </c:pt>
                <c:pt idx="33">
                  <c:v>133.48433185473485</c:v>
                </c:pt>
                <c:pt idx="34">
                  <c:v>134.24719857845261</c:v>
                </c:pt>
                <c:pt idx="35">
                  <c:v>134.82931427150092</c:v>
                </c:pt>
                <c:pt idx="36">
                  <c:v>135.23067893387974</c:v>
                </c:pt>
                <c:pt idx="37">
                  <c:v>135.45129256558906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3D-8E48-90D7-F84C67AA8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476480"/>
        <c:axId val="333695184"/>
      </c:lineChart>
      <c:catAx>
        <c:axId val="3082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18848"/>
        <c:crosses val="autoZero"/>
        <c:auto val="1"/>
        <c:lblAlgn val="ctr"/>
        <c:lblOffset val="100"/>
        <c:noMultiLvlLbl val="0"/>
      </c:catAx>
      <c:valAx>
        <c:axId val="5677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Inductance (µH)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00896"/>
        <c:crosses val="autoZero"/>
        <c:crossBetween val="between"/>
      </c:valAx>
      <c:valAx>
        <c:axId val="3336951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Resistance (mOhm)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?/?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76480"/>
        <c:crosses val="max"/>
        <c:crossBetween val="between"/>
      </c:valAx>
      <c:catAx>
        <c:axId val="33447648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3369518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121093</xdr:colOff>
      <xdr:row>58</xdr:row>
      <xdr:rowOff>97764</xdr:rowOff>
    </xdr:from>
    <xdr:to>
      <xdr:col>5</xdr:col>
      <xdr:colOff>516861</xdr:colOff>
      <xdr:row>76</xdr:row>
      <xdr:rowOff>158015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D25D14-0D34-B370-16DB-E9918DB7D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131232</xdr:colOff>
      <xdr:row>47</xdr:row>
      <xdr:rowOff>57150</xdr:rowOff>
    </xdr:from>
    <xdr:to>
      <xdr:col>33</xdr:col>
      <xdr:colOff>380999</xdr:colOff>
      <xdr:row>62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E148FC-3BD5-6610-75D7-3966CD6EE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607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D32F-6410-8A46-A99E-95667D016C8C}">
  <dimension ref="A1:O50"/>
  <sheetViews>
    <sheetView tabSelected="1" topLeftCell="A5" zoomScale="109" workbookViewId="0">
      <selection activeCell="G30" sqref="G30:H30"/>
    </sheetView>
  </sheetViews>
  <sheetFormatPr baseColWidth="10" defaultRowHeight="16" x14ac:dyDescent="0.2"/>
  <cols>
    <col min="1" max="1" width="20.6640625" bestFit="1" customWidth="1"/>
    <col min="2" max="2" width="15.83203125" bestFit="1" customWidth="1"/>
    <col min="3" max="3" width="16.33203125" bestFit="1" customWidth="1"/>
    <col min="4" max="4" width="14.1640625" bestFit="1" customWidth="1"/>
    <col min="5" max="5" width="10.5" bestFit="1" customWidth="1"/>
    <col min="6" max="6" width="14.6640625" bestFit="1" customWidth="1"/>
    <col min="7" max="7" width="19.6640625" customWidth="1"/>
    <col min="8" max="8" width="12.6640625" bestFit="1" customWidth="1"/>
    <col min="9" max="9" width="12.6640625" customWidth="1"/>
    <col min="10" max="10" width="7.83203125" customWidth="1"/>
    <col min="11" max="11" width="15.5" customWidth="1"/>
    <col min="12" max="12" width="12.5" customWidth="1"/>
    <col min="13" max="13" width="17" customWidth="1"/>
    <col min="14" max="14" width="10.1640625" bestFit="1" customWidth="1"/>
  </cols>
  <sheetData>
    <row r="1" spans="1:13" ht="20" x14ac:dyDescent="0.25">
      <c r="A1" s="99" t="s">
        <v>0</v>
      </c>
      <c r="B1" s="100"/>
      <c r="C1" s="101"/>
      <c r="D1" s="110"/>
      <c r="E1" s="110"/>
    </row>
    <row r="2" spans="1:13" ht="21" thickBot="1" x14ac:dyDescent="0.3">
      <c r="A2" s="8" t="s">
        <v>2</v>
      </c>
      <c r="B2" t="s">
        <v>1</v>
      </c>
      <c r="C2" s="9" t="s">
        <v>32</v>
      </c>
      <c r="G2" s="99" t="s">
        <v>54</v>
      </c>
      <c r="H2" s="100"/>
      <c r="I2" s="101"/>
      <c r="K2" s="103" t="s">
        <v>36</v>
      </c>
      <c r="L2" s="103"/>
      <c r="M2" s="103"/>
    </row>
    <row r="3" spans="1:13" ht="17" thickTop="1" x14ac:dyDescent="0.2">
      <c r="A3" s="2">
        <v>24</v>
      </c>
      <c r="B3" s="4">
        <v>10</v>
      </c>
      <c r="C3" s="3">
        <f>A3*B3</f>
        <v>240</v>
      </c>
      <c r="G3" s="64" t="s">
        <v>74</v>
      </c>
      <c r="H3" s="36">
        <f>0.1</f>
        <v>0.1</v>
      </c>
      <c r="I3" s="19" t="s">
        <v>24</v>
      </c>
    </row>
    <row r="4" spans="1:13" x14ac:dyDescent="0.2">
      <c r="G4" s="64" t="s">
        <v>73</v>
      </c>
      <c r="H4" s="36">
        <v>1</v>
      </c>
      <c r="I4" s="19"/>
    </row>
    <row r="5" spans="1:13" ht="20" x14ac:dyDescent="0.25">
      <c r="A5" s="107" t="s">
        <v>55</v>
      </c>
      <c r="B5" s="108"/>
      <c r="C5" s="108"/>
      <c r="D5" s="108"/>
      <c r="E5" s="109"/>
      <c r="G5" s="64" t="s">
        <v>64</v>
      </c>
      <c r="H5" s="36">
        <f>4*PI()*10^-7</f>
        <v>1.2566370614359173E-6</v>
      </c>
      <c r="I5" s="19" t="s">
        <v>63</v>
      </c>
    </row>
    <row r="6" spans="1:13" x14ac:dyDescent="0.2">
      <c r="A6" s="8" t="s">
        <v>58</v>
      </c>
      <c r="B6" t="s">
        <v>59</v>
      </c>
      <c r="C6" t="s">
        <v>60</v>
      </c>
      <c r="D6" t="s">
        <v>61</v>
      </c>
      <c r="E6" s="9" t="s">
        <v>62</v>
      </c>
      <c r="G6" s="64" t="s">
        <v>69</v>
      </c>
      <c r="H6" s="36">
        <v>0.99999400000000005</v>
      </c>
      <c r="I6" s="19"/>
    </row>
    <row r="7" spans="1:13" x14ac:dyDescent="0.2">
      <c r="A7" s="2"/>
      <c r="B7" s="4"/>
      <c r="C7" s="4"/>
      <c r="D7" s="4"/>
      <c r="E7" s="3"/>
      <c r="G7" s="65" t="s">
        <v>70</v>
      </c>
      <c r="H7" s="62">
        <v>1</v>
      </c>
      <c r="I7" s="28"/>
    </row>
    <row r="8" spans="1:13" x14ac:dyDescent="0.2">
      <c r="G8" s="53"/>
    </row>
    <row r="9" spans="1:13" ht="20" x14ac:dyDescent="0.25">
      <c r="A9" s="107" t="s">
        <v>3</v>
      </c>
      <c r="B9" s="108"/>
      <c r="C9" s="108"/>
      <c r="D9" s="108"/>
      <c r="E9" s="109"/>
      <c r="G9" s="99" t="s">
        <v>13</v>
      </c>
      <c r="H9" s="100"/>
      <c r="I9" s="101"/>
    </row>
    <row r="10" spans="1:13" x14ac:dyDescent="0.2">
      <c r="A10" s="38" t="s">
        <v>56</v>
      </c>
      <c r="B10" s="39" t="s">
        <v>45</v>
      </c>
      <c r="C10" s="40" t="s">
        <v>4</v>
      </c>
      <c r="D10" s="41" t="s">
        <v>46</v>
      </c>
      <c r="E10" s="47" t="s">
        <v>47</v>
      </c>
      <c r="G10" s="54" t="s">
        <v>76</v>
      </c>
      <c r="H10" s="52">
        <v>100</v>
      </c>
      <c r="I10" s="55" t="s">
        <v>28</v>
      </c>
      <c r="J10" s="5"/>
    </row>
    <row r="11" spans="1:13" x14ac:dyDescent="0.2">
      <c r="A11" s="42">
        <v>1.875</v>
      </c>
      <c r="B11" s="43">
        <v>0</v>
      </c>
      <c r="C11" s="44">
        <f>A11*2</f>
        <v>3.75</v>
      </c>
      <c r="D11" s="45">
        <f>A3+ C11</f>
        <v>27.75</v>
      </c>
      <c r="E11" s="46">
        <f>C3+B11</f>
        <v>240</v>
      </c>
      <c r="G11" s="87" t="s">
        <v>90</v>
      </c>
      <c r="H11" s="88">
        <f>A38</f>
        <v>4</v>
      </c>
      <c r="I11" s="89"/>
      <c r="J11" s="5"/>
    </row>
    <row r="12" spans="1:13" x14ac:dyDescent="0.2">
      <c r="G12" s="87" t="s">
        <v>66</v>
      </c>
      <c r="H12" s="88">
        <f>D38</f>
        <v>25.465000000000003</v>
      </c>
      <c r="I12" s="89" t="s">
        <v>27</v>
      </c>
      <c r="J12" s="5"/>
    </row>
    <row r="13" spans="1:13" ht="20" x14ac:dyDescent="0.25">
      <c r="A13" s="99" t="s">
        <v>5</v>
      </c>
      <c r="B13" s="100"/>
      <c r="C13" s="100"/>
      <c r="D13" s="101"/>
      <c r="G13" s="87" t="s">
        <v>35</v>
      </c>
      <c r="H13" s="88">
        <f>F38</f>
        <v>0.41728917467620097</v>
      </c>
      <c r="I13" s="89"/>
    </row>
    <row r="14" spans="1:13" ht="17" x14ac:dyDescent="0.2">
      <c r="A14" s="104" t="s">
        <v>43</v>
      </c>
      <c r="B14" s="105"/>
      <c r="C14" s="105"/>
      <c r="D14" s="106"/>
      <c r="G14" s="56" t="s">
        <v>75</v>
      </c>
      <c r="H14" s="57">
        <f>SQRT(H20/(PI()*H6*H5*H10*1000)) * 1000000</f>
        <v>206.16617463810616</v>
      </c>
      <c r="I14" s="58" t="s">
        <v>65</v>
      </c>
    </row>
    <row r="15" spans="1:13" x14ac:dyDescent="0.2">
      <c r="A15" s="18"/>
      <c r="B15" s="59" t="s">
        <v>7</v>
      </c>
      <c r="C15" s="60" t="s">
        <v>6</v>
      </c>
      <c r="D15" s="61" t="s">
        <v>22</v>
      </c>
    </row>
    <row r="16" spans="1:13" ht="20" x14ac:dyDescent="0.25">
      <c r="A16" s="11" t="s">
        <v>23</v>
      </c>
      <c r="B16" s="22" t="s">
        <v>12</v>
      </c>
      <c r="C16" s="22" t="s">
        <v>12</v>
      </c>
      <c r="D16" s="19"/>
      <c r="G16" s="99" t="s">
        <v>10</v>
      </c>
      <c r="H16" s="100"/>
      <c r="I16" s="101"/>
    </row>
    <row r="17" spans="1:9" x14ac:dyDescent="0.2">
      <c r="A17" s="11" t="s">
        <v>21</v>
      </c>
      <c r="B17" s="14">
        <v>230</v>
      </c>
      <c r="C17" s="14">
        <f>B17/H4</f>
        <v>230</v>
      </c>
      <c r="D17" s="19" t="s">
        <v>16</v>
      </c>
      <c r="G17" s="64" t="s">
        <v>11</v>
      </c>
      <c r="H17" s="37" t="s">
        <v>14</v>
      </c>
      <c r="I17" s="19"/>
    </row>
    <row r="18" spans="1:9" x14ac:dyDescent="0.2">
      <c r="A18" s="11" t="s">
        <v>9</v>
      </c>
      <c r="B18" s="14">
        <v>15</v>
      </c>
      <c r="C18" s="14">
        <v>15</v>
      </c>
      <c r="D18" s="19"/>
      <c r="G18" s="64" t="s">
        <v>106</v>
      </c>
      <c r="H18" s="36">
        <v>9.6859999999999999</v>
      </c>
      <c r="I18" s="19" t="s">
        <v>107</v>
      </c>
    </row>
    <row r="19" spans="1:9" x14ac:dyDescent="0.2">
      <c r="A19" s="11" t="s">
        <v>20</v>
      </c>
      <c r="B19" s="15">
        <v>0.5</v>
      </c>
      <c r="C19" s="15">
        <v>0.5</v>
      </c>
      <c r="D19" s="19" t="s">
        <v>16</v>
      </c>
      <c r="G19" s="64" t="s">
        <v>68</v>
      </c>
      <c r="H19" s="36">
        <v>2.4700000000000002</v>
      </c>
      <c r="I19" s="19" t="s">
        <v>16</v>
      </c>
    </row>
    <row r="20" spans="1:9" x14ac:dyDescent="0.2">
      <c r="A20" s="20" t="s">
        <v>25</v>
      </c>
      <c r="B20" s="21">
        <f xml:space="preserve"> ((PI() * B18 * (B17 + B21)) / 2) / 1000</f>
        <v>8.7391253641234048</v>
      </c>
      <c r="C20" s="21">
        <f xml:space="preserve"> ((PI() * C18 * (C17 + C21)) / 2) / 1000</f>
        <v>8.7391253641234048</v>
      </c>
      <c r="D20" s="19" t="s">
        <v>24</v>
      </c>
      <c r="G20" s="64" t="s">
        <v>37</v>
      </c>
      <c r="H20" s="36">
        <f>1.678*10^-8</f>
        <v>1.6779999999999999E-8</v>
      </c>
      <c r="I20" s="19" t="s">
        <v>67</v>
      </c>
    </row>
    <row r="21" spans="1:9" x14ac:dyDescent="0.2">
      <c r="A21" s="20" t="s">
        <v>19</v>
      </c>
      <c r="B21" s="21">
        <f>B17-(2*B18*($H$19+B19))</f>
        <v>140.89999999999998</v>
      </c>
      <c r="C21" s="21">
        <f>C17-(2*C18*($H$19+C19))</f>
        <v>140.89999999999998</v>
      </c>
      <c r="D21" s="19" t="s">
        <v>16</v>
      </c>
      <c r="G21" s="65" t="s">
        <v>38</v>
      </c>
      <c r="H21" s="62">
        <v>100</v>
      </c>
      <c r="I21" s="28" t="s">
        <v>65</v>
      </c>
    </row>
    <row r="22" spans="1:9" x14ac:dyDescent="0.2">
      <c r="A22" s="20" t="s">
        <v>33</v>
      </c>
      <c r="B22" s="21">
        <f>PI()*(B17/1000/2)^2</f>
        <v>4.1547562843725017E-2</v>
      </c>
      <c r="C22" s="21">
        <f>PI()*(C17/1000/2)^2</f>
        <v>4.1547562843725017E-2</v>
      </c>
      <c r="D22" s="19" t="s">
        <v>17</v>
      </c>
    </row>
    <row r="23" spans="1:9" ht="20" x14ac:dyDescent="0.25">
      <c r="A23" s="33" t="s">
        <v>34</v>
      </c>
      <c r="B23" s="35">
        <f>(B27^2 * B18^2) / (8 * B27 + 11 * B26)</f>
        <v>61.827923036985204</v>
      </c>
      <c r="C23" s="35">
        <f>(C27^2 * C18^2) / (8 * C27 + 11 * C26)</f>
        <v>61.827923036985204</v>
      </c>
      <c r="D23" s="34" t="s">
        <v>27</v>
      </c>
      <c r="G23" s="99" t="s">
        <v>53</v>
      </c>
      <c r="H23" s="100"/>
      <c r="I23" s="101"/>
    </row>
    <row r="24" spans="1:9" x14ac:dyDescent="0.2">
      <c r="A24" s="30" t="s">
        <v>15</v>
      </c>
      <c r="B24" s="32">
        <v>40</v>
      </c>
      <c r="C24" s="32">
        <v>40</v>
      </c>
      <c r="D24" s="31" t="s">
        <v>18</v>
      </c>
      <c r="G24" s="67" t="s">
        <v>87</v>
      </c>
      <c r="H24" s="66">
        <v>5</v>
      </c>
      <c r="I24" s="63" t="s">
        <v>27</v>
      </c>
    </row>
    <row r="25" spans="1:9" x14ac:dyDescent="0.2">
      <c r="A25" s="33" t="s">
        <v>26</v>
      </c>
      <c r="B25" s="35">
        <f>(1 / (2 * PI() * SQRT((B23 / 1000000) * (B24 / 1000000000)))) / 1000</f>
        <v>101.20403010762972</v>
      </c>
      <c r="C25" s="35">
        <f>(1 / (2 * PI() * SQRT((C23 / 1000000) * (C24 / 1000000000)))) / 1000</f>
        <v>101.20403010762972</v>
      </c>
      <c r="D25" s="34" t="s">
        <v>28</v>
      </c>
      <c r="G25" s="78" t="s">
        <v>71</v>
      </c>
      <c r="H25" s="79">
        <v>506.61</v>
      </c>
      <c r="I25" s="55" t="s">
        <v>18</v>
      </c>
    </row>
    <row r="26" spans="1:9" x14ac:dyDescent="0.2">
      <c r="A26" s="12" t="s">
        <v>29</v>
      </c>
      <c r="B26" s="16">
        <f xml:space="preserve"> (($H$19 / 25.4) + (B19 / 25.4)) * B18</f>
        <v>1.753937007874016</v>
      </c>
      <c r="C26" s="16">
        <f xml:space="preserve"> (($H$19 / 25.4) + (C19 / 25.4)) * C18</f>
        <v>1.753937007874016</v>
      </c>
      <c r="D26" s="9"/>
      <c r="G26" s="78" t="s">
        <v>72</v>
      </c>
      <c r="H26" s="79">
        <v>45.33</v>
      </c>
      <c r="I26" s="55" t="s">
        <v>18</v>
      </c>
    </row>
    <row r="27" spans="1:9" x14ac:dyDescent="0.2">
      <c r="A27" s="13" t="s">
        <v>30</v>
      </c>
      <c r="B27" s="17">
        <f>((B21 / 25.4) + B26) / 2</f>
        <v>3.6505905511811019</v>
      </c>
      <c r="C27" s="17">
        <f>((C21 / 25.4) + C26) / 2</f>
        <v>3.6505905511811019</v>
      </c>
      <c r="D27" s="3"/>
      <c r="G27" s="84" t="s">
        <v>77</v>
      </c>
      <c r="H27" s="85">
        <v>41.41</v>
      </c>
      <c r="I27" s="86" t="s">
        <v>18</v>
      </c>
    </row>
    <row r="28" spans="1:9" ht="17" x14ac:dyDescent="0.2">
      <c r="A28" s="104" t="s">
        <v>39</v>
      </c>
      <c r="B28" s="105"/>
      <c r="C28" s="105"/>
      <c r="D28" s="106"/>
      <c r="G28" s="102"/>
      <c r="H28" s="102"/>
      <c r="I28" s="102"/>
    </row>
    <row r="29" spans="1:9" x14ac:dyDescent="0.2">
      <c r="A29" s="23" t="s">
        <v>40</v>
      </c>
      <c r="B29" s="24">
        <v>61.17</v>
      </c>
      <c r="C29" s="24">
        <v>60.88</v>
      </c>
      <c r="D29" s="25" t="s">
        <v>27</v>
      </c>
      <c r="G29" s="1"/>
    </row>
    <row r="30" spans="1:9" x14ac:dyDescent="0.2">
      <c r="A30" s="26" t="s">
        <v>41</v>
      </c>
      <c r="B30" s="27">
        <v>85</v>
      </c>
      <c r="C30" s="27">
        <v>84.3</v>
      </c>
      <c r="D30" s="28" t="s">
        <v>42</v>
      </c>
      <c r="G30" s="1"/>
    </row>
    <row r="31" spans="1:9" x14ac:dyDescent="0.2">
      <c r="A31" s="48" t="s">
        <v>57</v>
      </c>
      <c r="B31" s="30">
        <v>100</v>
      </c>
      <c r="C31" s="30">
        <v>100</v>
      </c>
      <c r="D31" s="49" t="s">
        <v>28</v>
      </c>
    </row>
    <row r="32" spans="1:9" x14ac:dyDescent="0.2">
      <c r="A32" s="50" t="s">
        <v>44</v>
      </c>
      <c r="B32" s="45">
        <f>(10^9)/((B29/10^6)*4*(PI()^2)*(B31*10^3)^2)</f>
        <v>41.409671261377227</v>
      </c>
      <c r="C32" s="45">
        <f>(10^9)/((C29/10^6)*4*(PI()^2)*(C31*10^3)^2)</f>
        <v>41.606924951682728</v>
      </c>
      <c r="D32" s="51" t="s">
        <v>18</v>
      </c>
    </row>
    <row r="34" spans="1:6" ht="20" x14ac:dyDescent="0.25">
      <c r="A34" s="99" t="s">
        <v>86</v>
      </c>
      <c r="B34" s="100"/>
      <c r="C34" s="100"/>
      <c r="D34" s="100"/>
      <c r="E34" s="100"/>
      <c r="F34" s="101"/>
    </row>
    <row r="35" spans="1:6" x14ac:dyDescent="0.2">
      <c r="A35" s="81" t="s">
        <v>51</v>
      </c>
      <c r="B35" s="82" t="s">
        <v>48</v>
      </c>
      <c r="C35" s="82" t="s">
        <v>52</v>
      </c>
      <c r="D35" s="82" t="s">
        <v>49</v>
      </c>
      <c r="E35" s="83" t="s">
        <v>50</v>
      </c>
      <c r="F35" s="83" t="s">
        <v>89</v>
      </c>
    </row>
    <row r="36" spans="1:6" x14ac:dyDescent="0.2">
      <c r="A36" s="54">
        <v>0</v>
      </c>
      <c r="B36">
        <v>224.08</v>
      </c>
      <c r="C36">
        <v>14.78</v>
      </c>
      <c r="D36">
        <f>(B36-C36)/4</f>
        <v>52.325000000000003</v>
      </c>
      <c r="E36" s="10" t="s">
        <v>27</v>
      </c>
      <c r="F36" s="96">
        <f t="shared" ref="F36:F41" si="0">D36/SQRT($B$29*$C$29)</f>
        <v>0.8574378977000674</v>
      </c>
    </row>
    <row r="37" spans="1:6" x14ac:dyDescent="0.2">
      <c r="A37" s="54">
        <v>2</v>
      </c>
      <c r="B37">
        <v>193.35</v>
      </c>
      <c r="C37">
        <v>40.46</v>
      </c>
      <c r="D37">
        <f t="shared" ref="D37" si="1">(B37-C37)/4</f>
        <v>38.222499999999997</v>
      </c>
      <c r="E37" s="10" t="s">
        <v>27</v>
      </c>
      <c r="F37" s="96">
        <f t="shared" si="0"/>
        <v>0.6263434313395283</v>
      </c>
    </row>
    <row r="38" spans="1:6" x14ac:dyDescent="0.2">
      <c r="A38" s="54">
        <v>4</v>
      </c>
      <c r="B38">
        <v>168.55</v>
      </c>
      <c r="C38">
        <v>66.69</v>
      </c>
      <c r="D38">
        <f>(B38-C38)/4</f>
        <v>25.465000000000003</v>
      </c>
      <c r="E38" s="10" t="s">
        <v>27</v>
      </c>
      <c r="F38" s="96">
        <f t="shared" si="0"/>
        <v>0.41728917467620097</v>
      </c>
    </row>
    <row r="39" spans="1:6" x14ac:dyDescent="0.2">
      <c r="A39" s="54">
        <v>6</v>
      </c>
      <c r="B39">
        <v>154.16</v>
      </c>
      <c r="C39">
        <v>84.21</v>
      </c>
      <c r="D39">
        <f>(B39-C39)/4</f>
        <v>17.487500000000001</v>
      </c>
      <c r="E39" s="10" t="s">
        <v>27</v>
      </c>
      <c r="F39" s="96">
        <f t="shared" si="0"/>
        <v>0.28656369299627193</v>
      </c>
    </row>
    <row r="40" spans="1:6" x14ac:dyDescent="0.2">
      <c r="A40" s="54">
        <v>8</v>
      </c>
      <c r="B40">
        <v>144.65</v>
      </c>
      <c r="C40">
        <v>94.3</v>
      </c>
      <c r="D40">
        <f>(B40-C40)/4</f>
        <v>12.587500000000002</v>
      </c>
      <c r="E40" s="10" t="s">
        <v>27</v>
      </c>
      <c r="F40" s="96">
        <f t="shared" si="0"/>
        <v>0.20626850525178403</v>
      </c>
    </row>
    <row r="41" spans="1:6" x14ac:dyDescent="0.2">
      <c r="A41" s="56">
        <v>10</v>
      </c>
      <c r="B41" s="4">
        <v>137.83000000000001</v>
      </c>
      <c r="C41" s="4">
        <v>101.06</v>
      </c>
      <c r="D41" s="4">
        <f>(B41-C41)/4</f>
        <v>9.1925000000000026</v>
      </c>
      <c r="E41" s="6" t="s">
        <v>27</v>
      </c>
      <c r="F41" s="97">
        <f t="shared" si="0"/>
        <v>0.15063541088596027</v>
      </c>
    </row>
    <row r="50" spans="15:15" x14ac:dyDescent="0.2">
      <c r="O50" s="7" t="s">
        <v>31</v>
      </c>
    </row>
  </sheetData>
  <sortState xmlns:xlrd2="http://schemas.microsoft.com/office/spreadsheetml/2017/richdata2" ref="A36:E43">
    <sortCondition ref="A36:A43"/>
  </sortState>
  <mergeCells count="14">
    <mergeCell ref="D1:E1"/>
    <mergeCell ref="A1:C1"/>
    <mergeCell ref="K2:M2"/>
    <mergeCell ref="G23:I23"/>
    <mergeCell ref="A14:D14"/>
    <mergeCell ref="A5:E5"/>
    <mergeCell ref="A13:D13"/>
    <mergeCell ref="A9:E9"/>
    <mergeCell ref="A34:F34"/>
    <mergeCell ref="G2:I2"/>
    <mergeCell ref="G9:I9"/>
    <mergeCell ref="G16:I16"/>
    <mergeCell ref="G28:I28"/>
    <mergeCell ref="A28:D28"/>
  </mergeCells>
  <conditionalFormatting sqref="A36:A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8696B"/>
        <color rgb="FFFCFCFF"/>
      </colorScale>
    </cfRule>
  </conditionalFormatting>
  <conditionalFormatting sqref="D36:D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max"/>
        <color rgb="FFFCFCFF"/>
        <color rgb="FFF8696B"/>
      </colorScale>
    </cfRule>
    <cfRule type="colorScale" priority="21">
      <colorScale>
        <cfvo type="min"/>
        <cfvo type="max"/>
        <color rgb="FF00B0F0"/>
        <color rgb="FFFFC000"/>
      </colorScale>
    </cfRule>
  </conditionalFormatting>
  <conditionalFormatting sqref="F36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">
    <cfRule type="colorScale" priority="8">
      <colorScale>
        <cfvo type="min"/>
        <cfvo type="max"/>
        <color rgb="FF00B050"/>
        <color rgb="FF00B0F0"/>
      </colorScale>
    </cfRule>
  </conditionalFormatting>
  <conditionalFormatting sqref="H14:I14">
    <cfRule type="colorScale" priority="19">
      <colorScale>
        <cfvo type="formula" val="&quot;$J$16&gt;$M$8&quot;"/>
        <cfvo type="formula" val="&quot;&lt;$M$8&quot;"/>
        <color theme="9" tint="0.39997558519241921"/>
        <color rgb="FFFF0000"/>
      </colorScale>
    </cfRule>
    <cfRule type="cellIs" dxfId="1" priority="18" operator="greaterThan">
      <formula>$H$21</formula>
    </cfRule>
    <cfRule type="cellIs" dxfId="0" priority="17" operator="lessThan">
      <formula>$H$21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5C2E-AA1A-D846-9293-457DDE4BC542}">
  <dimension ref="A1:AM64"/>
  <sheetViews>
    <sheetView topLeftCell="T33" zoomScale="111" zoomScaleNormal="100" workbookViewId="0">
      <selection activeCell="F24" sqref="F24"/>
    </sheetView>
  </sheetViews>
  <sheetFormatPr baseColWidth="10" defaultRowHeight="16" x14ac:dyDescent="0.2"/>
  <cols>
    <col min="1" max="1" width="20.6640625" bestFit="1" customWidth="1"/>
    <col min="2" max="2" width="13.83203125" bestFit="1" customWidth="1"/>
    <col min="3" max="3" width="13.6640625" customWidth="1"/>
    <col min="4" max="4" width="12.33203125" bestFit="1" customWidth="1"/>
    <col min="5" max="5" width="9.33203125" bestFit="1" customWidth="1"/>
    <col min="6" max="17" width="11" bestFit="1" customWidth="1"/>
    <col min="18" max="18" width="14" bestFit="1" customWidth="1"/>
    <col min="19" max="19" width="11.1640625" bestFit="1" customWidth="1"/>
    <col min="20" max="20" width="18.33203125" bestFit="1" customWidth="1"/>
    <col min="21" max="21" width="14" bestFit="1" customWidth="1"/>
    <col min="22" max="22" width="8.83203125" bestFit="1" customWidth="1"/>
    <col min="23" max="23" width="11" bestFit="1" customWidth="1"/>
    <col min="24" max="24" width="11.1640625" bestFit="1" customWidth="1"/>
    <col min="25" max="25" width="9.5" bestFit="1" customWidth="1"/>
    <col min="27" max="27" width="8.83203125" bestFit="1" customWidth="1"/>
  </cols>
  <sheetData>
    <row r="1" spans="1:39" ht="20" customHeight="1" x14ac:dyDescent="0.2">
      <c r="A1" s="112" t="s">
        <v>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</row>
    <row r="2" spans="1:39" ht="17" customHeight="1" x14ac:dyDescent="0.2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</row>
    <row r="3" spans="1:39" x14ac:dyDescent="0.2">
      <c r="A3" s="11" t="s">
        <v>21</v>
      </c>
      <c r="B3" s="14">
        <v>230</v>
      </c>
      <c r="C3" s="14">
        <v>230</v>
      </c>
      <c r="D3" s="90">
        <v>230</v>
      </c>
      <c r="E3" s="14">
        <v>230</v>
      </c>
      <c r="F3" s="14">
        <v>230</v>
      </c>
      <c r="G3" s="90">
        <v>230</v>
      </c>
      <c r="H3" s="14">
        <v>230</v>
      </c>
      <c r="I3" s="14">
        <v>230</v>
      </c>
      <c r="J3" s="90">
        <v>230</v>
      </c>
      <c r="K3" s="14">
        <v>230</v>
      </c>
      <c r="L3" s="14">
        <v>230</v>
      </c>
      <c r="M3" s="90">
        <v>230</v>
      </c>
      <c r="N3" s="14">
        <v>230</v>
      </c>
      <c r="O3" s="14">
        <v>230</v>
      </c>
      <c r="P3" s="14">
        <v>230</v>
      </c>
      <c r="Q3" s="90">
        <v>230</v>
      </c>
      <c r="R3" s="14">
        <v>230</v>
      </c>
      <c r="S3" s="14">
        <v>230</v>
      </c>
      <c r="T3" s="90">
        <v>230</v>
      </c>
      <c r="U3" s="14">
        <v>230</v>
      </c>
      <c r="V3" s="14">
        <v>230</v>
      </c>
      <c r="W3" s="90">
        <v>230</v>
      </c>
      <c r="X3" s="14">
        <v>230</v>
      </c>
      <c r="Y3" s="14">
        <v>230</v>
      </c>
      <c r="Z3" s="90">
        <v>230</v>
      </c>
      <c r="AA3" s="14">
        <v>230</v>
      </c>
      <c r="AB3" s="14">
        <v>230</v>
      </c>
      <c r="AC3" s="14">
        <v>230</v>
      </c>
      <c r="AD3" s="90">
        <v>230</v>
      </c>
      <c r="AE3" s="14">
        <v>230</v>
      </c>
      <c r="AF3" s="14">
        <v>230</v>
      </c>
      <c r="AG3" s="14">
        <v>230</v>
      </c>
      <c r="AH3" s="14">
        <v>230</v>
      </c>
      <c r="AI3" s="90">
        <v>230</v>
      </c>
      <c r="AJ3" s="14">
        <v>230</v>
      </c>
      <c r="AK3" s="14">
        <v>230</v>
      </c>
      <c r="AL3" s="90">
        <v>230</v>
      </c>
      <c r="AM3" s="14">
        <v>230</v>
      </c>
    </row>
    <row r="4" spans="1:39" x14ac:dyDescent="0.2">
      <c r="A4" s="11" t="s">
        <v>9</v>
      </c>
      <c r="B4" s="14">
        <v>1</v>
      </c>
      <c r="C4" s="14">
        <v>2</v>
      </c>
      <c r="D4" s="90">
        <v>3</v>
      </c>
      <c r="E4" s="14">
        <v>4</v>
      </c>
      <c r="F4" s="14">
        <v>5</v>
      </c>
      <c r="G4" s="90">
        <v>6</v>
      </c>
      <c r="H4" s="14">
        <v>7</v>
      </c>
      <c r="I4" s="14">
        <v>8</v>
      </c>
      <c r="J4" s="90">
        <v>9</v>
      </c>
      <c r="K4" s="14">
        <v>10</v>
      </c>
      <c r="L4" s="14">
        <v>11</v>
      </c>
      <c r="M4" s="90">
        <v>12</v>
      </c>
      <c r="N4" s="14">
        <v>13</v>
      </c>
      <c r="O4" s="14">
        <v>14</v>
      </c>
      <c r="P4" s="14">
        <v>15</v>
      </c>
      <c r="Q4" s="90">
        <v>16</v>
      </c>
      <c r="R4" s="14">
        <v>17</v>
      </c>
      <c r="S4" s="14">
        <v>18</v>
      </c>
      <c r="T4" s="90">
        <v>19</v>
      </c>
      <c r="U4" s="14">
        <v>20</v>
      </c>
      <c r="V4" s="14">
        <v>21</v>
      </c>
      <c r="W4" s="90">
        <v>22</v>
      </c>
      <c r="X4" s="14">
        <v>23</v>
      </c>
      <c r="Y4" s="14">
        <v>24</v>
      </c>
      <c r="Z4" s="90">
        <v>25</v>
      </c>
      <c r="AA4" s="14">
        <v>26</v>
      </c>
      <c r="AB4" s="14">
        <v>27</v>
      </c>
      <c r="AC4" s="14">
        <v>28</v>
      </c>
      <c r="AD4" s="90">
        <v>29</v>
      </c>
      <c r="AE4" s="14">
        <v>30</v>
      </c>
      <c r="AF4" s="14">
        <v>31</v>
      </c>
      <c r="AG4" s="14">
        <v>32</v>
      </c>
      <c r="AH4" s="14">
        <v>33</v>
      </c>
      <c r="AI4" s="90">
        <v>34</v>
      </c>
      <c r="AJ4" s="14">
        <v>35</v>
      </c>
      <c r="AK4" s="14">
        <v>36</v>
      </c>
      <c r="AL4" s="90">
        <v>37</v>
      </c>
      <c r="AM4" s="14">
        <v>38</v>
      </c>
    </row>
    <row r="5" spans="1:39" x14ac:dyDescent="0.2">
      <c r="A5" s="20" t="s">
        <v>25</v>
      </c>
      <c r="B5" s="21">
        <f xml:space="preserve"> ((PI() * B4 * (B3 + B6)) / 2) / 1000</f>
        <v>0.71323578014449074</v>
      </c>
      <c r="C5" s="21">
        <f t="shared" ref="C5:D5" si="0" xml:space="preserve"> ((PI() * C4 * (C3 + C6)) / 2) / 1000</f>
        <v>1.4078104999266581</v>
      </c>
      <c r="D5" s="20">
        <f t="shared" si="0"/>
        <v>2.0837241593465019</v>
      </c>
      <c r="E5" s="21">
        <f xml:space="preserve"> ((PI() * E4 * (E3 + E6)) / 2) / 1000</f>
        <v>2.740976758404023</v>
      </c>
      <c r="F5" s="21">
        <f t="shared" ref="F5" si="1" xml:space="preserve"> ((PI() * F4 * (F3 + F6)) / 2) / 1000</f>
        <v>3.3795682970992202</v>
      </c>
      <c r="G5" s="20">
        <f t="shared" ref="G5:H5" si="2" xml:space="preserve"> ((PI() * G4 * (G3 + G6)) / 2) / 1000</f>
        <v>3.9994987754320941</v>
      </c>
      <c r="H5" s="21">
        <f t="shared" si="2"/>
        <v>4.6007681934026445</v>
      </c>
      <c r="I5" s="21">
        <f t="shared" ref="I5" si="3" xml:space="preserve"> ((PI() * I4 * (I3 + I6)) / 2) / 1000</f>
        <v>5.1833765510108716</v>
      </c>
      <c r="J5" s="20">
        <f t="shared" ref="J5:K5" si="4" xml:space="preserve"> ((PI() * J4 * (J3 + J6)) / 2) / 1000</f>
        <v>5.7473238482567748</v>
      </c>
      <c r="K5" s="21">
        <f t="shared" si="4"/>
        <v>6.2926100851403559</v>
      </c>
      <c r="L5" s="21">
        <f t="shared" ref="L5" si="5" xml:space="preserve"> ((PI() * L4 * (L3 + L6)) / 2) / 1000</f>
        <v>6.8192352616616114</v>
      </c>
      <c r="M5" s="20">
        <f t="shared" ref="M5:O5" si="6" xml:space="preserve"> ((PI() * M4 * (M3 + M6)) / 2) / 1000</f>
        <v>7.3271993778205466</v>
      </c>
      <c r="N5" s="21">
        <f t="shared" si="6"/>
        <v>7.8165024336171562</v>
      </c>
      <c r="O5" s="21">
        <f t="shared" si="6"/>
        <v>8.2871444290514429</v>
      </c>
      <c r="P5" s="21">
        <f t="shared" ref="P5" si="7" xml:space="preserve"> ((PI() * P4 * (P3 + P6)) / 2) / 1000</f>
        <v>8.7391253641234048</v>
      </c>
      <c r="Q5" s="20">
        <f t="shared" ref="Q5:R5" si="8" xml:space="preserve"> ((PI() * Q4 * (Q3 + Q6)) / 2) / 1000</f>
        <v>9.1724452388330473</v>
      </c>
      <c r="R5" s="21">
        <f t="shared" si="8"/>
        <v>9.5871040531803651</v>
      </c>
      <c r="S5" s="21">
        <f t="shared" ref="S5" si="9" xml:space="preserve"> ((PI() * S4 * (S3 + S6)) / 2) / 1000</f>
        <v>9.9831018071653563</v>
      </c>
      <c r="T5" s="20">
        <f t="shared" ref="T5" si="10" xml:space="preserve"> ((PI() * T4 * (T3 + T6)) / 2) / 1000</f>
        <v>10.360438500788026</v>
      </c>
      <c r="U5" s="21">
        <f t="shared" ref="U5" si="11" xml:space="preserve"> ((PI() * U4 * (U3 + U6)) / 2) / 1000</f>
        <v>10.719114134048374</v>
      </c>
      <c r="V5" s="21">
        <f t="shared" ref="V5" si="12" xml:space="preserve"> ((PI() * V4 * (V3 + V6)) / 2) / 1000</f>
        <v>11.059128706946398</v>
      </c>
      <c r="W5" s="20">
        <f t="shared" ref="W5" si="13" xml:space="preserve"> ((PI() * W4 * (W3 + W6)) / 2) / 1000</f>
        <v>11.380482219482095</v>
      </c>
      <c r="X5" s="21">
        <f t="shared" ref="X5" si="14" xml:space="preserve"> ((PI() * X4 * (X3 + X6)) / 2) / 1000</f>
        <v>11.683174671655474</v>
      </c>
      <c r="Y5" s="21">
        <f t="shared" ref="Y5" si="15" xml:space="preserve"> ((PI() * Y4 * (Y3 + Y6)) / 2) / 1000</f>
        <v>11.967206063466527</v>
      </c>
      <c r="Z5" s="20">
        <f t="shared" ref="Z5" si="16" xml:space="preserve"> ((PI() * Z4 * (Z3 + Z6)) / 2) / 1000</f>
        <v>12.232576394915258</v>
      </c>
      <c r="AA5" s="21">
        <f t="shared" ref="AA5:AB5" si="17" xml:space="preserve"> ((PI() * AA4 * (AA3 + AA6)) / 2) / 1000</f>
        <v>12.479285666001664</v>
      </c>
      <c r="AB5" s="21">
        <f t="shared" si="17"/>
        <v>12.707333876725746</v>
      </c>
      <c r="AC5" s="21">
        <f t="shared" ref="AC5" si="18" xml:space="preserve"> ((PI() * AC4 * (AC3 + AC6)) / 2) / 1000</f>
        <v>12.916721027087505</v>
      </c>
      <c r="AD5" s="20">
        <f t="shared" ref="AD5:AE5" si="19" xml:space="preserve"> ((PI() * AD4 * (AD3 + AD6)) / 2) / 1000</f>
        <v>13.107447117086943</v>
      </c>
      <c r="AE5" s="21">
        <f t="shared" si="19"/>
        <v>13.279512146724052</v>
      </c>
      <c r="AF5" s="21">
        <f t="shared" ref="AF5" si="20" xml:space="preserve"> ((PI() * AF4 * (AF3 + AF6)) / 2) / 1000</f>
        <v>13.432916115998845</v>
      </c>
      <c r="AG5" s="21">
        <f xml:space="preserve"> ((PI() * AG4 * (AG3 + AG6)) / 2) / 1000</f>
        <v>13.567659024911309</v>
      </c>
      <c r="AH5" s="21">
        <f t="shared" ref="AH5" si="21" xml:space="preserve"> ((PI() * AH4 * (AH3 + AH6)) / 2) / 1000</f>
        <v>13.683740873461456</v>
      </c>
      <c r="AI5" s="20">
        <f t="shared" ref="AI5" si="22" xml:space="preserve"> ((PI() * AI4 * (AI3 + AI6)) / 2) / 1000</f>
        <v>13.781161661649271</v>
      </c>
      <c r="AJ5" s="21">
        <f xml:space="preserve"> ((PI() * AJ4 * (AJ3 + AJ6)) / 2) / 1000</f>
        <v>13.859921389474769</v>
      </c>
      <c r="AK5" s="21">
        <f t="shared" ref="AK5" si="23" xml:space="preserve"> ((PI() * AK4 * (AK3 + AK6)) / 2) / 1000</f>
        <v>13.920020056937943</v>
      </c>
      <c r="AL5" s="20">
        <f t="shared" ref="AL5" si="24" xml:space="preserve"> ((PI() * AL4 * (AL3 + AL6)) / 2) / 1000</f>
        <v>13.961457664038793</v>
      </c>
      <c r="AM5" s="21">
        <f t="shared" ref="AM5" si="25" xml:space="preserve"> ((PI() * AM4 * (AM3 + AM6)) / 2) / 1000</f>
        <v>13.984234210777315</v>
      </c>
    </row>
    <row r="6" spans="1:39" x14ac:dyDescent="0.2">
      <c r="A6" s="20" t="s">
        <v>19</v>
      </c>
      <c r="B6" s="21">
        <f t="shared" ref="B6:G6" si="26">B3-(2*B4*($C$21+$C$20))</f>
        <v>224.06</v>
      </c>
      <c r="C6" s="21">
        <f t="shared" si="26"/>
        <v>218.12</v>
      </c>
      <c r="D6" s="20">
        <f t="shared" si="26"/>
        <v>212.18</v>
      </c>
      <c r="E6" s="21">
        <f t="shared" si="26"/>
        <v>206.24</v>
      </c>
      <c r="F6" s="21">
        <f t="shared" si="26"/>
        <v>200.3</v>
      </c>
      <c r="G6" s="20">
        <f t="shared" si="26"/>
        <v>194.36</v>
      </c>
      <c r="H6" s="21">
        <f t="shared" ref="H6:T6" si="27">H3-(2*H4*($C$21+$C$20))</f>
        <v>188.42</v>
      </c>
      <c r="I6" s="21">
        <f t="shared" si="27"/>
        <v>182.48</v>
      </c>
      <c r="J6" s="20">
        <f t="shared" si="27"/>
        <v>176.54</v>
      </c>
      <c r="K6" s="21">
        <f t="shared" si="27"/>
        <v>170.6</v>
      </c>
      <c r="L6" s="21">
        <f t="shared" si="27"/>
        <v>164.66</v>
      </c>
      <c r="M6" s="20">
        <f t="shared" si="27"/>
        <v>158.72</v>
      </c>
      <c r="N6" s="21">
        <f t="shared" si="27"/>
        <v>152.78</v>
      </c>
      <c r="O6" s="21">
        <f t="shared" si="27"/>
        <v>146.83999999999997</v>
      </c>
      <c r="P6" s="21">
        <f t="shared" si="27"/>
        <v>140.89999999999998</v>
      </c>
      <c r="Q6" s="20">
        <f t="shared" si="27"/>
        <v>134.95999999999998</v>
      </c>
      <c r="R6" s="21">
        <f t="shared" si="27"/>
        <v>129.01999999999998</v>
      </c>
      <c r="S6" s="21">
        <f t="shared" si="27"/>
        <v>123.08</v>
      </c>
      <c r="T6" s="20">
        <f t="shared" si="27"/>
        <v>117.13999999999999</v>
      </c>
      <c r="U6" s="21">
        <f t="shared" ref="U6:AF6" si="28">U3-(2*U4*($C$21+$C$20))</f>
        <v>111.19999999999999</v>
      </c>
      <c r="V6" s="21">
        <f t="shared" si="28"/>
        <v>105.25999999999999</v>
      </c>
      <c r="W6" s="20">
        <f t="shared" si="28"/>
        <v>99.32</v>
      </c>
      <c r="X6" s="21">
        <f t="shared" si="28"/>
        <v>93.38</v>
      </c>
      <c r="Y6" s="21">
        <f t="shared" si="28"/>
        <v>87.44</v>
      </c>
      <c r="Z6" s="20">
        <f t="shared" si="28"/>
        <v>81.5</v>
      </c>
      <c r="AA6" s="21">
        <f t="shared" si="28"/>
        <v>75.56</v>
      </c>
      <c r="AB6" s="21">
        <f t="shared" si="28"/>
        <v>69.619999999999976</v>
      </c>
      <c r="AC6" s="21">
        <f t="shared" si="28"/>
        <v>63.679999999999978</v>
      </c>
      <c r="AD6" s="20">
        <f t="shared" si="28"/>
        <v>57.739999999999981</v>
      </c>
      <c r="AE6" s="21">
        <f t="shared" si="28"/>
        <v>51.799999999999983</v>
      </c>
      <c r="AF6" s="21">
        <f t="shared" si="28"/>
        <v>45.859999999999985</v>
      </c>
      <c r="AG6" s="21">
        <f t="shared" ref="AG6:AL6" si="29">AG3-(2*AG4*($C$21+$C$20))</f>
        <v>39.919999999999987</v>
      </c>
      <c r="AH6" s="21">
        <f t="shared" si="29"/>
        <v>33.97999999999999</v>
      </c>
      <c r="AI6" s="20">
        <f t="shared" si="29"/>
        <v>28.039999999999992</v>
      </c>
      <c r="AJ6" s="21">
        <f t="shared" si="29"/>
        <v>22.099999999999994</v>
      </c>
      <c r="AK6" s="21">
        <f t="shared" si="29"/>
        <v>16.159999999999997</v>
      </c>
      <c r="AL6" s="20">
        <f t="shared" si="29"/>
        <v>10.219999999999999</v>
      </c>
      <c r="AM6" s="21">
        <f t="shared" ref="AM6" si="30">AM3-(2*AM4*($C$21+$C$20))</f>
        <v>4.2799999999999727</v>
      </c>
    </row>
    <row r="7" spans="1:39" x14ac:dyDescent="0.2">
      <c r="A7" s="20" t="s">
        <v>33</v>
      </c>
      <c r="B7" s="21">
        <f>PI()*(B3/1000/2)^2</f>
        <v>4.1547562843725017E-2</v>
      </c>
      <c r="C7" s="21">
        <f t="shared" ref="C7:D7" si="31">PI()*(C3/1000/2)^2</f>
        <v>4.1547562843725017E-2</v>
      </c>
      <c r="D7" s="20">
        <f t="shared" si="31"/>
        <v>4.1547562843725017E-2</v>
      </c>
      <c r="E7" s="21">
        <f>PI()*(E3/1000/2)^2</f>
        <v>4.1547562843725017E-2</v>
      </c>
      <c r="F7" s="21">
        <f t="shared" ref="F7:K7" si="32">PI()*(F3/1000/2)^2</f>
        <v>4.1547562843725017E-2</v>
      </c>
      <c r="G7" s="20">
        <f t="shared" si="32"/>
        <v>4.1547562843725017E-2</v>
      </c>
      <c r="H7" s="21">
        <f t="shared" si="32"/>
        <v>4.1547562843725017E-2</v>
      </c>
      <c r="I7" s="21">
        <f t="shared" si="32"/>
        <v>4.1547562843725017E-2</v>
      </c>
      <c r="J7" s="20">
        <f t="shared" si="32"/>
        <v>4.1547562843725017E-2</v>
      </c>
      <c r="K7" s="21">
        <f t="shared" si="32"/>
        <v>4.1547562843725017E-2</v>
      </c>
      <c r="L7" s="21">
        <f t="shared" ref="L7:X7" si="33">PI()*(L3/1000/2)^2</f>
        <v>4.1547562843725017E-2</v>
      </c>
      <c r="M7" s="20">
        <f t="shared" si="33"/>
        <v>4.1547562843725017E-2</v>
      </c>
      <c r="N7" s="21">
        <f t="shared" si="33"/>
        <v>4.1547562843725017E-2</v>
      </c>
      <c r="O7" s="21">
        <f t="shared" si="33"/>
        <v>4.1547562843725017E-2</v>
      </c>
      <c r="P7" s="21">
        <f t="shared" si="33"/>
        <v>4.1547562843725017E-2</v>
      </c>
      <c r="Q7" s="20">
        <f t="shared" si="33"/>
        <v>4.1547562843725017E-2</v>
      </c>
      <c r="R7" s="21">
        <f t="shared" si="33"/>
        <v>4.1547562843725017E-2</v>
      </c>
      <c r="S7" s="21">
        <f t="shared" si="33"/>
        <v>4.1547562843725017E-2</v>
      </c>
      <c r="T7" s="20">
        <f t="shared" si="33"/>
        <v>4.1547562843725017E-2</v>
      </c>
      <c r="U7" s="21">
        <f t="shared" si="33"/>
        <v>4.1547562843725017E-2</v>
      </c>
      <c r="V7" s="21">
        <f t="shared" si="33"/>
        <v>4.1547562843725017E-2</v>
      </c>
      <c r="W7" s="20">
        <f t="shared" si="33"/>
        <v>4.1547562843725017E-2</v>
      </c>
      <c r="X7" s="21">
        <f t="shared" si="33"/>
        <v>4.1547562843725017E-2</v>
      </c>
      <c r="Y7" s="21">
        <f t="shared" ref="Y7:AF7" si="34">PI()*(Y3/1000/2)^2</f>
        <v>4.1547562843725017E-2</v>
      </c>
      <c r="Z7" s="20">
        <f t="shared" si="34"/>
        <v>4.1547562843725017E-2</v>
      </c>
      <c r="AA7" s="21">
        <f t="shared" si="34"/>
        <v>4.1547562843725017E-2</v>
      </c>
      <c r="AB7" s="21">
        <f t="shared" si="34"/>
        <v>4.1547562843725017E-2</v>
      </c>
      <c r="AC7" s="21">
        <f t="shared" si="34"/>
        <v>4.1547562843725017E-2</v>
      </c>
      <c r="AD7" s="20">
        <f t="shared" si="34"/>
        <v>4.1547562843725017E-2</v>
      </c>
      <c r="AE7" s="21">
        <f t="shared" si="34"/>
        <v>4.1547562843725017E-2</v>
      </c>
      <c r="AF7" s="21">
        <f t="shared" si="34"/>
        <v>4.1547562843725017E-2</v>
      </c>
      <c r="AG7" s="21">
        <f>PI()*(AG3/1000/2)^2</f>
        <v>4.1547562843725017E-2</v>
      </c>
      <c r="AH7" s="21">
        <f t="shared" ref="AH7:AI7" si="35">PI()*(AH3/1000/2)^2</f>
        <v>4.1547562843725017E-2</v>
      </c>
      <c r="AI7" s="20">
        <f t="shared" si="35"/>
        <v>4.1547562843725017E-2</v>
      </c>
      <c r="AJ7" s="21">
        <f>PI()*(AJ3/1000/2)^2</f>
        <v>4.1547562843725017E-2</v>
      </c>
      <c r="AK7" s="21">
        <f t="shared" ref="AK7:AM7" si="36">PI()*(AK3/1000/2)^2</f>
        <v>4.1547562843725017E-2</v>
      </c>
      <c r="AL7" s="20">
        <f t="shared" si="36"/>
        <v>4.1547562843725017E-2</v>
      </c>
      <c r="AM7" s="21">
        <f t="shared" si="36"/>
        <v>4.1547562843725017E-2</v>
      </c>
    </row>
    <row r="8" spans="1:39" x14ac:dyDescent="0.2">
      <c r="A8" s="33" t="s">
        <v>34</v>
      </c>
      <c r="B8" s="35">
        <f t="shared" ref="B8:AM8" si="37">(B11^2 * B4^2) / (8 * B11 + 11 * B10)</f>
        <v>0.53923751403264453</v>
      </c>
      <c r="C8" s="35">
        <f t="shared" si="37"/>
        <v>2.0554623435543173</v>
      </c>
      <c r="D8" s="91">
        <f t="shared" si="37"/>
        <v>4.4076988017248011</v>
      </c>
      <c r="E8" s="35">
        <f t="shared" si="37"/>
        <v>7.4687349236255969</v>
      </c>
      <c r="F8" s="35">
        <f t="shared" si="37"/>
        <v>11.123725192082691</v>
      </c>
      <c r="G8" s="91">
        <f t="shared" si="37"/>
        <v>15.268960095410094</v>
      </c>
      <c r="H8" s="35">
        <f t="shared" si="37"/>
        <v>19.810779731184017</v>
      </c>
      <c r="I8" s="35">
        <f t="shared" si="37"/>
        <v>24.664612158769938</v>
      </c>
      <c r="J8" s="91">
        <f t="shared" si="37"/>
        <v>29.754120102334966</v>
      </c>
      <c r="K8" s="35">
        <f t="shared" si="37"/>
        <v>35.010442024164483</v>
      </c>
      <c r="L8" s="35">
        <f t="shared" si="37"/>
        <v>40.371515612306879</v>
      </c>
      <c r="M8" s="91">
        <f t="shared" si="37"/>
        <v>45.781473426913749</v>
      </c>
      <c r="N8" s="35">
        <f t="shared" si="37"/>
        <v>51.190101882693334</v>
      </c>
      <c r="O8" s="35">
        <f t="shared" si="37"/>
        <v>56.552355956537582</v>
      </c>
      <c r="P8" s="35">
        <f t="shared" si="37"/>
        <v>61.827923036985204</v>
      </c>
      <c r="Q8" s="91">
        <f t="shared" si="37"/>
        <v>66.98083020628934</v>
      </c>
      <c r="R8" s="35">
        <f t="shared" si="37"/>
        <v>71.979089991529463</v>
      </c>
      <c r="S8" s="35">
        <f t="shared" si="37"/>
        <v>76.794380259073137</v>
      </c>
      <c r="T8" s="91">
        <f t="shared" si="37"/>
        <v>81.401754473799087</v>
      </c>
      <c r="U8" s="35">
        <f t="shared" si="37"/>
        <v>85.77937901496405</v>
      </c>
      <c r="V8" s="35">
        <f t="shared" si="37"/>
        <v>89.908294646175435</v>
      </c>
      <c r="W8" s="91">
        <f t="shared" si="37"/>
        <v>93.772199587417077</v>
      </c>
      <c r="X8" s="35">
        <f t="shared" si="37"/>
        <v>97.357251940655402</v>
      </c>
      <c r="Y8" s="35">
        <f t="shared" si="37"/>
        <v>100.65188948410258</v>
      </c>
      <c r="Z8" s="91">
        <f t="shared" si="37"/>
        <v>103.64666507951267</v>
      </c>
      <c r="AA8" s="35">
        <f t="shared" si="37"/>
        <v>106.33409613680801</v>
      </c>
      <c r="AB8" s="35">
        <f t="shared" si="37"/>
        <v>108.70852675500535</v>
      </c>
      <c r="AC8" s="35">
        <f t="shared" si="37"/>
        <v>110.76600131132248</v>
      </c>
      <c r="AD8" s="91">
        <f t="shared" si="37"/>
        <v>112.50414840447139</v>
      </c>
      <c r="AE8" s="35">
        <f t="shared" si="37"/>
        <v>113.92207417601334</v>
      </c>
      <c r="AF8" s="35">
        <f t="shared" si="37"/>
        <v>115.02026413742134</v>
      </c>
      <c r="AG8" s="35">
        <f t="shared" si="37"/>
        <v>115.80049272201893</v>
      </c>
      <c r="AH8" s="35">
        <f t="shared" si="37"/>
        <v>116.26573986182538</v>
      </c>
      <c r="AI8" s="91">
        <f t="shared" si="37"/>
        <v>116.42011396089715</v>
      </c>
      <c r="AJ8" s="35">
        <f t="shared" si="37"/>
        <v>116.26878070019073</v>
      </c>
      <c r="AK8" s="35">
        <f t="shared" si="37"/>
        <v>115.81789716529015</v>
      </c>
      <c r="AL8" s="91">
        <f t="shared" si="37"/>
        <v>115.07455083842655</v>
      </c>
      <c r="AM8" s="35">
        <f t="shared" si="37"/>
        <v>114.04670304081721</v>
      </c>
    </row>
    <row r="9" spans="1:39" x14ac:dyDescent="0.2">
      <c r="A9" s="94" t="s">
        <v>103</v>
      </c>
      <c r="B9" s="95">
        <f>$C$22*B5</f>
        <v>6.9084017664795372</v>
      </c>
      <c r="C9" s="95">
        <f t="shared" ref="C9:AM9" si="38">$C$22*C5</f>
        <v>13.63605250228961</v>
      </c>
      <c r="D9" s="95">
        <f t="shared" si="38"/>
        <v>20.182952207430219</v>
      </c>
      <c r="E9" s="95">
        <f t="shared" si="38"/>
        <v>26.549100881901367</v>
      </c>
      <c r="F9" s="95">
        <f t="shared" si="38"/>
        <v>32.734498525703046</v>
      </c>
      <c r="G9" s="95">
        <f t="shared" si="38"/>
        <v>38.739145138835262</v>
      </c>
      <c r="H9" s="95">
        <f t="shared" si="38"/>
        <v>44.563040721298016</v>
      </c>
      <c r="I9" s="95">
        <f t="shared" si="38"/>
        <v>50.2061852730913</v>
      </c>
      <c r="J9" s="95">
        <f t="shared" si="38"/>
        <v>55.668578794215122</v>
      </c>
      <c r="K9" s="95">
        <f t="shared" si="38"/>
        <v>60.950221284669489</v>
      </c>
      <c r="L9" s="95">
        <f t="shared" si="38"/>
        <v>66.051112744454372</v>
      </c>
      <c r="M9" s="95">
        <f t="shared" si="38"/>
        <v>70.971253173569821</v>
      </c>
      <c r="N9" s="95">
        <f t="shared" si="38"/>
        <v>75.710642572015772</v>
      </c>
      <c r="O9" s="95">
        <f t="shared" si="38"/>
        <v>80.269280939792282</v>
      </c>
      <c r="P9" s="95">
        <f t="shared" si="38"/>
        <v>84.647168276899293</v>
      </c>
      <c r="Q9" s="95">
        <f t="shared" si="38"/>
        <v>88.844304583336893</v>
      </c>
      <c r="R9" s="95">
        <f t="shared" si="38"/>
        <v>92.860689859105022</v>
      </c>
      <c r="S9" s="95">
        <f t="shared" si="38"/>
        <v>96.69632410420364</v>
      </c>
      <c r="T9" s="95">
        <f t="shared" si="38"/>
        <v>100.35120731863282</v>
      </c>
      <c r="U9" s="95">
        <f t="shared" si="38"/>
        <v>103.82533950239255</v>
      </c>
      <c r="V9" s="95">
        <f t="shared" si="38"/>
        <v>107.1187206554828</v>
      </c>
      <c r="W9" s="95">
        <f t="shared" si="38"/>
        <v>110.23135077790357</v>
      </c>
      <c r="X9" s="95">
        <f t="shared" si="38"/>
        <v>113.16322986965491</v>
      </c>
      <c r="Y9" s="95">
        <f t="shared" si="38"/>
        <v>115.91435793073678</v>
      </c>
      <c r="Z9" s="95">
        <f t="shared" si="38"/>
        <v>118.48473496114919</v>
      </c>
      <c r="AA9" s="95">
        <f t="shared" si="38"/>
        <v>120.87436096089212</v>
      </c>
      <c r="AB9" s="95">
        <f t="shared" si="38"/>
        <v>123.08323592996558</v>
      </c>
      <c r="AC9" s="95">
        <f t="shared" si="38"/>
        <v>125.11135986836958</v>
      </c>
      <c r="AD9" s="95">
        <f t="shared" si="38"/>
        <v>126.95873277610413</v>
      </c>
      <c r="AE9" s="95">
        <f t="shared" si="38"/>
        <v>128.62535465316915</v>
      </c>
      <c r="AF9" s="95">
        <f t="shared" si="38"/>
        <v>130.11122549956482</v>
      </c>
      <c r="AG9" s="95">
        <f t="shared" si="38"/>
        <v>131.41634531529095</v>
      </c>
      <c r="AH9" s="95">
        <f t="shared" si="38"/>
        <v>132.54071410034766</v>
      </c>
      <c r="AI9" s="95">
        <f t="shared" si="38"/>
        <v>133.48433185473485</v>
      </c>
      <c r="AJ9" s="95">
        <f t="shared" si="38"/>
        <v>134.24719857845261</v>
      </c>
      <c r="AK9" s="95">
        <f t="shared" si="38"/>
        <v>134.82931427150092</v>
      </c>
      <c r="AL9" s="95">
        <f t="shared" si="38"/>
        <v>135.23067893387974</v>
      </c>
      <c r="AM9" s="95">
        <f t="shared" si="38"/>
        <v>135.45129256558906</v>
      </c>
    </row>
    <row r="10" spans="1:39" x14ac:dyDescent="0.2">
      <c r="A10" s="12" t="s">
        <v>29</v>
      </c>
      <c r="B10" s="16">
        <f t="shared" ref="B10:AM10" si="39" xml:space="preserve"> (($C$21 / 25.4) + ($C$20/ 25.4)) * B4</f>
        <v>0.11692913385826773</v>
      </c>
      <c r="C10" s="16">
        <f t="shared" si="39"/>
        <v>0.23385826771653545</v>
      </c>
      <c r="D10" s="12">
        <f t="shared" si="39"/>
        <v>0.35078740157480315</v>
      </c>
      <c r="E10" s="16">
        <f t="shared" si="39"/>
        <v>0.4677165354330709</v>
      </c>
      <c r="F10" s="16">
        <f t="shared" si="39"/>
        <v>0.58464566929133865</v>
      </c>
      <c r="G10" s="12">
        <f t="shared" si="39"/>
        <v>0.7015748031496063</v>
      </c>
      <c r="H10" s="16">
        <f t="shared" si="39"/>
        <v>0.81850393700787405</v>
      </c>
      <c r="I10" s="16">
        <f t="shared" si="39"/>
        <v>0.9354330708661418</v>
      </c>
      <c r="J10" s="12">
        <f t="shared" si="39"/>
        <v>1.0523622047244094</v>
      </c>
      <c r="K10" s="16">
        <f t="shared" si="39"/>
        <v>1.1692913385826773</v>
      </c>
      <c r="L10" s="16">
        <f t="shared" si="39"/>
        <v>1.286220472440945</v>
      </c>
      <c r="M10" s="12">
        <f t="shared" si="39"/>
        <v>1.4031496062992126</v>
      </c>
      <c r="N10" s="16">
        <f t="shared" si="39"/>
        <v>1.5200787401574805</v>
      </c>
      <c r="O10" s="16">
        <f t="shared" si="39"/>
        <v>1.6370078740157481</v>
      </c>
      <c r="P10" s="16">
        <f t="shared" si="39"/>
        <v>1.753937007874016</v>
      </c>
      <c r="Q10" s="12">
        <f t="shared" si="39"/>
        <v>1.8708661417322836</v>
      </c>
      <c r="R10" s="16">
        <f t="shared" si="39"/>
        <v>1.9877952755905512</v>
      </c>
      <c r="S10" s="16">
        <f t="shared" si="39"/>
        <v>2.1047244094488189</v>
      </c>
      <c r="T10" s="12">
        <f t="shared" si="39"/>
        <v>2.2216535433070868</v>
      </c>
      <c r="U10" s="16">
        <f t="shared" si="39"/>
        <v>2.3385826771653546</v>
      </c>
      <c r="V10" s="16">
        <f t="shared" si="39"/>
        <v>2.455511811023622</v>
      </c>
      <c r="W10" s="12">
        <f t="shared" si="39"/>
        <v>2.5724409448818899</v>
      </c>
      <c r="X10" s="16">
        <f t="shared" si="39"/>
        <v>2.6893700787401578</v>
      </c>
      <c r="Y10" s="16">
        <f t="shared" si="39"/>
        <v>2.8062992125984252</v>
      </c>
      <c r="Z10" s="12">
        <f t="shared" si="39"/>
        <v>2.923228346456693</v>
      </c>
      <c r="AA10" s="16">
        <f t="shared" si="39"/>
        <v>3.0401574803149609</v>
      </c>
      <c r="AB10" s="16">
        <f t="shared" si="39"/>
        <v>3.1570866141732288</v>
      </c>
      <c r="AC10" s="16">
        <f t="shared" si="39"/>
        <v>3.2740157480314962</v>
      </c>
      <c r="AD10" s="12">
        <f t="shared" si="39"/>
        <v>3.3909448818897641</v>
      </c>
      <c r="AE10" s="16">
        <f t="shared" si="39"/>
        <v>3.5078740157480319</v>
      </c>
      <c r="AF10" s="16">
        <f t="shared" si="39"/>
        <v>3.6248031496062993</v>
      </c>
      <c r="AG10" s="16">
        <f t="shared" si="39"/>
        <v>3.7417322834645672</v>
      </c>
      <c r="AH10" s="16">
        <f t="shared" si="39"/>
        <v>3.8586614173228351</v>
      </c>
      <c r="AI10" s="12">
        <f t="shared" si="39"/>
        <v>3.9755905511811025</v>
      </c>
      <c r="AJ10" s="16">
        <f t="shared" si="39"/>
        <v>4.0925196850393704</v>
      </c>
      <c r="AK10" s="16">
        <f t="shared" si="39"/>
        <v>4.2094488188976378</v>
      </c>
      <c r="AL10" s="12">
        <f t="shared" si="39"/>
        <v>4.3263779527559061</v>
      </c>
      <c r="AM10" s="16">
        <f t="shared" si="39"/>
        <v>4.4433070866141735</v>
      </c>
    </row>
    <row r="11" spans="1:39" x14ac:dyDescent="0.2">
      <c r="A11" s="13" t="s">
        <v>30</v>
      </c>
      <c r="B11" s="17">
        <f t="shared" ref="B11:AM11" si="40">((B6 / 25.4) + B10) / 2</f>
        <v>4.4690944881889765</v>
      </c>
      <c r="C11" s="17">
        <f t="shared" si="40"/>
        <v>4.4106299212598428</v>
      </c>
      <c r="D11" s="92">
        <f t="shared" si="40"/>
        <v>4.3521653543307082</v>
      </c>
      <c r="E11" s="17">
        <f t="shared" si="40"/>
        <v>4.2937007874015753</v>
      </c>
      <c r="F11" s="17">
        <f t="shared" si="40"/>
        <v>4.2352362204724416</v>
      </c>
      <c r="G11" s="92">
        <f t="shared" si="40"/>
        <v>4.176771653543307</v>
      </c>
      <c r="H11" s="17">
        <f t="shared" si="40"/>
        <v>4.1183070866141733</v>
      </c>
      <c r="I11" s="17">
        <f t="shared" si="40"/>
        <v>4.0598425196850396</v>
      </c>
      <c r="J11" s="92">
        <f t="shared" si="40"/>
        <v>4.0013779527559059</v>
      </c>
      <c r="K11" s="17">
        <f t="shared" si="40"/>
        <v>3.9429133858267722</v>
      </c>
      <c r="L11" s="17">
        <f t="shared" si="40"/>
        <v>3.884448818897638</v>
      </c>
      <c r="M11" s="92">
        <f t="shared" si="40"/>
        <v>3.8259842519685039</v>
      </c>
      <c r="N11" s="17">
        <f t="shared" si="40"/>
        <v>3.7675196850393702</v>
      </c>
      <c r="O11" s="17">
        <f t="shared" si="40"/>
        <v>3.709055118110236</v>
      </c>
      <c r="P11" s="17">
        <f t="shared" si="40"/>
        <v>3.6505905511811019</v>
      </c>
      <c r="Q11" s="92">
        <f t="shared" si="40"/>
        <v>3.5921259842519682</v>
      </c>
      <c r="R11" s="17">
        <f t="shared" si="40"/>
        <v>3.5336614173228345</v>
      </c>
      <c r="S11" s="17">
        <f t="shared" si="40"/>
        <v>3.4751968503937007</v>
      </c>
      <c r="T11" s="92">
        <f t="shared" si="40"/>
        <v>3.416732283464567</v>
      </c>
      <c r="U11" s="17">
        <f t="shared" si="40"/>
        <v>3.3582677165354333</v>
      </c>
      <c r="V11" s="17">
        <f t="shared" si="40"/>
        <v>3.2998031496062992</v>
      </c>
      <c r="W11" s="92">
        <f t="shared" si="40"/>
        <v>3.2413385826771655</v>
      </c>
      <c r="X11" s="17">
        <f t="shared" si="40"/>
        <v>3.1828740157480317</v>
      </c>
      <c r="Y11" s="17">
        <f t="shared" si="40"/>
        <v>3.1244094488188976</v>
      </c>
      <c r="Z11" s="92">
        <f t="shared" si="40"/>
        <v>3.0659448818897639</v>
      </c>
      <c r="AA11" s="17">
        <f t="shared" si="40"/>
        <v>3.0074803149606302</v>
      </c>
      <c r="AB11" s="17">
        <f t="shared" si="40"/>
        <v>2.9490157480314956</v>
      </c>
      <c r="AC11" s="17">
        <f t="shared" si="40"/>
        <v>2.8905511811023619</v>
      </c>
      <c r="AD11" s="92">
        <f t="shared" si="40"/>
        <v>2.8320866141732282</v>
      </c>
      <c r="AE11" s="17">
        <f t="shared" si="40"/>
        <v>2.7736220472440944</v>
      </c>
      <c r="AF11" s="17">
        <f t="shared" si="40"/>
        <v>2.7151574803149603</v>
      </c>
      <c r="AG11" s="17">
        <f t="shared" si="40"/>
        <v>2.6566929133858266</v>
      </c>
      <c r="AH11" s="17">
        <f t="shared" si="40"/>
        <v>2.5982283464566929</v>
      </c>
      <c r="AI11" s="92">
        <f t="shared" si="40"/>
        <v>2.5397637795275587</v>
      </c>
      <c r="AJ11" s="17">
        <f t="shared" si="40"/>
        <v>2.481299212598425</v>
      </c>
      <c r="AK11" s="17">
        <f t="shared" si="40"/>
        <v>2.4228346456692913</v>
      </c>
      <c r="AL11" s="92">
        <f t="shared" si="40"/>
        <v>2.3643700787401576</v>
      </c>
      <c r="AM11" s="17">
        <f t="shared" si="40"/>
        <v>2.3059055118110234</v>
      </c>
    </row>
    <row r="12" spans="1:39" x14ac:dyDescent="0.2">
      <c r="E12" s="93"/>
    </row>
    <row r="13" spans="1:39" x14ac:dyDescent="0.2">
      <c r="A13" s="111"/>
      <c r="B13" s="111"/>
      <c r="C13" s="111"/>
      <c r="D13" s="111"/>
      <c r="E13" s="111"/>
    </row>
    <row r="20" spans="2:26" x14ac:dyDescent="0.2">
      <c r="B20" t="s">
        <v>105</v>
      </c>
      <c r="C20">
        <v>0.5</v>
      </c>
      <c r="D20" t="s">
        <v>16</v>
      </c>
    </row>
    <row r="21" spans="2:26" x14ac:dyDescent="0.2">
      <c r="B21" t="s">
        <v>104</v>
      </c>
      <c r="C21">
        <v>2.4700000000000002</v>
      </c>
      <c r="D21" t="s">
        <v>16</v>
      </c>
    </row>
    <row r="22" spans="2:26" x14ac:dyDescent="0.2">
      <c r="B22" t="s">
        <v>106</v>
      </c>
      <c r="C22" s="36">
        <v>9.6859999999999999</v>
      </c>
      <c r="D22" s="19" t="s">
        <v>107</v>
      </c>
    </row>
    <row r="26" spans="2:26" x14ac:dyDescent="0.2">
      <c r="R26" s="11" t="s">
        <v>21</v>
      </c>
      <c r="S26" s="11" t="s">
        <v>9</v>
      </c>
      <c r="T26" s="20" t="s">
        <v>25</v>
      </c>
      <c r="U26" s="20" t="s">
        <v>19</v>
      </c>
      <c r="V26" s="20" t="s">
        <v>33</v>
      </c>
      <c r="W26" s="33" t="s">
        <v>34</v>
      </c>
      <c r="X26" s="94" t="s">
        <v>103</v>
      </c>
      <c r="Y26" s="12" t="s">
        <v>29</v>
      </c>
      <c r="Z26" s="13" t="s">
        <v>30</v>
      </c>
    </row>
    <row r="27" spans="2:26" x14ac:dyDescent="0.2">
      <c r="R27" s="14">
        <v>230</v>
      </c>
      <c r="S27" s="14">
        <v>1</v>
      </c>
      <c r="T27" s="21">
        <f t="shared" ref="T27:T64" si="41" xml:space="preserve"> ((PI() * S27 * (R27 + U27)) / 2) / 1000</f>
        <v>0.71323578014449074</v>
      </c>
      <c r="U27" s="21">
        <f t="shared" ref="U27:U64" si="42">R27-(2*S27*($C$21+$C$20))</f>
        <v>224.06</v>
      </c>
      <c r="V27" s="21">
        <f t="shared" ref="V27:V64" si="43">PI()*(R27/1000/2)^2</f>
        <v>4.1547562843725017E-2</v>
      </c>
      <c r="W27" s="35">
        <f t="shared" ref="W27:W64" si="44">(Z27^2 * S27^2) / (8 * Z27 + 11 * Y27)</f>
        <v>0.53923751403264453</v>
      </c>
      <c r="X27" s="95">
        <f t="shared" ref="X27:X64" si="45">$C$22*T27</f>
        <v>6.9084017664795372</v>
      </c>
      <c r="Y27" s="16">
        <f t="shared" ref="Y27:Y64" si="46" xml:space="preserve"> (($C$21 / 25.4) + ($C$20/ 25.4)) * S27</f>
        <v>0.11692913385826773</v>
      </c>
      <c r="Z27" s="17">
        <f t="shared" ref="Z27:Z64" si="47">((U27 / 25.4) + Y27) / 2</f>
        <v>4.4690944881889765</v>
      </c>
    </row>
    <row r="28" spans="2:26" ht="20" x14ac:dyDescent="0.25">
      <c r="I28" s="99"/>
      <c r="J28" s="100"/>
      <c r="K28" s="100"/>
      <c r="L28" s="101"/>
      <c r="R28" s="14">
        <v>230</v>
      </c>
      <c r="S28" s="14">
        <v>2</v>
      </c>
      <c r="T28" s="21">
        <f t="shared" si="41"/>
        <v>1.4078104999266581</v>
      </c>
      <c r="U28" s="21">
        <f t="shared" si="42"/>
        <v>218.12</v>
      </c>
      <c r="V28" s="21">
        <f t="shared" si="43"/>
        <v>4.1547562843725017E-2</v>
      </c>
      <c r="W28" s="35">
        <f t="shared" si="44"/>
        <v>2.0554623435543173</v>
      </c>
      <c r="X28" s="95">
        <f t="shared" si="45"/>
        <v>13.63605250228961</v>
      </c>
      <c r="Y28" s="16">
        <f t="shared" si="46"/>
        <v>0.23385826771653545</v>
      </c>
      <c r="Z28" s="17">
        <f t="shared" si="47"/>
        <v>4.4106299212598428</v>
      </c>
    </row>
    <row r="29" spans="2:26" ht="17" x14ac:dyDescent="0.2">
      <c r="I29" s="104"/>
      <c r="J29" s="105"/>
      <c r="K29" s="105"/>
      <c r="L29" s="106"/>
      <c r="R29" s="90">
        <v>230</v>
      </c>
      <c r="S29" s="90">
        <v>3</v>
      </c>
      <c r="T29" s="20">
        <f t="shared" si="41"/>
        <v>2.0837241593465019</v>
      </c>
      <c r="U29" s="20">
        <f t="shared" si="42"/>
        <v>212.18</v>
      </c>
      <c r="V29" s="20">
        <f t="shared" si="43"/>
        <v>4.1547562843725017E-2</v>
      </c>
      <c r="W29" s="91">
        <f t="shared" si="44"/>
        <v>4.4076988017248011</v>
      </c>
      <c r="X29" s="95">
        <f t="shared" si="45"/>
        <v>20.182952207430219</v>
      </c>
      <c r="Y29" s="12">
        <f t="shared" si="46"/>
        <v>0.35078740157480315</v>
      </c>
      <c r="Z29" s="92">
        <f t="shared" si="47"/>
        <v>4.3521653543307082</v>
      </c>
    </row>
    <row r="30" spans="2:26" x14ac:dyDescent="0.2">
      <c r="I30" s="18"/>
      <c r="J30" s="59"/>
      <c r="K30" s="60"/>
      <c r="L30" s="61"/>
      <c r="R30" s="14">
        <v>230</v>
      </c>
      <c r="S30" s="14">
        <v>4</v>
      </c>
      <c r="T30" s="21">
        <f t="shared" si="41"/>
        <v>2.740976758404023</v>
      </c>
      <c r="U30" s="21">
        <f t="shared" si="42"/>
        <v>206.24</v>
      </c>
      <c r="V30" s="21">
        <f t="shared" si="43"/>
        <v>4.1547562843725017E-2</v>
      </c>
      <c r="W30" s="35">
        <f t="shared" si="44"/>
        <v>7.4687349236255969</v>
      </c>
      <c r="X30" s="95">
        <f t="shared" si="45"/>
        <v>26.549100881901367</v>
      </c>
      <c r="Y30" s="16">
        <f t="shared" si="46"/>
        <v>0.4677165354330709</v>
      </c>
      <c r="Z30" s="17">
        <f t="shared" si="47"/>
        <v>4.2937007874015753</v>
      </c>
    </row>
    <row r="31" spans="2:26" x14ac:dyDescent="0.2">
      <c r="I31" s="11"/>
      <c r="J31" s="22"/>
      <c r="K31" s="22"/>
      <c r="L31" s="19"/>
      <c r="R31" s="14">
        <v>230</v>
      </c>
      <c r="S31" s="14">
        <v>5</v>
      </c>
      <c r="T31" s="21">
        <f t="shared" si="41"/>
        <v>3.3795682970992202</v>
      </c>
      <c r="U31" s="21">
        <f t="shared" si="42"/>
        <v>200.3</v>
      </c>
      <c r="V31" s="21">
        <f t="shared" si="43"/>
        <v>4.1547562843725017E-2</v>
      </c>
      <c r="W31" s="35">
        <f t="shared" si="44"/>
        <v>11.123725192082691</v>
      </c>
      <c r="X31" s="95">
        <f t="shared" si="45"/>
        <v>32.734498525703046</v>
      </c>
      <c r="Y31" s="16">
        <f t="shared" si="46"/>
        <v>0.58464566929133865</v>
      </c>
      <c r="Z31" s="17">
        <f t="shared" si="47"/>
        <v>4.2352362204724416</v>
      </c>
    </row>
    <row r="32" spans="2:26" x14ac:dyDescent="0.2">
      <c r="I32" s="11"/>
      <c r="J32" s="14"/>
      <c r="K32" s="14"/>
      <c r="L32" s="19"/>
      <c r="R32" s="90">
        <v>230</v>
      </c>
      <c r="S32" s="90">
        <v>6</v>
      </c>
      <c r="T32" s="20">
        <f t="shared" si="41"/>
        <v>3.9994987754320941</v>
      </c>
      <c r="U32" s="20">
        <f t="shared" si="42"/>
        <v>194.36</v>
      </c>
      <c r="V32" s="20">
        <f t="shared" si="43"/>
        <v>4.1547562843725017E-2</v>
      </c>
      <c r="W32" s="91">
        <f t="shared" si="44"/>
        <v>15.268960095410094</v>
      </c>
      <c r="X32" s="95">
        <f t="shared" si="45"/>
        <v>38.739145138835262</v>
      </c>
      <c r="Y32" s="12">
        <f t="shared" si="46"/>
        <v>0.7015748031496063</v>
      </c>
      <c r="Z32" s="92">
        <f t="shared" si="47"/>
        <v>4.176771653543307</v>
      </c>
    </row>
    <row r="33" spans="9:26" x14ac:dyDescent="0.2">
      <c r="I33" s="11"/>
      <c r="J33" s="14"/>
      <c r="K33" s="14"/>
      <c r="L33" s="19"/>
      <c r="R33" s="14">
        <v>230</v>
      </c>
      <c r="S33" s="14">
        <v>7</v>
      </c>
      <c r="T33" s="21">
        <f t="shared" si="41"/>
        <v>4.6007681934026445</v>
      </c>
      <c r="U33" s="21">
        <f t="shared" si="42"/>
        <v>188.42</v>
      </c>
      <c r="V33" s="21">
        <f t="shared" si="43"/>
        <v>4.1547562843725017E-2</v>
      </c>
      <c r="W33" s="35">
        <f t="shared" si="44"/>
        <v>19.810779731184017</v>
      </c>
      <c r="X33" s="95">
        <f t="shared" si="45"/>
        <v>44.563040721298016</v>
      </c>
      <c r="Y33" s="16">
        <f t="shared" si="46"/>
        <v>0.81850393700787405</v>
      </c>
      <c r="Z33" s="17">
        <f t="shared" si="47"/>
        <v>4.1183070866141733</v>
      </c>
    </row>
    <row r="34" spans="9:26" x14ac:dyDescent="0.2">
      <c r="I34" s="11"/>
      <c r="J34" s="15"/>
      <c r="K34" s="15"/>
      <c r="L34" s="19"/>
      <c r="R34" s="14">
        <v>230</v>
      </c>
      <c r="S34" s="14">
        <v>8</v>
      </c>
      <c r="T34" s="21">
        <f t="shared" si="41"/>
        <v>5.1833765510108716</v>
      </c>
      <c r="U34" s="21">
        <f t="shared" si="42"/>
        <v>182.48</v>
      </c>
      <c r="V34" s="21">
        <f t="shared" si="43"/>
        <v>4.1547562843725017E-2</v>
      </c>
      <c r="W34" s="35">
        <f t="shared" si="44"/>
        <v>24.664612158769938</v>
      </c>
      <c r="X34" s="95">
        <f t="shared" si="45"/>
        <v>50.2061852730913</v>
      </c>
      <c r="Y34" s="16">
        <f t="shared" si="46"/>
        <v>0.9354330708661418</v>
      </c>
      <c r="Z34" s="17">
        <f t="shared" si="47"/>
        <v>4.0598425196850396</v>
      </c>
    </row>
    <row r="35" spans="9:26" x14ac:dyDescent="0.2">
      <c r="I35" s="20"/>
      <c r="J35" s="21"/>
      <c r="K35" s="21"/>
      <c r="L35" s="19"/>
      <c r="R35" s="90">
        <v>230</v>
      </c>
      <c r="S35" s="90">
        <v>9</v>
      </c>
      <c r="T35" s="20">
        <f t="shared" si="41"/>
        <v>5.7473238482567748</v>
      </c>
      <c r="U35" s="20">
        <f t="shared" si="42"/>
        <v>176.54</v>
      </c>
      <c r="V35" s="20">
        <f t="shared" si="43"/>
        <v>4.1547562843725017E-2</v>
      </c>
      <c r="W35" s="91">
        <f t="shared" si="44"/>
        <v>29.754120102334966</v>
      </c>
      <c r="X35" s="95">
        <f t="shared" si="45"/>
        <v>55.668578794215122</v>
      </c>
      <c r="Y35" s="12">
        <f t="shared" si="46"/>
        <v>1.0523622047244094</v>
      </c>
      <c r="Z35" s="92">
        <f t="shared" si="47"/>
        <v>4.0013779527559059</v>
      </c>
    </row>
    <row r="36" spans="9:26" x14ac:dyDescent="0.2">
      <c r="I36" s="20"/>
      <c r="J36" s="21"/>
      <c r="K36" s="21"/>
      <c r="L36" s="19"/>
      <c r="R36" s="14">
        <v>230</v>
      </c>
      <c r="S36" s="14">
        <v>10</v>
      </c>
      <c r="T36" s="21">
        <f t="shared" si="41"/>
        <v>6.2926100851403559</v>
      </c>
      <c r="U36" s="21">
        <f t="shared" si="42"/>
        <v>170.6</v>
      </c>
      <c r="V36" s="21">
        <f t="shared" si="43"/>
        <v>4.1547562843725017E-2</v>
      </c>
      <c r="W36" s="35">
        <f t="shared" si="44"/>
        <v>35.010442024164483</v>
      </c>
      <c r="X36" s="95">
        <f t="shared" si="45"/>
        <v>60.950221284669489</v>
      </c>
      <c r="Y36" s="16">
        <f t="shared" si="46"/>
        <v>1.1692913385826773</v>
      </c>
      <c r="Z36" s="17">
        <f t="shared" si="47"/>
        <v>3.9429133858267722</v>
      </c>
    </row>
    <row r="37" spans="9:26" x14ac:dyDescent="0.2">
      <c r="I37" s="20"/>
      <c r="J37" s="21"/>
      <c r="K37" s="21"/>
      <c r="L37" s="19"/>
      <c r="R37" s="14">
        <v>230</v>
      </c>
      <c r="S37" s="14">
        <v>11</v>
      </c>
      <c r="T37" s="21">
        <f t="shared" si="41"/>
        <v>6.8192352616616114</v>
      </c>
      <c r="U37" s="21">
        <f t="shared" si="42"/>
        <v>164.66</v>
      </c>
      <c r="V37" s="21">
        <f t="shared" si="43"/>
        <v>4.1547562843725017E-2</v>
      </c>
      <c r="W37" s="35">
        <f t="shared" si="44"/>
        <v>40.371515612306879</v>
      </c>
      <c r="X37" s="95">
        <f t="shared" si="45"/>
        <v>66.051112744454372</v>
      </c>
      <c r="Y37" s="16">
        <f t="shared" si="46"/>
        <v>1.286220472440945</v>
      </c>
      <c r="Z37" s="17">
        <f t="shared" si="47"/>
        <v>3.884448818897638</v>
      </c>
    </row>
    <row r="38" spans="9:26" x14ac:dyDescent="0.2">
      <c r="I38" s="33"/>
      <c r="J38" s="35"/>
      <c r="K38" s="35"/>
      <c r="L38" s="34"/>
      <c r="R38" s="90">
        <v>230</v>
      </c>
      <c r="S38" s="90">
        <v>12</v>
      </c>
      <c r="T38" s="20">
        <f t="shared" si="41"/>
        <v>7.3271993778205466</v>
      </c>
      <c r="U38" s="20">
        <f t="shared" si="42"/>
        <v>158.72</v>
      </c>
      <c r="V38" s="20">
        <f t="shared" si="43"/>
        <v>4.1547562843725017E-2</v>
      </c>
      <c r="W38" s="91">
        <f t="shared" si="44"/>
        <v>45.781473426913749</v>
      </c>
      <c r="X38" s="95">
        <f t="shared" si="45"/>
        <v>70.971253173569821</v>
      </c>
      <c r="Y38" s="12">
        <f t="shared" si="46"/>
        <v>1.4031496062992126</v>
      </c>
      <c r="Z38" s="92">
        <f t="shared" si="47"/>
        <v>3.8259842519685039</v>
      </c>
    </row>
    <row r="39" spans="9:26" x14ac:dyDescent="0.2">
      <c r="I39" s="30"/>
      <c r="J39" s="32"/>
      <c r="K39" s="32"/>
      <c r="L39" s="31"/>
      <c r="R39" s="14">
        <v>230</v>
      </c>
      <c r="S39" s="14">
        <v>13</v>
      </c>
      <c r="T39" s="21">
        <f t="shared" si="41"/>
        <v>7.8165024336171562</v>
      </c>
      <c r="U39" s="21">
        <f t="shared" si="42"/>
        <v>152.78</v>
      </c>
      <c r="V39" s="21">
        <f t="shared" si="43"/>
        <v>4.1547562843725017E-2</v>
      </c>
      <c r="W39" s="35">
        <f t="shared" si="44"/>
        <v>51.190101882693334</v>
      </c>
      <c r="X39" s="95">
        <f t="shared" si="45"/>
        <v>75.710642572015772</v>
      </c>
      <c r="Y39" s="16">
        <f t="shared" si="46"/>
        <v>1.5200787401574805</v>
      </c>
      <c r="Z39" s="17">
        <f t="shared" si="47"/>
        <v>3.7675196850393702</v>
      </c>
    </row>
    <row r="40" spans="9:26" x14ac:dyDescent="0.2">
      <c r="I40" s="33"/>
      <c r="J40" s="35"/>
      <c r="K40" s="35"/>
      <c r="L40" s="34"/>
      <c r="R40" s="14">
        <v>230</v>
      </c>
      <c r="S40" s="14">
        <v>14</v>
      </c>
      <c r="T40" s="21">
        <f t="shared" si="41"/>
        <v>8.2871444290514429</v>
      </c>
      <c r="U40" s="21">
        <f t="shared" si="42"/>
        <v>146.83999999999997</v>
      </c>
      <c r="V40" s="21">
        <f t="shared" si="43"/>
        <v>4.1547562843725017E-2</v>
      </c>
      <c r="W40" s="35">
        <f t="shared" si="44"/>
        <v>56.552355956537582</v>
      </c>
      <c r="X40" s="95">
        <f t="shared" si="45"/>
        <v>80.269280939792282</v>
      </c>
      <c r="Y40" s="16">
        <f t="shared" si="46"/>
        <v>1.6370078740157481</v>
      </c>
      <c r="Z40" s="17">
        <f t="shared" si="47"/>
        <v>3.709055118110236</v>
      </c>
    </row>
    <row r="41" spans="9:26" x14ac:dyDescent="0.2">
      <c r="I41" s="12"/>
      <c r="J41" s="16"/>
      <c r="K41" s="16"/>
      <c r="L41" s="9"/>
      <c r="R41" s="14">
        <v>230</v>
      </c>
      <c r="S41" s="14">
        <v>15</v>
      </c>
      <c r="T41" s="21">
        <f t="shared" si="41"/>
        <v>8.7391253641234048</v>
      </c>
      <c r="U41" s="21">
        <f t="shared" si="42"/>
        <v>140.89999999999998</v>
      </c>
      <c r="V41" s="21">
        <f t="shared" si="43"/>
        <v>4.1547562843725017E-2</v>
      </c>
      <c r="W41" s="35">
        <f t="shared" si="44"/>
        <v>61.827923036985204</v>
      </c>
      <c r="X41" s="95">
        <f t="shared" si="45"/>
        <v>84.647168276899293</v>
      </c>
      <c r="Y41" s="16">
        <f t="shared" si="46"/>
        <v>1.753937007874016</v>
      </c>
      <c r="Z41" s="17">
        <f t="shared" si="47"/>
        <v>3.6505905511811019</v>
      </c>
    </row>
    <row r="42" spans="9:26" x14ac:dyDescent="0.2">
      <c r="I42" s="13"/>
      <c r="J42" s="17"/>
      <c r="K42" s="17"/>
      <c r="L42" s="3"/>
      <c r="R42" s="90">
        <v>230</v>
      </c>
      <c r="S42" s="90">
        <v>16</v>
      </c>
      <c r="T42" s="20">
        <f t="shared" si="41"/>
        <v>9.1724452388330473</v>
      </c>
      <c r="U42" s="20">
        <f t="shared" si="42"/>
        <v>134.95999999999998</v>
      </c>
      <c r="V42" s="20">
        <f t="shared" si="43"/>
        <v>4.1547562843725017E-2</v>
      </c>
      <c r="W42" s="91">
        <f t="shared" si="44"/>
        <v>66.98083020628934</v>
      </c>
      <c r="X42" s="95">
        <f t="shared" si="45"/>
        <v>88.844304583336893</v>
      </c>
      <c r="Y42" s="12">
        <f t="shared" si="46"/>
        <v>1.8708661417322836</v>
      </c>
      <c r="Z42" s="92">
        <f t="shared" si="47"/>
        <v>3.5921259842519682</v>
      </c>
    </row>
    <row r="43" spans="9:26" x14ac:dyDescent="0.2">
      <c r="R43" s="14">
        <v>230</v>
      </c>
      <c r="S43" s="14">
        <v>17</v>
      </c>
      <c r="T43" s="21">
        <f t="shared" si="41"/>
        <v>9.5871040531803651</v>
      </c>
      <c r="U43" s="21">
        <f t="shared" si="42"/>
        <v>129.01999999999998</v>
      </c>
      <c r="V43" s="21">
        <f t="shared" si="43"/>
        <v>4.1547562843725017E-2</v>
      </c>
      <c r="W43" s="35">
        <f t="shared" si="44"/>
        <v>71.979089991529463</v>
      </c>
      <c r="X43" s="95">
        <f t="shared" si="45"/>
        <v>92.860689859105022</v>
      </c>
      <c r="Y43" s="16">
        <f t="shared" si="46"/>
        <v>1.9877952755905512</v>
      </c>
      <c r="Z43" s="17">
        <f t="shared" si="47"/>
        <v>3.5336614173228345</v>
      </c>
    </row>
    <row r="44" spans="9:26" x14ac:dyDescent="0.2">
      <c r="R44" s="14">
        <v>230</v>
      </c>
      <c r="S44" s="14">
        <v>18</v>
      </c>
      <c r="T44" s="21">
        <f t="shared" si="41"/>
        <v>9.9831018071653563</v>
      </c>
      <c r="U44" s="21">
        <f t="shared" si="42"/>
        <v>123.08</v>
      </c>
      <c r="V44" s="21">
        <f t="shared" si="43"/>
        <v>4.1547562843725017E-2</v>
      </c>
      <c r="W44" s="35">
        <f t="shared" si="44"/>
        <v>76.794380259073137</v>
      </c>
      <c r="X44" s="95">
        <f t="shared" si="45"/>
        <v>96.69632410420364</v>
      </c>
      <c r="Y44" s="16">
        <f t="shared" si="46"/>
        <v>2.1047244094488189</v>
      </c>
      <c r="Z44" s="17">
        <f t="shared" si="47"/>
        <v>3.4751968503937007</v>
      </c>
    </row>
    <row r="45" spans="9:26" x14ac:dyDescent="0.2">
      <c r="R45" s="90">
        <v>230</v>
      </c>
      <c r="S45" s="90">
        <v>19</v>
      </c>
      <c r="T45" s="20">
        <f t="shared" si="41"/>
        <v>10.360438500788026</v>
      </c>
      <c r="U45" s="20">
        <f t="shared" si="42"/>
        <v>117.13999999999999</v>
      </c>
      <c r="V45" s="20">
        <f t="shared" si="43"/>
        <v>4.1547562843725017E-2</v>
      </c>
      <c r="W45" s="91">
        <f t="shared" si="44"/>
        <v>81.401754473799087</v>
      </c>
      <c r="X45" s="95">
        <f t="shared" si="45"/>
        <v>100.35120731863282</v>
      </c>
      <c r="Y45" s="12">
        <f t="shared" si="46"/>
        <v>2.2216535433070868</v>
      </c>
      <c r="Z45" s="92">
        <f t="shared" si="47"/>
        <v>3.416732283464567</v>
      </c>
    </row>
    <row r="46" spans="9:26" x14ac:dyDescent="0.2">
      <c r="R46" s="14">
        <v>230</v>
      </c>
      <c r="S46" s="14">
        <v>20</v>
      </c>
      <c r="T46" s="21">
        <f t="shared" si="41"/>
        <v>10.719114134048374</v>
      </c>
      <c r="U46" s="21">
        <f t="shared" si="42"/>
        <v>111.19999999999999</v>
      </c>
      <c r="V46" s="21">
        <f t="shared" si="43"/>
        <v>4.1547562843725017E-2</v>
      </c>
      <c r="W46" s="35">
        <f t="shared" si="44"/>
        <v>85.77937901496405</v>
      </c>
      <c r="X46" s="95">
        <f t="shared" si="45"/>
        <v>103.82533950239255</v>
      </c>
      <c r="Y46" s="16">
        <f t="shared" si="46"/>
        <v>2.3385826771653546</v>
      </c>
      <c r="Z46" s="17">
        <f t="shared" si="47"/>
        <v>3.3582677165354333</v>
      </c>
    </row>
    <row r="47" spans="9:26" x14ac:dyDescent="0.2">
      <c r="R47" s="14">
        <v>230</v>
      </c>
      <c r="S47" s="14">
        <v>21</v>
      </c>
      <c r="T47" s="21">
        <f t="shared" si="41"/>
        <v>11.059128706946398</v>
      </c>
      <c r="U47" s="21">
        <f t="shared" si="42"/>
        <v>105.25999999999999</v>
      </c>
      <c r="V47" s="21">
        <f t="shared" si="43"/>
        <v>4.1547562843725017E-2</v>
      </c>
      <c r="W47" s="35">
        <f t="shared" si="44"/>
        <v>89.908294646175435</v>
      </c>
      <c r="X47" s="95">
        <f t="shared" si="45"/>
        <v>107.1187206554828</v>
      </c>
      <c r="Y47" s="16">
        <f t="shared" si="46"/>
        <v>2.455511811023622</v>
      </c>
      <c r="Z47" s="17">
        <f t="shared" si="47"/>
        <v>3.2998031496062992</v>
      </c>
    </row>
    <row r="48" spans="9:26" x14ac:dyDescent="0.2">
      <c r="R48" s="90">
        <v>230</v>
      </c>
      <c r="S48" s="90">
        <v>22</v>
      </c>
      <c r="T48" s="20">
        <f t="shared" si="41"/>
        <v>11.380482219482095</v>
      </c>
      <c r="U48" s="20">
        <f t="shared" si="42"/>
        <v>99.32</v>
      </c>
      <c r="V48" s="20">
        <f t="shared" si="43"/>
        <v>4.1547562843725017E-2</v>
      </c>
      <c r="W48" s="91">
        <f t="shared" si="44"/>
        <v>93.772199587417077</v>
      </c>
      <c r="X48" s="95">
        <f t="shared" si="45"/>
        <v>110.23135077790357</v>
      </c>
      <c r="Y48" s="12">
        <f t="shared" si="46"/>
        <v>2.5724409448818899</v>
      </c>
      <c r="Z48" s="92">
        <f t="shared" si="47"/>
        <v>3.2413385826771655</v>
      </c>
    </row>
    <row r="49" spans="18:26" x14ac:dyDescent="0.2">
      <c r="R49" s="14">
        <v>230</v>
      </c>
      <c r="S49" s="14">
        <v>23</v>
      </c>
      <c r="T49" s="21">
        <f t="shared" si="41"/>
        <v>11.683174671655474</v>
      </c>
      <c r="U49" s="21">
        <f t="shared" si="42"/>
        <v>93.38</v>
      </c>
      <c r="V49" s="21">
        <f t="shared" si="43"/>
        <v>4.1547562843725017E-2</v>
      </c>
      <c r="W49" s="35">
        <f t="shared" si="44"/>
        <v>97.357251940655402</v>
      </c>
      <c r="X49" s="95">
        <f t="shared" si="45"/>
        <v>113.16322986965491</v>
      </c>
      <c r="Y49" s="16">
        <f t="shared" si="46"/>
        <v>2.6893700787401578</v>
      </c>
      <c r="Z49" s="17">
        <f t="shared" si="47"/>
        <v>3.1828740157480317</v>
      </c>
    </row>
    <row r="50" spans="18:26" x14ac:dyDescent="0.2">
      <c r="R50" s="14">
        <v>230</v>
      </c>
      <c r="S50" s="14">
        <v>24</v>
      </c>
      <c r="T50" s="21">
        <f t="shared" si="41"/>
        <v>11.967206063466527</v>
      </c>
      <c r="U50" s="21">
        <f t="shared" si="42"/>
        <v>87.44</v>
      </c>
      <c r="V50" s="21">
        <f t="shared" si="43"/>
        <v>4.1547562843725017E-2</v>
      </c>
      <c r="W50" s="35">
        <f t="shared" si="44"/>
        <v>100.65188948410258</v>
      </c>
      <c r="X50" s="95">
        <f t="shared" si="45"/>
        <v>115.91435793073678</v>
      </c>
      <c r="Y50" s="16">
        <f t="shared" si="46"/>
        <v>2.8062992125984252</v>
      </c>
      <c r="Z50" s="17">
        <f t="shared" si="47"/>
        <v>3.1244094488188976</v>
      </c>
    </row>
    <row r="51" spans="18:26" x14ac:dyDescent="0.2">
      <c r="R51" s="90">
        <v>230</v>
      </c>
      <c r="S51" s="90">
        <v>25</v>
      </c>
      <c r="T51" s="20">
        <f t="shared" si="41"/>
        <v>12.232576394915258</v>
      </c>
      <c r="U51" s="20">
        <f t="shared" si="42"/>
        <v>81.5</v>
      </c>
      <c r="V51" s="20">
        <f t="shared" si="43"/>
        <v>4.1547562843725017E-2</v>
      </c>
      <c r="W51" s="91">
        <f t="shared" si="44"/>
        <v>103.64666507951267</v>
      </c>
      <c r="X51" s="95">
        <f t="shared" si="45"/>
        <v>118.48473496114919</v>
      </c>
      <c r="Y51" s="12">
        <f t="shared" si="46"/>
        <v>2.923228346456693</v>
      </c>
      <c r="Z51" s="92">
        <f t="shared" si="47"/>
        <v>3.0659448818897639</v>
      </c>
    </row>
    <row r="52" spans="18:26" x14ac:dyDescent="0.2">
      <c r="R52" s="14">
        <v>230</v>
      </c>
      <c r="S52" s="14">
        <v>26</v>
      </c>
      <c r="T52" s="21">
        <f t="shared" si="41"/>
        <v>12.479285666001664</v>
      </c>
      <c r="U52" s="21">
        <f t="shared" si="42"/>
        <v>75.56</v>
      </c>
      <c r="V52" s="21">
        <f t="shared" si="43"/>
        <v>4.1547562843725017E-2</v>
      </c>
      <c r="W52" s="35">
        <f t="shared" si="44"/>
        <v>106.33409613680801</v>
      </c>
      <c r="X52" s="95">
        <f t="shared" si="45"/>
        <v>120.87436096089212</v>
      </c>
      <c r="Y52" s="16">
        <f t="shared" si="46"/>
        <v>3.0401574803149609</v>
      </c>
      <c r="Z52" s="17">
        <f t="shared" si="47"/>
        <v>3.0074803149606302</v>
      </c>
    </row>
    <row r="53" spans="18:26" x14ac:dyDescent="0.2">
      <c r="R53" s="14">
        <v>230</v>
      </c>
      <c r="S53" s="14">
        <v>27</v>
      </c>
      <c r="T53" s="21">
        <f t="shared" si="41"/>
        <v>12.707333876725746</v>
      </c>
      <c r="U53" s="21">
        <f t="shared" si="42"/>
        <v>69.619999999999976</v>
      </c>
      <c r="V53" s="21">
        <f t="shared" si="43"/>
        <v>4.1547562843725017E-2</v>
      </c>
      <c r="W53" s="35">
        <f t="shared" si="44"/>
        <v>108.70852675500535</v>
      </c>
      <c r="X53" s="95">
        <f t="shared" si="45"/>
        <v>123.08323592996558</v>
      </c>
      <c r="Y53" s="16">
        <f t="shared" si="46"/>
        <v>3.1570866141732288</v>
      </c>
      <c r="Z53" s="17">
        <f t="shared" si="47"/>
        <v>2.9490157480314956</v>
      </c>
    </row>
    <row r="54" spans="18:26" x14ac:dyDescent="0.2">
      <c r="R54" s="14">
        <v>230</v>
      </c>
      <c r="S54" s="14">
        <v>28</v>
      </c>
      <c r="T54" s="21">
        <f t="shared" si="41"/>
        <v>12.916721027087505</v>
      </c>
      <c r="U54" s="21">
        <f t="shared" si="42"/>
        <v>63.679999999999978</v>
      </c>
      <c r="V54" s="21">
        <f t="shared" si="43"/>
        <v>4.1547562843725017E-2</v>
      </c>
      <c r="W54" s="35">
        <f t="shared" si="44"/>
        <v>110.76600131132248</v>
      </c>
      <c r="X54" s="95">
        <f t="shared" si="45"/>
        <v>125.11135986836958</v>
      </c>
      <c r="Y54" s="16">
        <f t="shared" si="46"/>
        <v>3.2740157480314962</v>
      </c>
      <c r="Z54" s="17">
        <f t="shared" si="47"/>
        <v>2.8905511811023619</v>
      </c>
    </row>
    <row r="55" spans="18:26" x14ac:dyDescent="0.2">
      <c r="R55" s="90">
        <v>230</v>
      </c>
      <c r="S55" s="90">
        <v>29</v>
      </c>
      <c r="T55" s="20">
        <f t="shared" si="41"/>
        <v>13.107447117086943</v>
      </c>
      <c r="U55" s="20">
        <f t="shared" si="42"/>
        <v>57.739999999999981</v>
      </c>
      <c r="V55" s="20">
        <f t="shared" si="43"/>
        <v>4.1547562843725017E-2</v>
      </c>
      <c r="W55" s="91">
        <f t="shared" si="44"/>
        <v>112.50414840447139</v>
      </c>
      <c r="X55" s="95">
        <f t="shared" si="45"/>
        <v>126.95873277610413</v>
      </c>
      <c r="Y55" s="12">
        <f t="shared" si="46"/>
        <v>3.3909448818897641</v>
      </c>
      <c r="Z55" s="92">
        <f t="shared" si="47"/>
        <v>2.8320866141732282</v>
      </c>
    </row>
    <row r="56" spans="18:26" x14ac:dyDescent="0.2">
      <c r="R56" s="14">
        <v>230</v>
      </c>
      <c r="S56" s="14">
        <v>30</v>
      </c>
      <c r="T56" s="21">
        <f t="shared" si="41"/>
        <v>13.279512146724052</v>
      </c>
      <c r="U56" s="21">
        <f t="shared" si="42"/>
        <v>51.799999999999983</v>
      </c>
      <c r="V56" s="21">
        <f t="shared" si="43"/>
        <v>4.1547562843725017E-2</v>
      </c>
      <c r="W56" s="35">
        <f t="shared" si="44"/>
        <v>113.92207417601334</v>
      </c>
      <c r="X56" s="95">
        <f t="shared" si="45"/>
        <v>128.62535465316915</v>
      </c>
      <c r="Y56" s="16">
        <f t="shared" si="46"/>
        <v>3.5078740157480319</v>
      </c>
      <c r="Z56" s="17">
        <f t="shared" si="47"/>
        <v>2.7736220472440944</v>
      </c>
    </row>
    <row r="57" spans="18:26" x14ac:dyDescent="0.2">
      <c r="R57" s="14">
        <v>230</v>
      </c>
      <c r="S57" s="14">
        <v>31</v>
      </c>
      <c r="T57" s="21">
        <f t="shared" si="41"/>
        <v>13.432916115998845</v>
      </c>
      <c r="U57" s="21">
        <f t="shared" si="42"/>
        <v>45.859999999999985</v>
      </c>
      <c r="V57" s="21">
        <f t="shared" si="43"/>
        <v>4.1547562843725017E-2</v>
      </c>
      <c r="W57" s="35">
        <f t="shared" si="44"/>
        <v>115.02026413742134</v>
      </c>
      <c r="X57" s="95">
        <f t="shared" si="45"/>
        <v>130.11122549956482</v>
      </c>
      <c r="Y57" s="16">
        <f t="shared" si="46"/>
        <v>3.6248031496062993</v>
      </c>
      <c r="Z57" s="17">
        <f t="shared" si="47"/>
        <v>2.7151574803149603</v>
      </c>
    </row>
    <row r="58" spans="18:26" x14ac:dyDescent="0.2">
      <c r="R58" s="14">
        <v>230</v>
      </c>
      <c r="S58" s="14">
        <v>32</v>
      </c>
      <c r="T58" s="21">
        <f t="shared" si="41"/>
        <v>13.567659024911309</v>
      </c>
      <c r="U58" s="21">
        <f t="shared" si="42"/>
        <v>39.919999999999987</v>
      </c>
      <c r="V58" s="21">
        <f t="shared" si="43"/>
        <v>4.1547562843725017E-2</v>
      </c>
      <c r="W58" s="35">
        <f t="shared" si="44"/>
        <v>115.80049272201893</v>
      </c>
      <c r="X58" s="95">
        <f t="shared" si="45"/>
        <v>131.41634531529095</v>
      </c>
      <c r="Y58" s="16">
        <f t="shared" si="46"/>
        <v>3.7417322834645672</v>
      </c>
      <c r="Z58" s="17">
        <f t="shared" si="47"/>
        <v>2.6566929133858266</v>
      </c>
    </row>
    <row r="59" spans="18:26" x14ac:dyDescent="0.2">
      <c r="R59" s="14">
        <v>230</v>
      </c>
      <c r="S59" s="14">
        <v>33</v>
      </c>
      <c r="T59" s="21">
        <f t="shared" si="41"/>
        <v>13.683740873461456</v>
      </c>
      <c r="U59" s="21">
        <f t="shared" si="42"/>
        <v>33.97999999999999</v>
      </c>
      <c r="V59" s="21">
        <f t="shared" si="43"/>
        <v>4.1547562843725017E-2</v>
      </c>
      <c r="W59" s="35">
        <f t="shared" si="44"/>
        <v>116.26573986182538</v>
      </c>
      <c r="X59" s="95">
        <f t="shared" si="45"/>
        <v>132.54071410034766</v>
      </c>
      <c r="Y59" s="16">
        <f t="shared" si="46"/>
        <v>3.8586614173228351</v>
      </c>
      <c r="Z59" s="17">
        <f t="shared" si="47"/>
        <v>2.5982283464566929</v>
      </c>
    </row>
    <row r="60" spans="18:26" x14ac:dyDescent="0.2">
      <c r="R60" s="90">
        <v>230</v>
      </c>
      <c r="S60" s="90">
        <v>34</v>
      </c>
      <c r="T60" s="20">
        <f t="shared" si="41"/>
        <v>13.781161661649271</v>
      </c>
      <c r="U60" s="20">
        <f t="shared" si="42"/>
        <v>28.039999999999992</v>
      </c>
      <c r="V60" s="20">
        <f t="shared" si="43"/>
        <v>4.1547562843725017E-2</v>
      </c>
      <c r="W60" s="91">
        <f t="shared" si="44"/>
        <v>116.42011396089715</v>
      </c>
      <c r="X60" s="95">
        <f t="shared" si="45"/>
        <v>133.48433185473485</v>
      </c>
      <c r="Y60" s="12">
        <f t="shared" si="46"/>
        <v>3.9755905511811025</v>
      </c>
      <c r="Z60" s="92">
        <f t="shared" si="47"/>
        <v>2.5397637795275587</v>
      </c>
    </row>
    <row r="61" spans="18:26" x14ac:dyDescent="0.2">
      <c r="R61" s="14">
        <v>230</v>
      </c>
      <c r="S61" s="14">
        <v>35</v>
      </c>
      <c r="T61" s="21">
        <f t="shared" si="41"/>
        <v>13.859921389474769</v>
      </c>
      <c r="U61" s="21">
        <f t="shared" si="42"/>
        <v>22.099999999999994</v>
      </c>
      <c r="V61" s="21">
        <f t="shared" si="43"/>
        <v>4.1547562843725017E-2</v>
      </c>
      <c r="W61" s="35">
        <f t="shared" si="44"/>
        <v>116.26878070019073</v>
      </c>
      <c r="X61" s="95">
        <f t="shared" si="45"/>
        <v>134.24719857845261</v>
      </c>
      <c r="Y61" s="16">
        <f t="shared" si="46"/>
        <v>4.0925196850393704</v>
      </c>
      <c r="Z61" s="17">
        <f t="shared" si="47"/>
        <v>2.481299212598425</v>
      </c>
    </row>
    <row r="62" spans="18:26" x14ac:dyDescent="0.2">
      <c r="R62" s="14">
        <v>230</v>
      </c>
      <c r="S62" s="14">
        <v>36</v>
      </c>
      <c r="T62" s="21">
        <f t="shared" si="41"/>
        <v>13.920020056937943</v>
      </c>
      <c r="U62" s="21">
        <f t="shared" si="42"/>
        <v>16.159999999999997</v>
      </c>
      <c r="V62" s="21">
        <f t="shared" si="43"/>
        <v>4.1547562843725017E-2</v>
      </c>
      <c r="W62" s="35">
        <f t="shared" si="44"/>
        <v>115.81789716529015</v>
      </c>
      <c r="X62" s="95">
        <f t="shared" si="45"/>
        <v>134.82931427150092</v>
      </c>
      <c r="Y62" s="16">
        <f t="shared" si="46"/>
        <v>4.2094488188976378</v>
      </c>
      <c r="Z62" s="17">
        <f t="shared" si="47"/>
        <v>2.4228346456692913</v>
      </c>
    </row>
    <row r="63" spans="18:26" x14ac:dyDescent="0.2">
      <c r="R63" s="90">
        <v>230</v>
      </c>
      <c r="S63" s="90">
        <v>37</v>
      </c>
      <c r="T63" s="20">
        <f t="shared" si="41"/>
        <v>13.961457664038793</v>
      </c>
      <c r="U63" s="20">
        <f t="shared" si="42"/>
        <v>10.219999999999999</v>
      </c>
      <c r="V63" s="20">
        <f t="shared" si="43"/>
        <v>4.1547562843725017E-2</v>
      </c>
      <c r="W63" s="91">
        <f t="shared" si="44"/>
        <v>115.07455083842655</v>
      </c>
      <c r="X63" s="95">
        <f t="shared" si="45"/>
        <v>135.23067893387974</v>
      </c>
      <c r="Y63" s="12">
        <f t="shared" si="46"/>
        <v>4.3263779527559061</v>
      </c>
      <c r="Z63" s="92">
        <f t="shared" si="47"/>
        <v>2.3643700787401576</v>
      </c>
    </row>
    <row r="64" spans="18:26" x14ac:dyDescent="0.2">
      <c r="R64" s="14">
        <v>230</v>
      </c>
      <c r="S64" s="14">
        <v>38</v>
      </c>
      <c r="T64" s="21">
        <f t="shared" si="41"/>
        <v>13.984234210777315</v>
      </c>
      <c r="U64" s="21">
        <f t="shared" si="42"/>
        <v>4.2799999999999727</v>
      </c>
      <c r="V64" s="21">
        <f t="shared" si="43"/>
        <v>4.1547562843725017E-2</v>
      </c>
      <c r="W64" s="35">
        <f t="shared" si="44"/>
        <v>114.04670304081721</v>
      </c>
      <c r="X64" s="95">
        <f t="shared" si="45"/>
        <v>135.45129256558906</v>
      </c>
      <c r="Y64" s="16">
        <f t="shared" si="46"/>
        <v>4.4433070866141735</v>
      </c>
      <c r="Z64" s="17">
        <f t="shared" si="47"/>
        <v>2.3059055118110234</v>
      </c>
    </row>
  </sheetData>
  <mergeCells count="4">
    <mergeCell ref="I28:L28"/>
    <mergeCell ref="I29:L29"/>
    <mergeCell ref="A13:E13"/>
    <mergeCell ref="A1:AM2"/>
  </mergeCells>
  <conditionalFormatting sqref="A8:AM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AM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6:W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7:X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B3AD-6C52-2844-88A5-980CEC16FAAB}">
  <dimension ref="A2:I23"/>
  <sheetViews>
    <sheetView zoomScale="117" workbookViewId="0">
      <selection activeCell="H29" sqref="H29"/>
    </sheetView>
  </sheetViews>
  <sheetFormatPr baseColWidth="10" defaultRowHeight="16" x14ac:dyDescent="0.2"/>
  <cols>
    <col min="1" max="1" width="11.1640625" bestFit="1" customWidth="1"/>
    <col min="8" max="8" width="12.5" bestFit="1" customWidth="1"/>
  </cols>
  <sheetData>
    <row r="2" spans="1:9" ht="20" x14ac:dyDescent="0.25">
      <c r="A2" s="114" t="s">
        <v>95</v>
      </c>
      <c r="B2" s="115"/>
      <c r="C2" s="115"/>
      <c r="D2" s="115"/>
      <c r="E2" s="115"/>
      <c r="F2" s="115"/>
      <c r="G2" s="115"/>
      <c r="H2" s="115"/>
      <c r="I2" s="115"/>
    </row>
    <row r="3" spans="1:9" x14ac:dyDescent="0.2">
      <c r="B3" t="s">
        <v>99</v>
      </c>
      <c r="C3" t="s">
        <v>98</v>
      </c>
      <c r="D3" t="s">
        <v>62</v>
      </c>
      <c r="E3" t="s">
        <v>59</v>
      </c>
      <c r="F3" t="s">
        <v>8</v>
      </c>
      <c r="G3" t="s">
        <v>101</v>
      </c>
      <c r="H3" t="s">
        <v>61</v>
      </c>
      <c r="I3" t="s">
        <v>97</v>
      </c>
    </row>
    <row r="4" spans="1:9" x14ac:dyDescent="0.2">
      <c r="A4" t="s">
        <v>93</v>
      </c>
      <c r="B4">
        <v>7.64</v>
      </c>
      <c r="C4">
        <f>B4/G4</f>
        <v>0.76400000000000001</v>
      </c>
      <c r="D4">
        <f t="shared" ref="D4:D8" si="0">B4*C4</f>
        <v>5.8369599999999995</v>
      </c>
      <c r="E4">
        <v>5.04</v>
      </c>
      <c r="F4">
        <v>2.31</v>
      </c>
      <c r="G4">
        <v>10</v>
      </c>
      <c r="H4">
        <f t="shared" ref="H4:H8" si="1">E4*F4</f>
        <v>11.6424</v>
      </c>
      <c r="I4" s="98">
        <f>(D4/H4)*100</f>
        <v>50.135367278224422</v>
      </c>
    </row>
    <row r="5" spans="1:9" x14ac:dyDescent="0.2">
      <c r="A5" t="s">
        <v>94</v>
      </c>
      <c r="B5">
        <v>20.6</v>
      </c>
      <c r="C5">
        <f>B5/G5</f>
        <v>1.03</v>
      </c>
      <c r="D5">
        <f t="shared" si="0"/>
        <v>21.218000000000004</v>
      </c>
      <c r="E5">
        <v>10</v>
      </c>
      <c r="F5">
        <v>3.25</v>
      </c>
      <c r="G5">
        <v>20</v>
      </c>
      <c r="H5">
        <f t="shared" si="1"/>
        <v>32.5</v>
      </c>
      <c r="I5" s="98">
        <f>(D5/H5)*100</f>
        <v>65.286153846153866</v>
      </c>
    </row>
    <row r="6" spans="1:9" x14ac:dyDescent="0.2">
      <c r="A6" t="s">
        <v>96</v>
      </c>
      <c r="B6">
        <v>36.299999999999997</v>
      </c>
      <c r="C6">
        <f t="shared" ref="C6:C8" si="2">B6/G6</f>
        <v>0.72599999999999998</v>
      </c>
      <c r="D6">
        <f t="shared" si="0"/>
        <v>26.353799999999996</v>
      </c>
      <c r="E6">
        <v>15</v>
      </c>
      <c r="F6">
        <v>2.78</v>
      </c>
      <c r="G6">
        <v>50</v>
      </c>
      <c r="H6">
        <f t="shared" si="1"/>
        <v>41.699999999999996</v>
      </c>
      <c r="I6" s="98">
        <f>(D6/H6)*100</f>
        <v>63.198561151079133</v>
      </c>
    </row>
    <row r="7" spans="1:9" x14ac:dyDescent="0.2">
      <c r="A7" t="s">
        <v>100</v>
      </c>
      <c r="B7">
        <v>48.9</v>
      </c>
      <c r="C7">
        <f t="shared" si="2"/>
        <v>0.97799999999999998</v>
      </c>
      <c r="D7">
        <f t="shared" si="0"/>
        <v>47.824199999999998</v>
      </c>
      <c r="E7">
        <v>20</v>
      </c>
      <c r="F7">
        <v>3.72</v>
      </c>
      <c r="G7">
        <v>50</v>
      </c>
      <c r="H7">
        <f t="shared" si="1"/>
        <v>74.400000000000006</v>
      </c>
      <c r="I7" s="98">
        <f>(D7/H7)*100</f>
        <v>64.279838709677406</v>
      </c>
    </row>
    <row r="8" spans="1:9" x14ac:dyDescent="0.2">
      <c r="A8" t="s">
        <v>108</v>
      </c>
      <c r="B8">
        <v>61.3</v>
      </c>
      <c r="C8">
        <f t="shared" si="2"/>
        <v>1.226</v>
      </c>
      <c r="D8">
        <f t="shared" si="0"/>
        <v>75.15379999999999</v>
      </c>
      <c r="E8">
        <v>25</v>
      </c>
      <c r="F8">
        <v>4.76</v>
      </c>
      <c r="G8">
        <v>50</v>
      </c>
      <c r="H8">
        <f t="shared" si="1"/>
        <v>119</v>
      </c>
      <c r="I8" s="98">
        <f>(D8/H8)*100</f>
        <v>63.154453781512601</v>
      </c>
    </row>
    <row r="9" spans="1:9" x14ac:dyDescent="0.2">
      <c r="I9" s="98"/>
    </row>
    <row r="12" spans="1:9" x14ac:dyDescent="0.2">
      <c r="A12" s="80" t="s">
        <v>92</v>
      </c>
      <c r="B12" s="29">
        <v>36</v>
      </c>
      <c r="C12">
        <v>0</v>
      </c>
      <c r="D12">
        <f>B12*C12</f>
        <v>0</v>
      </c>
      <c r="E12">
        <v>10</v>
      </c>
      <c r="F12">
        <v>0.13700000000000001</v>
      </c>
      <c r="G12" t="s">
        <v>102</v>
      </c>
      <c r="H12">
        <f>E12*F12</f>
        <v>1.37</v>
      </c>
      <c r="I12" s="9">
        <f>(D12/H12)*100</f>
        <v>0</v>
      </c>
    </row>
    <row r="14" spans="1:9" x14ac:dyDescent="0.2">
      <c r="A14" s="80" t="s">
        <v>91</v>
      </c>
      <c r="B14">
        <v>0</v>
      </c>
      <c r="C14" s="29">
        <v>1.86</v>
      </c>
      <c r="D14">
        <f t="shared" ref="D14" si="3">B14*C14</f>
        <v>0</v>
      </c>
      <c r="E14">
        <v>5</v>
      </c>
      <c r="F14">
        <v>4.5999999999999996</v>
      </c>
      <c r="G14">
        <v>0</v>
      </c>
      <c r="H14">
        <f t="shared" ref="H14" si="4">E14*F14</f>
        <v>23</v>
      </c>
      <c r="I14" s="9">
        <f>(D14/H14)*100</f>
        <v>0</v>
      </c>
    </row>
    <row r="16" spans="1:9" x14ac:dyDescent="0.2">
      <c r="A16" t="s">
        <v>92</v>
      </c>
      <c r="B16">
        <v>18.3</v>
      </c>
      <c r="C16">
        <v>0</v>
      </c>
      <c r="D16">
        <f>B16*C16</f>
        <v>0</v>
      </c>
      <c r="E16">
        <v>5</v>
      </c>
      <c r="F16">
        <v>0.13700000000000001</v>
      </c>
      <c r="G16" t="s">
        <v>102</v>
      </c>
      <c r="H16">
        <f>E16*F16</f>
        <v>0.68500000000000005</v>
      </c>
      <c r="I16">
        <f>(D16/H16)*100</f>
        <v>0</v>
      </c>
    </row>
    <row r="18" spans="1:9" x14ac:dyDescent="0.2">
      <c r="A18" t="s">
        <v>91</v>
      </c>
      <c r="B18">
        <v>0</v>
      </c>
      <c r="C18">
        <v>1.86</v>
      </c>
      <c r="D18">
        <f>B18*C18</f>
        <v>0</v>
      </c>
      <c r="E18">
        <v>5</v>
      </c>
      <c r="F18">
        <v>4.5999999999999996</v>
      </c>
      <c r="G18">
        <v>0</v>
      </c>
      <c r="H18">
        <f>E18*F18</f>
        <v>23</v>
      </c>
      <c r="I18">
        <f>(D18/H18)*100</f>
        <v>0</v>
      </c>
    </row>
    <row r="23" spans="1:9" x14ac:dyDescent="0.2">
      <c r="B23" t="e" cm="1" vm="1">
        <f t="array" ref="B23">C23+'General Design'!G29=_FV('General Design'!G2941,"607")</f>
        <v>#VALUE!</v>
      </c>
      <c r="C23">
        <v>41.606999999999999</v>
      </c>
    </row>
  </sheetData>
  <mergeCells count="1">
    <mergeCell ref="A2:I2"/>
  </mergeCells>
  <conditionalFormatting sqref="E12 E14">
    <cfRule type="colorScale" priority="3">
      <colorScale>
        <cfvo type="min"/>
        <cfvo type="max"/>
        <color rgb="FFFFEF9C"/>
        <color rgb="FF63BE7B"/>
      </colorScale>
    </cfRule>
  </conditionalFormatting>
  <conditionalFormatting sqref="I12 I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7521-8FC8-E943-8896-4ECCA67E3CB6}">
  <dimension ref="A1:H11"/>
  <sheetViews>
    <sheetView zoomScale="150" workbookViewId="0">
      <selection activeCell="B9" sqref="B9"/>
    </sheetView>
  </sheetViews>
  <sheetFormatPr baseColWidth="10" defaultRowHeight="16" x14ac:dyDescent="0.2"/>
  <cols>
    <col min="3" max="3" width="4.6640625" customWidth="1"/>
    <col min="4" max="4" width="11.1640625" bestFit="1" customWidth="1"/>
    <col min="6" max="6" width="5.1640625" customWidth="1"/>
    <col min="11" max="11" width="16.6640625" bestFit="1" customWidth="1"/>
  </cols>
  <sheetData>
    <row r="1" spans="1:8" x14ac:dyDescent="0.2">
      <c r="A1" s="68" t="s">
        <v>71</v>
      </c>
      <c r="B1" s="69">
        <v>506.61</v>
      </c>
      <c r="D1" s="68" t="s">
        <v>72</v>
      </c>
      <c r="E1" s="69">
        <v>45.33</v>
      </c>
      <c r="G1" s="68" t="s">
        <v>77</v>
      </c>
      <c r="H1" s="69">
        <v>41.41</v>
      </c>
    </row>
    <row r="2" spans="1:8" x14ac:dyDescent="0.2">
      <c r="A2" s="70" t="s">
        <v>83</v>
      </c>
      <c r="B2" s="71">
        <f>B1-B3</f>
        <v>3.1299999999999955</v>
      </c>
      <c r="D2" s="70" t="s">
        <v>83</v>
      </c>
      <c r="E2" s="71">
        <f>E1-E3</f>
        <v>1.9999999999996021E-2</v>
      </c>
      <c r="G2" s="70" t="s">
        <v>83</v>
      </c>
      <c r="H2" s="71">
        <f>H1-H3</f>
        <v>-4.9999999999997158E-2</v>
      </c>
    </row>
    <row r="3" spans="1:8" x14ac:dyDescent="0.2">
      <c r="A3" s="72" t="s">
        <v>81</v>
      </c>
      <c r="B3" s="47">
        <f>SUM(B8:B11)</f>
        <v>503.48</v>
      </c>
      <c r="D3" s="72" t="s">
        <v>81</v>
      </c>
      <c r="E3" s="47">
        <f>SUM(E8:E10)</f>
        <v>45.31</v>
      </c>
      <c r="G3" s="72" t="s">
        <v>81</v>
      </c>
      <c r="H3" s="47">
        <f>SUM(H4:H8)</f>
        <v>41.459999999999994</v>
      </c>
    </row>
    <row r="4" spans="1:8" x14ac:dyDescent="0.2">
      <c r="A4" s="8" t="s">
        <v>78</v>
      </c>
      <c r="B4" s="73">
        <v>224.03</v>
      </c>
      <c r="D4" s="8" t="s">
        <v>78</v>
      </c>
      <c r="E4" s="73">
        <v>9.56</v>
      </c>
      <c r="G4" s="8" t="s">
        <v>78</v>
      </c>
      <c r="H4" s="73">
        <v>9.9600000000000009</v>
      </c>
    </row>
    <row r="5" spans="1:8" x14ac:dyDescent="0.2">
      <c r="A5" s="8" t="s">
        <v>79</v>
      </c>
      <c r="B5" s="73">
        <v>223.14</v>
      </c>
      <c r="D5" s="8" t="s">
        <v>79</v>
      </c>
      <c r="E5" s="73">
        <v>9.58</v>
      </c>
      <c r="G5" s="8" t="s">
        <v>79</v>
      </c>
      <c r="H5" s="73">
        <v>10.01</v>
      </c>
    </row>
    <row r="6" spans="1:8" x14ac:dyDescent="0.2">
      <c r="A6" s="8" t="s">
        <v>80</v>
      </c>
      <c r="B6" s="73">
        <v>32.590000000000003</v>
      </c>
      <c r="D6" s="8" t="s">
        <v>80</v>
      </c>
      <c r="E6" s="73">
        <v>9.83</v>
      </c>
      <c r="G6" s="8" t="s">
        <v>80</v>
      </c>
      <c r="H6" s="73">
        <v>15.22</v>
      </c>
    </row>
    <row r="7" spans="1:8" x14ac:dyDescent="0.2">
      <c r="A7" s="8" t="s">
        <v>82</v>
      </c>
      <c r="B7" s="73">
        <v>15.07</v>
      </c>
      <c r="D7" s="8" t="s">
        <v>82</v>
      </c>
      <c r="E7" s="73">
        <v>9.5500000000000007</v>
      </c>
      <c r="G7" s="2" t="s">
        <v>82</v>
      </c>
      <c r="H7" s="77">
        <v>6.27</v>
      </c>
    </row>
    <row r="8" spans="1:8" x14ac:dyDescent="0.2">
      <c r="A8" s="8"/>
      <c r="B8" s="74">
        <v>492.8</v>
      </c>
      <c r="D8" s="8"/>
      <c r="E8" s="74">
        <v>38.549999999999997</v>
      </c>
    </row>
    <row r="9" spans="1:8" x14ac:dyDescent="0.2">
      <c r="A9" s="8" t="s">
        <v>84</v>
      </c>
      <c r="B9" s="75">
        <v>7.32</v>
      </c>
      <c r="D9" s="8" t="s">
        <v>84</v>
      </c>
      <c r="E9" s="75">
        <v>4.5599999999999996</v>
      </c>
    </row>
    <row r="10" spans="1:8" x14ac:dyDescent="0.2">
      <c r="A10" s="2" t="s">
        <v>85</v>
      </c>
      <c r="B10" s="76">
        <v>3.36</v>
      </c>
      <c r="D10" s="2" t="s">
        <v>85</v>
      </c>
      <c r="E10" s="76">
        <v>2.2000000000000002</v>
      </c>
    </row>
    <row r="11" spans="1:8" x14ac:dyDescent="0.2">
      <c r="A11" s="8" t="s">
        <v>88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Design</vt:lpstr>
      <vt:lpstr>Sheet5</vt:lpstr>
      <vt:lpstr>Testing</vt:lpstr>
      <vt:lpstr>Comp. Network Capacitances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2023-03-24T09:06:04Z</dcterms:created>
  <dcterms:modified xsi:type="dcterms:W3CDTF">2023-05-04T09:11:41Z</dcterms:modified>
</cp:coreProperties>
</file>