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_Alpha/Research/Analysis/Code/EM/BoxSize_Prediction/Excel/"/>
    </mc:Choice>
  </mc:AlternateContent>
  <xr:revisionPtr revIDLastSave="0" documentId="13_ncr:1_{5CBB9189-079D-AE44-B9B4-642DE811BC3C}" xr6:coauthVersionLast="46" xr6:coauthVersionMax="46" xr10:uidLastSave="{00000000-0000-0000-0000-000000000000}"/>
  <bookViews>
    <workbookView xWindow="25600" yWindow="460" windowWidth="25600" windowHeight="28340" xr2:uid="{18626F72-702F-B949-A369-8523113190CC}"/>
  </bookViews>
  <sheets>
    <sheet name="box size Rosenthal Henderson" sheetId="1" r:id="rId1"/>
    <sheet name="focus &amp; dose" sheetId="6" r:id="rId2"/>
  </sheets>
  <externalReferences>
    <externalReference r:id="rId3"/>
  </externalReferences>
  <definedNames>
    <definedName name="tst" localSheetId="0">[1]focus!#REF!</definedName>
    <definedName name="tst" localSheetId="1">[1]focus!#REF!</definedName>
    <definedName name="tst">[1]focus!#REF!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G15" i="1"/>
  <c r="C24" i="1"/>
  <c r="B14" i="1"/>
  <c r="H9" i="1"/>
  <c r="E25" i="1"/>
  <c r="D24" i="1"/>
  <c r="B24" i="1"/>
  <c r="B11" i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" i="6"/>
  <c r="B4" i="6" l="1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10" i="1" l="1"/>
  <c r="G2" i="1" l="1"/>
  <c r="D7" i="1"/>
  <c r="D13" i="1"/>
  <c r="H12" i="1" s="1"/>
  <c r="D8" i="1" l="1"/>
  <c r="H11" i="1" s="1"/>
  <c r="D6" i="1"/>
  <c r="D5" i="1"/>
  <c r="H5" i="1" l="1"/>
  <c r="H6" i="1" s="1"/>
  <c r="H8" i="1"/>
  <c r="D14" i="1"/>
  <c r="B15" i="1"/>
  <c r="B21" i="1"/>
  <c r="B25" i="1"/>
  <c r="C25" i="1" s="1"/>
  <c r="B26" i="1"/>
  <c r="C26" i="1" s="1"/>
  <c r="C27" i="1" l="1"/>
  <c r="D27" i="1" s="1"/>
  <c r="E27" i="1" s="1"/>
  <c r="D21" i="1" s="1"/>
  <c r="C21" i="1" s="1"/>
  <c r="E21" i="1" s="1"/>
  <c r="E24" i="1"/>
  <c r="C18" i="1" s="1"/>
  <c r="E18" i="1" s="1"/>
  <c r="D26" i="1"/>
  <c r="E26" i="1" s="1"/>
  <c r="D20" i="1" s="1"/>
  <c r="B20" i="1"/>
  <c r="D25" i="1"/>
  <c r="B19" i="1"/>
  <c r="B18" i="1"/>
  <c r="C20" i="1" l="1"/>
  <c r="E20" i="1" s="1"/>
  <c r="D19" i="1"/>
  <c r="C19" i="1" l="1"/>
  <c r="E19" i="1" s="1"/>
</calcChain>
</file>

<file path=xl/sharedStrings.xml><?xml version="1.0" encoding="utf-8"?>
<sst xmlns="http://schemas.openxmlformats.org/spreadsheetml/2006/main" count="84" uniqueCount="55">
  <si>
    <t>nm</t>
  </si>
  <si>
    <t>Lambda</t>
  </si>
  <si>
    <t>m</t>
  </si>
  <si>
    <t>Cs</t>
  </si>
  <si>
    <t>particle size</t>
  </si>
  <si>
    <t>pixel</t>
  </si>
  <si>
    <t>R [m]</t>
  </si>
  <si>
    <t>box [m]</t>
  </si>
  <si>
    <t>bin1</t>
  </si>
  <si>
    <t>bin2</t>
  </si>
  <si>
    <t>bin4</t>
  </si>
  <si>
    <t>bin8</t>
  </si>
  <si>
    <t>Å</t>
  </si>
  <si>
    <t>KV</t>
  </si>
  <si>
    <t>Nyquist [m]</t>
  </si>
  <si>
    <t>box [pixel]</t>
  </si>
  <si>
    <t>Nyquist [Å]</t>
  </si>
  <si>
    <t>Box size</t>
  </si>
  <si>
    <t>Rosenthal &amp; Henderson (2003) JMB, 333, 721-745</t>
  </si>
  <si>
    <t>CCPEM discussion</t>
  </si>
  <si>
    <t>Krios</t>
  </si>
  <si>
    <t>Talos</t>
  </si>
  <si>
    <t>Tecnai 12</t>
  </si>
  <si>
    <t>Linear energy transfer</t>
  </si>
  <si>
    <t>Microscope</t>
  </si>
  <si>
    <t>lambda</t>
  </si>
  <si>
    <t>Res achieved</t>
  </si>
  <si>
    <t>low defocus</t>
  </si>
  <si>
    <t>high defocus</t>
  </si>
  <si>
    <t>High defocus:</t>
  </si>
  <si>
    <t>Rescale [pixel]</t>
  </si>
  <si>
    <t>Polara</t>
  </si>
  <si>
    <t>&lt;--   drop-down list</t>
  </si>
  <si>
    <t>box/particle</t>
  </si>
  <si>
    <t>Particle box size [ub pixel]</t>
  </si>
  <si>
    <t>ub pixels</t>
  </si>
  <si>
    <t>300 kV</t>
  </si>
  <si>
    <t>200 kV</t>
  </si>
  <si>
    <t>120 kV</t>
  </si>
  <si>
    <t>defocus [µm]</t>
  </si>
  <si>
    <t>Dose [e/Å²]</t>
  </si>
  <si>
    <t>Talos Arctica/Glacios</t>
  </si>
  <si>
    <t>LET [Mev - cm^2/g]</t>
  </si>
  <si>
    <t>=($D$5+2*(($B$10*D8/$D$13)+($B$11*$B$10^3)/$D$13^3))/$D$6</t>
  </si>
  <si>
    <t>amount of padding needed (m)</t>
  </si>
  <si>
    <t>from Cs</t>
  </si>
  <si>
    <t>lambda delFf u</t>
  </si>
  <si>
    <t>arctica</t>
  </si>
  <si>
    <t>box size:</t>
  </si>
  <si>
    <t>min</t>
  </si>
  <si>
    <t>best</t>
  </si>
  <si>
    <t>big</t>
  </si>
  <si>
    <t>given the box and particle size - how separated do the particles need to be?</t>
  </si>
  <si>
    <t>5A</t>
  </si>
  <si>
    <t>therefore, you should have no more than 200 particles per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</si>
</sst>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"/>
    <numFmt numFmtId="166" formatCode="0.000000"/>
  </numFmts>
  <fonts count="6" x14ac:knownFonts="1">
    <font>
      <sz val="10"/>
      <name val="Verdana"/>
    </font>
    <font>
      <sz val="10"/>
      <name val="Verdana"/>
      <family val="2"/>
    </font>
    <font>
      <sz val="13"/>
      <color rgb="FF000000"/>
      <name val="Arial Unicode MS"/>
      <family val="2"/>
    </font>
    <font>
      <u/>
      <sz val="10"/>
      <color theme="10"/>
      <name val="Verdana"/>
      <family val="2"/>
    </font>
    <font>
      <b/>
      <sz val="10"/>
      <name val="Verdana"/>
      <family val="2"/>
    </font>
    <font>
      <b/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vertical="center"/>
    </xf>
    <xf numFmtId="1" fontId="0" fillId="0" borderId="0" xfId="0" applyNumberFormat="1" applyBorder="1"/>
    <xf numFmtId="0" fontId="0" fillId="0" borderId="5" xfId="0" applyBorder="1"/>
    <xf numFmtId="0" fontId="0" fillId="0" borderId="1" xfId="0" applyBorder="1"/>
    <xf numFmtId="0" fontId="2" fillId="0" borderId="0" xfId="0" applyFont="1" applyBorder="1"/>
    <xf numFmtId="0" fontId="0" fillId="0" borderId="0" xfId="0" applyBorder="1" applyAlignment="1"/>
    <xf numFmtId="0" fontId="0" fillId="0" borderId="6" xfId="0" applyBorder="1"/>
    <xf numFmtId="0" fontId="0" fillId="0" borderId="3" xfId="0" applyBorder="1"/>
    <xf numFmtId="0" fontId="4" fillId="0" borderId="0" xfId="0" applyFont="1" applyAlignment="1"/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0" xfId="0" applyFont="1" applyBorder="1"/>
    <xf numFmtId="165" fontId="0" fillId="0" borderId="6" xfId="0" applyNumberFormat="1" applyBorder="1" applyAlignment="1">
      <alignment horizontal="center"/>
    </xf>
    <xf numFmtId="0" fontId="4" fillId="0" borderId="5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Fill="1" applyBorder="1"/>
    <xf numFmtId="2" fontId="0" fillId="3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65" fontId="1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0" fontId="0" fillId="0" borderId="0" xfId="0" applyNumberFormat="1" applyBorder="1"/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165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4" fillId="3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 applyBorder="1" applyAlignment="1">
      <alignment horizontal="center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294640</xdr:colOff>
      <xdr:row>41</xdr:row>
      <xdr:rowOff>50800</xdr:rowOff>
    </xdr:from>
    <xdr:to>
      <xdr:col>6</xdr:col>
      <xdr:colOff>66845</xdr:colOff>
      <xdr:row>55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53B8E5-E611-E246-B3B8-9E2B0CD8D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640" y="6959600"/>
          <a:ext cx="6731805" cy="23469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mhagen/Dropbox/cryo%20EM%20tablesO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"/>
      <sheetName val="cuttof"/>
      <sheetName val="box size"/>
      <sheetName val="off-axis coma"/>
      <sheetName val="imaging points"/>
      <sheetName val="Objective BioTwin"/>
      <sheetName val="focus"/>
      <sheetName val="CCD"/>
      <sheetName val="Condenser"/>
      <sheetName val="Specimen"/>
      <sheetName val="Sheet5"/>
      <sheetName val="BioTwin"/>
      <sheetName val="mag"/>
      <sheetName val="refinepixel"/>
      <sheetName val="first zero vs Z"/>
      <sheetName val="Sheet1"/>
      <sheetName val="dose"/>
      <sheetName val="mag field"/>
      <sheetName val="autofocus"/>
      <sheetName val="autofocus_"/>
      <sheetName val="CTF_updated"/>
      <sheetName val="Sheet2"/>
      <sheetName val="dolc Tecnai"/>
      <sheetName val="mean free path"/>
      <sheetName val="blotting"/>
      <sheetName val="delocalization"/>
      <sheetName val="gun brightness"/>
      <sheetName val="beam declination"/>
      <sheetName val="tomo mag change"/>
      <sheetName val="stage"/>
      <sheetName val="phase shift"/>
      <sheetName val="aberations CEOS"/>
      <sheetName val="aberations Jullich"/>
      <sheetName val="ewald sphere"/>
      <sheetName val="Ewald Derosier"/>
      <sheetName val="non linear attenuation"/>
      <sheetName val="counting"/>
      <sheetName val="critical and optimal dose"/>
      <sheetName val="Volta size"/>
      <sheetName val="phase plate tilted focus"/>
      <sheetName val="saxton scheme"/>
      <sheetName val="crowther"/>
      <sheetName val="thickness"/>
      <sheetName val="parallel tomo beam Titan"/>
      <sheetName val="FEG numbers"/>
      <sheetName val="tomo resolution"/>
      <sheetName val="Russo"/>
      <sheetName val="reslution crowther"/>
      <sheetName val="Sheet5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jiscmail.ac.uk/cgi-bin/webadmin?A2=ccpem;e433702b.1412" TargetMode="External"/><Relationship Id="rId1" Type="http://schemas.openxmlformats.org/officeDocument/2006/relationships/hyperlink" Target="https://www.sciencedirect.com/science/article/pii/S00222836030102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942D-FDC2-1443-BBD5-20C8BA588B49}">
  <dimension ref="A1:T48"/>
  <sheetViews>
    <sheetView tabSelected="1" zoomScale="125" zoomScaleNormal="125" workbookViewId="0">
      <selection activeCell="G52" sqref="G52"/>
    </sheetView>
  </sheetViews>
  <sheetFormatPr baseColWidth="10" defaultRowHeight="13" x14ac:dyDescent="0.15"/>
  <cols>
    <col min="1" max="1" width="14.5" bestFit="1" customWidth="1"/>
    <col min="2" max="2" width="19.83203125" bestFit="1" customWidth="1"/>
    <col min="3" max="3" width="25.1640625" bestFit="1" customWidth="1"/>
    <col min="4" max="4" width="16.5" bestFit="1" customWidth="1"/>
    <col min="5" max="5" width="12.83203125" customWidth="1"/>
    <col min="6" max="6" width="2.33203125" customWidth="1"/>
    <col min="7" max="7" width="51.6640625" style="4" customWidth="1"/>
    <col min="8" max="8" width="9.6640625" style="4" customWidth="1"/>
    <col min="9" max="9" width="34.6640625" style="4" customWidth="1"/>
    <col min="10" max="10" width="2.1640625" style="4" customWidth="1"/>
    <col min="11" max="11" width="8.6640625" style="4" customWidth="1"/>
    <col min="12" max="12" width="8.5" style="4" customWidth="1"/>
    <col min="13" max="13" width="10.33203125" style="4" customWidth="1"/>
    <col min="14" max="14" width="1.83203125" style="4" customWidth="1"/>
    <col min="15" max="15" width="4.1640625" style="4" bestFit="1" customWidth="1"/>
    <col min="16" max="16" width="14" style="4" customWidth="1"/>
  </cols>
  <sheetData>
    <row r="1" spans="1:17" x14ac:dyDescent="0.15">
      <c r="A1" s="37" t="s">
        <v>17</v>
      </c>
      <c r="B1" s="79" t="s">
        <v>18</v>
      </c>
      <c r="C1" s="79"/>
      <c r="D1" s="79"/>
      <c r="E1" s="79"/>
      <c r="F1" s="27"/>
      <c r="G1" s="80" t="s">
        <v>43</v>
      </c>
      <c r="H1" s="81"/>
      <c r="I1" s="81"/>
      <c r="K1" s="82"/>
      <c r="L1" s="82"/>
      <c r="M1" s="82"/>
      <c r="O1" s="82"/>
      <c r="P1" s="82"/>
      <c r="Q1" s="28"/>
    </row>
    <row r="2" spans="1:17" x14ac:dyDescent="0.15">
      <c r="A2" s="3"/>
      <c r="B2" s="79" t="s">
        <v>19</v>
      </c>
      <c r="C2" s="79"/>
      <c r="D2" s="79"/>
      <c r="E2" s="79"/>
      <c r="F2" s="4"/>
      <c r="G2" s="4">
        <f>($D$5+2*(($B$10*D8/$D$13)+($B$11*$B$10^3)/$D$13^3))/$D$6</f>
        <v>1002.9504556743418</v>
      </c>
      <c r="O2" s="60"/>
      <c r="P2" s="60"/>
    </row>
    <row r="3" spans="1:17" ht="20" x14ac:dyDescent="0.3">
      <c r="A3" s="4"/>
      <c r="B3" s="24"/>
      <c r="C3" s="4"/>
      <c r="D3" s="4"/>
      <c r="E3" s="4"/>
      <c r="F3" s="4"/>
      <c r="G3" s="37"/>
      <c r="H3" s="37"/>
      <c r="I3" s="37"/>
      <c r="K3" s="37"/>
      <c r="L3" s="37"/>
      <c r="M3" s="37"/>
      <c r="O3" s="37"/>
      <c r="P3" s="37"/>
    </row>
    <row r="4" spans="1:17" x14ac:dyDescent="0.15">
      <c r="A4" s="3" t="s">
        <v>24</v>
      </c>
      <c r="B4" s="36" t="s">
        <v>41</v>
      </c>
      <c r="C4" s="3" t="s">
        <v>32</v>
      </c>
      <c r="D4" s="4"/>
      <c r="E4" s="4"/>
      <c r="F4" s="4"/>
      <c r="G4" s="30"/>
      <c r="H4" s="30"/>
      <c r="I4" s="30"/>
      <c r="J4" s="5"/>
      <c r="K4" s="62"/>
      <c r="L4" s="30"/>
      <c r="M4" s="30"/>
      <c r="P4" s="5"/>
    </row>
    <row r="5" spans="1:17" ht="18" customHeight="1" x14ac:dyDescent="0.15">
      <c r="A5" s="3" t="s">
        <v>4</v>
      </c>
      <c r="B5" s="15">
        <v>200</v>
      </c>
      <c r="C5" s="4" t="s">
        <v>12</v>
      </c>
      <c r="D5" s="4">
        <f>B5*0.0000000001</f>
        <v>2E-8</v>
      </c>
      <c r="E5" s="3" t="s">
        <v>2</v>
      </c>
      <c r="F5" s="4"/>
      <c r="G5" s="73" t="s">
        <v>2</v>
      </c>
      <c r="H5" s="30">
        <f>$D$5+2*(($B$10*D8/$D$13)+($B$11*$B$10^3)/$D$13^3)</f>
        <v>5.0648998011554262E-8</v>
      </c>
      <c r="I5" s="30"/>
      <c r="J5" s="5"/>
      <c r="K5" s="62"/>
      <c r="L5" s="30"/>
      <c r="M5" s="30"/>
      <c r="P5" s="5"/>
    </row>
    <row r="6" spans="1:17" x14ac:dyDescent="0.15">
      <c r="A6" s="4" t="s">
        <v>5</v>
      </c>
      <c r="B6" s="36">
        <v>0.505</v>
      </c>
      <c r="C6" s="4" t="s">
        <v>12</v>
      </c>
      <c r="D6" s="4">
        <f>B6*0.0000000001</f>
        <v>5.05E-11</v>
      </c>
      <c r="E6" s="3" t="s">
        <v>2</v>
      </c>
      <c r="F6" s="4"/>
      <c r="G6" s="73" t="s">
        <v>12</v>
      </c>
      <c r="H6" s="30">
        <f>H5*10^10</f>
        <v>506.48998011554261</v>
      </c>
      <c r="I6" s="30"/>
      <c r="J6" s="5"/>
      <c r="K6" s="62"/>
      <c r="L6" s="30"/>
      <c r="M6" s="30"/>
      <c r="P6" s="5"/>
    </row>
    <row r="7" spans="1:17" x14ac:dyDescent="0.15">
      <c r="A7" s="3" t="s">
        <v>27</v>
      </c>
      <c r="B7" s="15">
        <v>1000</v>
      </c>
      <c r="C7" s="16" t="s">
        <v>0</v>
      </c>
      <c r="D7" s="4">
        <f>B7*0.000000001</f>
        <v>1.0000000000000002E-6</v>
      </c>
      <c r="E7" s="17" t="s">
        <v>2</v>
      </c>
      <c r="F7" s="4"/>
      <c r="G7" s="30"/>
      <c r="H7" s="30"/>
      <c r="I7" s="30"/>
      <c r="J7" s="5"/>
      <c r="K7" s="62"/>
      <c r="L7" s="30"/>
      <c r="M7" s="30"/>
    </row>
    <row r="8" spans="1:17" x14ac:dyDescent="0.15">
      <c r="A8" s="3" t="s">
        <v>28</v>
      </c>
      <c r="B8" s="15">
        <v>2000</v>
      </c>
      <c r="C8" s="4" t="s">
        <v>0</v>
      </c>
      <c r="D8" s="4">
        <f>B8*0.000000001</f>
        <v>2.0000000000000003E-6</v>
      </c>
      <c r="E8" s="17" t="s">
        <v>2</v>
      </c>
      <c r="F8" s="4"/>
      <c r="G8" s="74" t="s">
        <v>44</v>
      </c>
      <c r="H8" s="30">
        <f>($B$10*D8/$D$13)+($B$11*$B$10^3)/$D$13^3</f>
        <v>1.5324499005777131E-8</v>
      </c>
      <c r="I8" s="30"/>
      <c r="J8" s="5"/>
      <c r="K8" s="30"/>
      <c r="L8" s="30"/>
      <c r="M8" s="30"/>
    </row>
    <row r="9" spans="1:17" x14ac:dyDescent="0.15">
      <c r="A9" s="4"/>
      <c r="B9" s="5"/>
      <c r="C9" s="4"/>
      <c r="D9" s="4"/>
      <c r="E9" s="4"/>
      <c r="F9" s="4"/>
      <c r="G9" s="73" t="s">
        <v>12</v>
      </c>
      <c r="H9" s="30">
        <f>H8*10^10</f>
        <v>153.2449900577713</v>
      </c>
      <c r="I9" s="30"/>
      <c r="J9" s="5"/>
      <c r="K9" s="30"/>
      <c r="L9" s="30"/>
      <c r="M9" s="30"/>
    </row>
    <row r="10" spans="1:17" x14ac:dyDescent="0.15">
      <c r="A10" s="68" t="s">
        <v>1</v>
      </c>
      <c r="B10" s="5">
        <f>INDEX(B30:B33,MATCH($B$4,A30:A33,0))</f>
        <v>2.5079462659427628E-12</v>
      </c>
      <c r="C10" s="17" t="s">
        <v>2</v>
      </c>
      <c r="D10" s="3"/>
      <c r="E10" s="16"/>
      <c r="F10" s="4"/>
      <c r="G10" s="62"/>
      <c r="H10" s="30"/>
      <c r="I10" s="30"/>
      <c r="J10" s="5"/>
      <c r="K10" s="30"/>
      <c r="L10" s="30"/>
      <c r="M10" s="30"/>
    </row>
    <row r="11" spans="1:17" x14ac:dyDescent="0.15">
      <c r="A11" s="4" t="s">
        <v>3</v>
      </c>
      <c r="B11" s="5">
        <f>INDEX(C30:C33,MATCH($B$4,A30:A33,0))</f>
        <v>2.7000000000000001E-3</v>
      </c>
      <c r="C11" s="17" t="s">
        <v>2</v>
      </c>
      <c r="D11" s="4"/>
      <c r="E11" s="16"/>
      <c r="F11" s="4"/>
      <c r="G11" s="74" t="s">
        <v>46</v>
      </c>
      <c r="H11" s="30">
        <f>$B$10*D8/$D$13*10^10</f>
        <v>143.31121519672931</v>
      </c>
      <c r="I11" s="30"/>
      <c r="J11" s="5"/>
      <c r="K11" s="30"/>
      <c r="L11" s="30"/>
      <c r="M11" s="30"/>
    </row>
    <row r="12" spans="1:17" x14ac:dyDescent="0.15">
      <c r="A12" s="4"/>
      <c r="B12" s="5"/>
      <c r="C12" s="17"/>
      <c r="D12" s="4"/>
      <c r="E12" s="16"/>
      <c r="F12" s="4"/>
      <c r="G12" s="73" t="s">
        <v>45</v>
      </c>
      <c r="H12" s="30">
        <f>($B$11*$B$10^3)/$D$13^3*10^10</f>
        <v>9.9337748610419982</v>
      </c>
      <c r="I12" s="30"/>
      <c r="J12" s="5"/>
      <c r="K12" s="62"/>
      <c r="L12" s="30"/>
      <c r="M12" s="30"/>
    </row>
    <row r="13" spans="1:17" x14ac:dyDescent="0.15">
      <c r="A13" s="37" t="s">
        <v>26</v>
      </c>
      <c r="B13" s="48">
        <v>3.5</v>
      </c>
      <c r="C13" s="49" t="s">
        <v>12</v>
      </c>
      <c r="D13" s="3">
        <f>B13*0.0000000001</f>
        <v>3.5000000000000003E-10</v>
      </c>
      <c r="E13" s="17" t="s">
        <v>2</v>
      </c>
      <c r="F13" s="4"/>
      <c r="G13" s="30"/>
      <c r="H13" s="30"/>
      <c r="I13" s="30"/>
      <c r="J13" s="5"/>
      <c r="K13" s="62"/>
      <c r="L13" s="30"/>
      <c r="M13" s="30"/>
    </row>
    <row r="14" spans="1:17" x14ac:dyDescent="0.15">
      <c r="A14" s="37" t="s">
        <v>28</v>
      </c>
      <c r="B14" s="47">
        <f>ROUND(($D$5+2*(($B$10*D8/$D$13)+($B$11*$B$10^3)/$D$13^3))/$D$6,0)</f>
        <v>1003</v>
      </c>
      <c r="C14" s="49" t="s">
        <v>35</v>
      </c>
      <c r="D14" s="3">
        <f>B14/(B5/B6)</f>
        <v>2.532575</v>
      </c>
      <c r="E14" s="17"/>
      <c r="F14" s="4"/>
      <c r="G14" s="30"/>
      <c r="H14" s="30"/>
      <c r="I14" s="30"/>
      <c r="J14" s="5"/>
      <c r="K14" s="62"/>
      <c r="L14" s="30"/>
      <c r="M14" s="30"/>
    </row>
    <row r="15" spans="1:17" x14ac:dyDescent="0.15">
      <c r="A15" s="37" t="s">
        <v>27</v>
      </c>
      <c r="B15" s="47">
        <f>ROUND(($D$5+2*(($B$10*D7/$D$13)+($B$11*$B$10^3)/$D$13^3))/$D$6,0)</f>
        <v>719</v>
      </c>
      <c r="C15" s="49" t="s">
        <v>35</v>
      </c>
      <c r="D15" s="3"/>
      <c r="E15" s="17"/>
      <c r="F15" s="4"/>
      <c r="G15" s="30">
        <f>H11*2+B5+H12+H12</f>
        <v>506.48998011554266</v>
      </c>
      <c r="H15" s="30"/>
      <c r="I15" s="30"/>
      <c r="J15" s="5"/>
      <c r="K15" s="62"/>
      <c r="L15" s="30"/>
      <c r="M15" s="30"/>
    </row>
    <row r="16" spans="1:17" x14ac:dyDescent="0.15">
      <c r="A16" s="3"/>
      <c r="B16" s="5"/>
      <c r="C16" s="3"/>
      <c r="D16" s="4"/>
      <c r="E16" s="4"/>
      <c r="F16" s="4"/>
      <c r="G16" s="62"/>
      <c r="H16" s="30"/>
      <c r="I16" s="30"/>
      <c r="J16" s="5"/>
      <c r="K16" s="62"/>
      <c r="L16" s="30"/>
      <c r="M16" s="30"/>
    </row>
    <row r="17" spans="1:13" x14ac:dyDescent="0.15">
      <c r="A17" s="69" t="s">
        <v>29</v>
      </c>
      <c r="B17" s="18" t="s">
        <v>16</v>
      </c>
      <c r="C17" s="18" t="s">
        <v>34</v>
      </c>
      <c r="D17" s="18" t="s">
        <v>30</v>
      </c>
      <c r="E17" s="46" t="s">
        <v>33</v>
      </c>
      <c r="F17" s="4"/>
      <c r="G17" s="62"/>
      <c r="H17" s="30"/>
      <c r="I17" s="30"/>
      <c r="J17" s="5"/>
      <c r="K17" s="62"/>
      <c r="L17" s="30"/>
      <c r="M17" s="30"/>
    </row>
    <row r="18" spans="1:13" x14ac:dyDescent="0.15">
      <c r="A18" s="19" t="s">
        <v>8</v>
      </c>
      <c r="B18" s="50">
        <f>B24*10000000000</f>
        <v>1.01</v>
      </c>
      <c r="C18" s="45">
        <f>E24</f>
        <v>4002</v>
      </c>
      <c r="D18" s="19"/>
      <c r="E18" s="53">
        <f>C18/($B$5/$B$6)</f>
        <v>10.10505</v>
      </c>
      <c r="F18" s="4"/>
      <c r="G18" s="62"/>
      <c r="H18" s="30"/>
      <c r="I18" s="30"/>
      <c r="J18" s="5"/>
      <c r="K18" s="62"/>
      <c r="L18" s="30"/>
      <c r="M18" s="30"/>
    </row>
    <row r="19" spans="1:13" x14ac:dyDescent="0.15">
      <c r="A19" s="19" t="s">
        <v>9</v>
      </c>
      <c r="B19" s="50">
        <f t="shared" ref="B19:B21" si="0">B25*10000000000</f>
        <v>2.02</v>
      </c>
      <c r="C19" s="45">
        <f>2*D19</f>
        <v>1588</v>
      </c>
      <c r="D19" s="19">
        <f>EVEN(E25/2)</f>
        <v>794</v>
      </c>
      <c r="E19" s="53">
        <f t="shared" ref="E19:E21" si="1">C19/($B$5/$B$6)</f>
        <v>4.0096999999999996</v>
      </c>
      <c r="F19" s="3"/>
      <c r="G19" s="62"/>
      <c r="H19" s="30"/>
      <c r="I19" s="30"/>
      <c r="J19" s="6"/>
      <c r="K19" s="30"/>
      <c r="L19" s="30"/>
      <c r="M19" s="30"/>
    </row>
    <row r="20" spans="1:13" x14ac:dyDescent="0.15">
      <c r="A20" s="19" t="s">
        <v>10</v>
      </c>
      <c r="B20" s="50">
        <f t="shared" si="0"/>
        <v>4.04</v>
      </c>
      <c r="C20" s="45">
        <f>4*D20</f>
        <v>920</v>
      </c>
      <c r="D20" s="19">
        <f>EVEN(E26/4)</f>
        <v>230</v>
      </c>
      <c r="E20" s="53">
        <f t="shared" si="1"/>
        <v>2.323</v>
      </c>
      <c r="F20" s="4"/>
      <c r="G20" s="30"/>
      <c r="H20" s="30"/>
      <c r="I20" s="30"/>
      <c r="J20" s="63"/>
      <c r="K20" s="30"/>
      <c r="L20" s="30"/>
      <c r="M20" s="30"/>
    </row>
    <row r="21" spans="1:13" x14ac:dyDescent="0.15">
      <c r="A21" s="19" t="s">
        <v>11</v>
      </c>
      <c r="B21" s="50">
        <f t="shared" si="0"/>
        <v>8.08</v>
      </c>
      <c r="C21" s="45">
        <f>8*D21</f>
        <v>656</v>
      </c>
      <c r="D21" s="19">
        <f>EVEN(E27/8)</f>
        <v>82</v>
      </c>
      <c r="E21" s="53">
        <f t="shared" si="1"/>
        <v>1.6563999999999999</v>
      </c>
      <c r="F21" s="4"/>
      <c r="G21" s="30"/>
      <c r="H21" s="30"/>
      <c r="I21" s="30"/>
      <c r="J21" s="5"/>
      <c r="K21" s="30"/>
      <c r="L21" s="30"/>
      <c r="M21" s="30"/>
    </row>
    <row r="22" spans="1:13" x14ac:dyDescent="0.15">
      <c r="A22" s="4"/>
      <c r="B22" s="4"/>
      <c r="C22" s="4"/>
      <c r="D22" s="4"/>
      <c r="E22" s="4"/>
      <c r="F22" s="4"/>
      <c r="G22" s="30"/>
      <c r="H22" s="30"/>
      <c r="I22" s="30"/>
      <c r="J22" s="5"/>
      <c r="K22" s="30"/>
      <c r="L22" s="30"/>
      <c r="M22" s="30"/>
    </row>
    <row r="23" spans="1:13" x14ac:dyDescent="0.15">
      <c r="A23" s="5"/>
      <c r="B23" s="6" t="s">
        <v>14</v>
      </c>
      <c r="C23" s="1" t="s">
        <v>6</v>
      </c>
      <c r="D23" s="3" t="s">
        <v>7</v>
      </c>
      <c r="E23" s="3" t="s">
        <v>15</v>
      </c>
      <c r="F23" s="4"/>
      <c r="G23" s="30"/>
      <c r="H23" s="30"/>
      <c r="I23" s="30"/>
      <c r="J23" s="6"/>
      <c r="K23" s="62"/>
      <c r="L23" s="30"/>
      <c r="M23" s="30"/>
    </row>
    <row r="24" spans="1:13" x14ac:dyDescent="0.15">
      <c r="A24" s="70" t="s">
        <v>8</v>
      </c>
      <c r="B24" s="5">
        <f>2*$D$6</f>
        <v>1.01E-10</v>
      </c>
      <c r="C24" s="1">
        <f>($B$10*$D$8/B24)+($B$11*$B$10^3/B24^3)</f>
        <v>9.1000765246740357E-8</v>
      </c>
      <c r="D24" s="4">
        <f>$D$5+2*C24</f>
        <v>2.0200153049348071E-7</v>
      </c>
      <c r="E24" s="21">
        <f>EVEN(D24/$D$6)</f>
        <v>4002</v>
      </c>
      <c r="F24" s="4"/>
      <c r="G24" s="62"/>
      <c r="H24" s="30"/>
      <c r="I24" s="30"/>
      <c r="J24" s="64"/>
      <c r="K24" s="62"/>
      <c r="L24" s="30"/>
      <c r="M24" s="30"/>
    </row>
    <row r="25" spans="1:13" x14ac:dyDescent="0.15">
      <c r="A25" s="70" t="s">
        <v>9</v>
      </c>
      <c r="B25" s="5">
        <f>4*$D$6</f>
        <v>2.02E-10</v>
      </c>
      <c r="C25" s="1">
        <f>($B$10*$D$8/B25)+($B$11*$B$10^3/B25^3)</f>
        <v>2.9998459016803657E-8</v>
      </c>
      <c r="D25" s="4">
        <f>$D$5+2*C25</f>
        <v>7.9996918033607321E-8</v>
      </c>
      <c r="E25" s="21">
        <f>EVEN(D25/$D$6)</f>
        <v>1586</v>
      </c>
      <c r="F25" s="4"/>
      <c r="G25" s="5"/>
      <c r="H25" s="8"/>
      <c r="I25" s="64"/>
      <c r="J25" s="64"/>
      <c r="K25" s="62"/>
      <c r="L25" s="30"/>
      <c r="M25" s="30"/>
    </row>
    <row r="26" spans="1:13" x14ac:dyDescent="0.15">
      <c r="A26" s="70" t="s">
        <v>10</v>
      </c>
      <c r="B26" s="5">
        <f>8*$D$6</f>
        <v>4.04E-10</v>
      </c>
      <c r="C26" s="1">
        <f>($B$10*$D$8/B26)+($B$11*$B$10^3/B26^3)</f>
        <v>1.3061489057581013E-8</v>
      </c>
      <c r="D26" s="4">
        <f>$D$5+2*C26</f>
        <v>4.6122978115162026E-8</v>
      </c>
      <c r="E26" s="21">
        <f>EVEN(D26/$D$6)</f>
        <v>914</v>
      </c>
      <c r="F26" s="4"/>
      <c r="G26" s="65" t="s">
        <v>47</v>
      </c>
      <c r="H26" s="65"/>
      <c r="I26" s="65"/>
      <c r="J26" s="63"/>
      <c r="K26" s="62"/>
      <c r="L26" s="30"/>
      <c r="M26" s="30"/>
    </row>
    <row r="27" spans="1:13" x14ac:dyDescent="0.15">
      <c r="A27" s="70" t="s">
        <v>11</v>
      </c>
      <c r="B27" s="5">
        <f>16*$D$6</f>
        <v>8.08E-10</v>
      </c>
      <c r="C27" s="1">
        <f>($B$10*$D$8/B27)+($B$11*$B$10^3/B27^3)</f>
        <v>6.2885269724379043E-9</v>
      </c>
      <c r="D27" s="4">
        <f>$D$5+2*C27</f>
        <v>3.2577053944875809E-8</v>
      </c>
      <c r="E27" s="21">
        <f t="shared" ref="E27" si="2">EVEN(D27/$D$6)</f>
        <v>646</v>
      </c>
      <c r="F27" s="8"/>
      <c r="G27" s="66">
        <v>100</v>
      </c>
      <c r="H27" s="2"/>
      <c r="I27" s="66"/>
      <c r="J27" s="63"/>
      <c r="K27" s="62"/>
      <c r="L27" s="30"/>
      <c r="M27" s="30"/>
    </row>
    <row r="28" spans="1:13" x14ac:dyDescent="0.15">
      <c r="A28" s="4"/>
      <c r="B28" s="4"/>
      <c r="C28" s="4"/>
      <c r="D28" s="2"/>
      <c r="E28" s="4"/>
      <c r="F28" s="4"/>
      <c r="G28" s="66">
        <v>3</v>
      </c>
      <c r="H28" s="67"/>
      <c r="I28" s="2"/>
      <c r="J28" s="5"/>
      <c r="K28" s="62"/>
      <c r="L28" s="30"/>
      <c r="M28" s="30"/>
    </row>
    <row r="29" spans="1:13" x14ac:dyDescent="0.15">
      <c r="A29" s="4"/>
      <c r="B29" s="3" t="s">
        <v>25</v>
      </c>
      <c r="C29" s="3" t="s">
        <v>3</v>
      </c>
      <c r="D29" s="4"/>
      <c r="E29" s="4"/>
      <c r="F29" s="4"/>
      <c r="G29" s="2"/>
      <c r="H29" s="66"/>
      <c r="I29" s="66"/>
      <c r="J29" s="5"/>
      <c r="K29" s="62"/>
      <c r="L29" s="30"/>
      <c r="M29" s="30"/>
    </row>
    <row r="30" spans="1:13" x14ac:dyDescent="0.15">
      <c r="A30" s="71" t="s">
        <v>20</v>
      </c>
      <c r="B30" s="20">
        <v>1.9687623993491223E-12</v>
      </c>
      <c r="C30" s="14">
        <v>2.7000000000000001E-3</v>
      </c>
      <c r="D30" s="5"/>
      <c r="E30" s="3"/>
      <c r="F30" s="4"/>
      <c r="G30" s="65"/>
      <c r="H30" s="65"/>
      <c r="I30" s="65"/>
      <c r="J30" s="5"/>
      <c r="K30" s="30"/>
      <c r="L30" s="30"/>
      <c r="M30" s="30"/>
    </row>
    <row r="31" spans="1:13" x14ac:dyDescent="0.15">
      <c r="A31" s="71" t="s">
        <v>41</v>
      </c>
      <c r="B31" s="20">
        <v>2.5079462659427628E-12</v>
      </c>
      <c r="C31" s="14">
        <v>2.7000000000000001E-3</v>
      </c>
      <c r="D31" s="8"/>
      <c r="E31" s="9"/>
      <c r="F31" s="4"/>
      <c r="G31" s="65" t="s">
        <v>48</v>
      </c>
      <c r="H31" s="65"/>
      <c r="I31" s="65"/>
      <c r="J31" s="5"/>
      <c r="K31" s="30"/>
      <c r="L31" s="30"/>
      <c r="M31" s="30"/>
    </row>
    <row r="32" spans="1:13" ht="14" thickBot="1" x14ac:dyDescent="0.2">
      <c r="A32" s="70" t="s">
        <v>31</v>
      </c>
      <c r="B32" s="20">
        <v>1.9687623993491223E-12</v>
      </c>
      <c r="C32" s="14">
        <v>2.2599999999999999E-3</v>
      </c>
      <c r="D32" s="4"/>
      <c r="E32" s="4"/>
      <c r="F32" s="4"/>
      <c r="G32" s="4" t="s">
        <v>49</v>
      </c>
      <c r="H32" s="65">
        <v>256</v>
      </c>
      <c r="I32" s="65"/>
      <c r="J32" s="5"/>
      <c r="K32" s="30"/>
      <c r="L32" s="30"/>
      <c r="M32" s="30"/>
    </row>
    <row r="33" spans="1:20" ht="14" thickBot="1" x14ac:dyDescent="0.2">
      <c r="A33" s="72" t="s">
        <v>22</v>
      </c>
      <c r="B33" s="25">
        <v>3.3492254406220297E-12</v>
      </c>
      <c r="C33" s="14">
        <v>6.3E-3</v>
      </c>
      <c r="D33" s="4"/>
      <c r="E33" s="4"/>
      <c r="G33" s="4" t="s">
        <v>50</v>
      </c>
      <c r="H33" s="65">
        <v>316</v>
      </c>
      <c r="I33" s="65"/>
      <c r="J33" s="5"/>
      <c r="K33" s="30"/>
      <c r="L33" s="30"/>
      <c r="M33" s="30"/>
      <c r="P33" s="78"/>
      <c r="Q33" s="27"/>
      <c r="R33" s="27"/>
      <c r="S33" s="27"/>
      <c r="T33" s="75"/>
    </row>
    <row r="34" spans="1:20" x14ac:dyDescent="0.15">
      <c r="A34" s="3"/>
      <c r="B34" s="25"/>
      <c r="C34" s="14"/>
      <c r="D34" s="4"/>
      <c r="E34" s="4"/>
      <c r="G34" s="4" t="s">
        <v>51</v>
      </c>
      <c r="H34" s="65">
        <v>425</v>
      </c>
      <c r="I34" s="65"/>
      <c r="J34" s="5"/>
      <c r="K34" s="62"/>
      <c r="L34" s="30"/>
      <c r="M34" s="30"/>
      <c r="P34" s="22"/>
      <c r="Q34" s="4"/>
      <c r="R34" s="4"/>
      <c r="S34" s="4"/>
      <c r="T34" s="23"/>
    </row>
    <row r="35" spans="1:20" x14ac:dyDescent="0.15">
      <c r="A35" s="4"/>
      <c r="B35" s="4"/>
      <c r="C35" s="4"/>
      <c r="D35" s="4"/>
      <c r="E35" s="4"/>
      <c r="G35" s="65"/>
      <c r="H35" s="65"/>
      <c r="I35" s="65"/>
      <c r="J35" s="5"/>
      <c r="K35" s="62"/>
      <c r="L35" s="30"/>
      <c r="M35" s="30"/>
      <c r="P35" s="22"/>
      <c r="Q35" s="4"/>
      <c r="R35" s="4"/>
      <c r="S35" s="4"/>
      <c r="T35" s="23"/>
    </row>
    <row r="36" spans="1:20" x14ac:dyDescent="0.15">
      <c r="A36" s="4"/>
      <c r="B36" s="4"/>
      <c r="C36" s="4"/>
      <c r="D36" s="4"/>
      <c r="E36" s="4"/>
      <c r="G36" s="65" t="s">
        <v>52</v>
      </c>
      <c r="H36" s="65"/>
      <c r="I36" s="65"/>
      <c r="J36" s="5"/>
      <c r="K36" s="62"/>
      <c r="L36" s="30"/>
      <c r="M36" s="30"/>
      <c r="P36" s="22"/>
      <c r="Q36" s="4"/>
      <c r="R36" s="4"/>
      <c r="S36" s="4"/>
      <c r="T36" s="23"/>
    </row>
    <row r="37" spans="1:20" x14ac:dyDescent="0.15">
      <c r="A37" s="4"/>
      <c r="B37" s="4"/>
      <c r="C37" s="56"/>
      <c r="D37" s="56"/>
      <c r="E37" s="4"/>
      <c r="G37" s="65" t="s">
        <v>53</v>
      </c>
      <c r="H37" s="65"/>
      <c r="I37" s="65"/>
      <c r="J37" s="5"/>
      <c r="K37" s="62"/>
      <c r="L37" s="30"/>
      <c r="M37" s="30"/>
      <c r="P37" s="22"/>
      <c r="Q37" s="4"/>
      <c r="R37" s="4"/>
      <c r="S37" s="4"/>
      <c r="T37" s="23"/>
    </row>
    <row r="38" spans="1:20" x14ac:dyDescent="0.15">
      <c r="A38" s="57"/>
      <c r="B38" s="59"/>
      <c r="G38" s="65" t="s">
        <v>54</v>
      </c>
      <c r="H38" s="65"/>
      <c r="I38" s="65"/>
      <c r="J38" s="5"/>
      <c r="K38" s="62"/>
      <c r="L38" s="30"/>
      <c r="M38" s="30"/>
      <c r="P38" s="22"/>
      <c r="Q38" s="4"/>
      <c r="R38" s="4"/>
      <c r="S38" s="4"/>
      <c r="T38" s="23"/>
    </row>
    <row r="39" spans="1:20" x14ac:dyDescent="0.15">
      <c r="A39" s="58"/>
      <c r="B39" s="59"/>
      <c r="G39" s="65"/>
      <c r="H39" s="65"/>
      <c r="I39" s="65"/>
      <c r="J39" s="5"/>
      <c r="K39" s="62"/>
      <c r="L39" s="30"/>
      <c r="M39" s="30"/>
      <c r="P39" s="22"/>
      <c r="Q39" s="4"/>
      <c r="R39" s="4"/>
      <c r="S39" s="4"/>
      <c r="T39" s="23"/>
    </row>
    <row r="40" spans="1:20" ht="14" thickBot="1" x14ac:dyDescent="0.2">
      <c r="A40" s="58"/>
      <c r="B40" s="59"/>
      <c r="G40" s="65"/>
      <c r="H40" s="65"/>
      <c r="I40" s="65"/>
      <c r="J40" s="5"/>
      <c r="K40" s="62"/>
      <c r="L40" s="30"/>
      <c r="M40" s="30"/>
      <c r="P40" s="22"/>
      <c r="Q40" s="4"/>
      <c r="R40" s="4"/>
      <c r="S40" s="4"/>
      <c r="T40" s="23"/>
    </row>
    <row r="41" spans="1:20" ht="14" thickBot="1" x14ac:dyDescent="0.2">
      <c r="A41" s="51"/>
      <c r="G41" s="65"/>
      <c r="H41" s="65"/>
      <c r="I41" s="65"/>
      <c r="J41" s="5"/>
      <c r="K41" s="30"/>
      <c r="L41" s="30"/>
      <c r="M41" s="30"/>
      <c r="P41" s="78"/>
      <c r="Q41" s="4"/>
      <c r="R41" s="4"/>
      <c r="S41" s="4"/>
      <c r="T41" s="23"/>
    </row>
    <row r="42" spans="1:20" x14ac:dyDescent="0.15">
      <c r="G42" s="65"/>
      <c r="H42" s="65"/>
      <c r="I42" s="65"/>
      <c r="J42" s="5"/>
      <c r="K42" s="30"/>
      <c r="L42" s="30"/>
      <c r="M42" s="30"/>
      <c r="P42" s="22"/>
      <c r="Q42" s="4"/>
      <c r="R42" s="4"/>
      <c r="S42" s="4"/>
      <c r="T42" s="23"/>
    </row>
    <row r="43" spans="1:20" x14ac:dyDescent="0.15">
      <c r="C43" s="54"/>
      <c r="D43" s="55"/>
      <c r="G43" s="65"/>
      <c r="H43" s="65"/>
      <c r="I43" s="65"/>
      <c r="J43" s="5"/>
      <c r="K43" s="30"/>
      <c r="L43" s="30"/>
      <c r="M43" s="30"/>
      <c r="P43" s="22"/>
      <c r="Q43" s="4"/>
      <c r="R43" s="4"/>
      <c r="S43" s="4"/>
      <c r="T43" s="23"/>
    </row>
    <row r="44" spans="1:20" x14ac:dyDescent="0.15">
      <c r="C44" s="54"/>
      <c r="D44" s="55"/>
      <c r="G44" s="65"/>
      <c r="H44" s="65"/>
      <c r="I44" s="65"/>
      <c r="J44" s="5"/>
      <c r="K44" s="30"/>
      <c r="L44" s="30"/>
      <c r="M44" s="30"/>
      <c r="P44" s="22"/>
      <c r="Q44" s="4"/>
      <c r="R44" s="4"/>
      <c r="S44" s="4"/>
      <c r="T44" s="23"/>
    </row>
    <row r="45" spans="1:20" x14ac:dyDescent="0.15">
      <c r="C45" s="54"/>
      <c r="D45" s="55"/>
      <c r="G45" s="56"/>
      <c r="H45" s="56"/>
      <c r="I45" s="56"/>
      <c r="P45" s="22"/>
      <c r="Q45" s="4"/>
      <c r="R45" s="4"/>
      <c r="S45" s="4"/>
      <c r="T45" s="23"/>
    </row>
    <row r="46" spans="1:20" x14ac:dyDescent="0.15">
      <c r="C46" s="54"/>
      <c r="D46" s="55"/>
      <c r="P46" s="22"/>
      <c r="Q46" s="4"/>
      <c r="R46" s="4"/>
      <c r="S46" s="4"/>
      <c r="T46" s="23"/>
    </row>
    <row r="47" spans="1:20" ht="14" thickBot="1" x14ac:dyDescent="0.2">
      <c r="C47" s="54"/>
      <c r="D47" s="55"/>
      <c r="P47" s="26"/>
      <c r="Q47" s="76"/>
      <c r="R47" s="76"/>
      <c r="S47" s="76"/>
      <c r="T47" s="77"/>
    </row>
    <row r="48" spans="1:20" x14ac:dyDescent="0.15">
      <c r="C48" s="54"/>
      <c r="D48" s="55"/>
    </row>
  </sheetData>
  <sortState xmlns:xlrd2="http://schemas.microsoft.com/office/spreadsheetml/2017/richdata2" ref="K5:M50">
    <sortCondition descending="1" ref="K5:K50"/>
  </sortState>
  <dataConsolidate/>
  <mergeCells count="5">
    <mergeCell ref="B1:E1"/>
    <mergeCell ref="B2:E2"/>
    <mergeCell ref="G1:I1"/>
    <mergeCell ref="K1:M1"/>
    <mergeCell ref="O1:P1"/>
  </mergeCells>
  <dataValidations count="1">
    <dataValidation type="list" allowBlank="1" showInputMessage="1" showErrorMessage="1" sqref="B4" xr:uid="{0904F82F-C79E-3842-A601-4E0089D628CC}">
      <formula1>$A$30:$A$33</formula1>
    </dataValidation>
  </dataValidations>
  <hyperlinks>
    <hyperlink ref="B1" r:id="rId1" display="Rosenthal &amp; Henderson (2003) JMB, 333, 721-745 (on page 726)" xr:uid="{430540C2-45B6-4F4D-A5ED-72ECCB06B6CE}"/>
    <hyperlink ref="B2" r:id="rId2" xr:uid="{852F7E4E-6DA9-D942-BF9A-3DE888501937}"/>
  </hyperlinks>
  <pageMargins left="0.75" right="0.75" top="1" bottom="1" header="0.5" footer="0.5"/>
  <pageSetup paperSize="9" orientation="portrait" horizontalDpi="4294967292" verticalDpi="429496729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A5A6-E7D1-9949-A399-D3C01444DB5D}">
  <dimension ref="A1:K45"/>
  <sheetViews>
    <sheetView zoomScale="125" zoomScaleNormal="125" workbookViewId="0">
      <selection activeCell="G4" sqref="G4:G44"/>
    </sheetView>
  </sheetViews>
  <sheetFormatPr baseColWidth="10" defaultRowHeight="13" x14ac:dyDescent="0.15"/>
  <cols>
    <col min="1" max="1" width="15.5" customWidth="1"/>
    <col min="2" max="2" width="9.6640625" customWidth="1"/>
    <col min="3" max="3" width="10.6640625" customWidth="1"/>
    <col min="4" max="4" width="2.1640625" customWidth="1"/>
    <col min="5" max="5" width="8.6640625" customWidth="1"/>
    <col min="6" max="6" width="8.5" customWidth="1"/>
    <col min="7" max="7" width="10.33203125" customWidth="1"/>
    <col min="8" max="8" width="1.83203125" customWidth="1"/>
    <col min="9" max="9" width="4.1640625" style="4" bestFit="1" customWidth="1"/>
    <col min="10" max="10" width="20.33203125" style="4" customWidth="1"/>
  </cols>
  <sheetData>
    <row r="1" spans="1:11" x14ac:dyDescent="0.15">
      <c r="A1" s="83" t="s">
        <v>39</v>
      </c>
      <c r="B1" s="84"/>
      <c r="C1" s="85"/>
      <c r="E1" s="83" t="s">
        <v>40</v>
      </c>
      <c r="F1" s="84"/>
      <c r="G1" s="85"/>
      <c r="I1" s="83" t="s">
        <v>23</v>
      </c>
      <c r="J1" s="85"/>
      <c r="K1" s="28"/>
    </row>
    <row r="2" spans="1:11" x14ac:dyDescent="0.15">
      <c r="A2" s="22"/>
      <c r="B2" s="4"/>
      <c r="C2" s="23"/>
      <c r="E2" s="22"/>
      <c r="F2" s="4"/>
      <c r="G2" s="23"/>
      <c r="I2" s="43"/>
      <c r="J2" s="44"/>
    </row>
    <row r="3" spans="1:11" x14ac:dyDescent="0.15">
      <c r="A3" s="39" t="s">
        <v>36</v>
      </c>
      <c r="B3" s="37" t="s">
        <v>37</v>
      </c>
      <c r="C3" s="40" t="s">
        <v>38</v>
      </c>
      <c r="E3" s="39" t="s">
        <v>36</v>
      </c>
      <c r="F3" s="37" t="s">
        <v>37</v>
      </c>
      <c r="G3" s="40" t="s">
        <v>38</v>
      </c>
      <c r="I3" s="39" t="s">
        <v>13</v>
      </c>
      <c r="J3" s="40" t="s">
        <v>42</v>
      </c>
    </row>
    <row r="4" spans="1:11" x14ac:dyDescent="0.15">
      <c r="A4" s="29">
        <v>0</v>
      </c>
      <c r="B4" s="30">
        <f t="shared" ref="B4:B24" si="0">A4*$B$27/$B$28</f>
        <v>0</v>
      </c>
      <c r="C4" s="31">
        <f t="shared" ref="C4:C24" si="1">A4*$B$27/$B$30</f>
        <v>0</v>
      </c>
      <c r="D4" s="10"/>
      <c r="E4" s="32">
        <v>40</v>
      </c>
      <c r="F4" s="30">
        <f>E4*$J$6/$J$5</f>
        <v>34.285714285714285</v>
      </c>
      <c r="G4" s="31">
        <f>E4*$J$6/$J$4</f>
        <v>24.615384615384617</v>
      </c>
      <c r="I4" s="22">
        <v>120</v>
      </c>
      <c r="J4" s="41">
        <v>3.9</v>
      </c>
    </row>
    <row r="5" spans="1:11" x14ac:dyDescent="0.15">
      <c r="A5" s="29">
        <v>-0.5</v>
      </c>
      <c r="B5" s="30">
        <f t="shared" si="0"/>
        <v>-0.39250490054041176</v>
      </c>
      <c r="C5" s="31">
        <f t="shared" si="1"/>
        <v>-0.29391309039254715</v>
      </c>
      <c r="D5" s="10"/>
      <c r="E5" s="32">
        <v>39</v>
      </c>
      <c r="F5" s="30">
        <f t="shared" ref="F5:F44" si="2">E5*$J$6/$J$5</f>
        <v>33.428571428571431</v>
      </c>
      <c r="G5" s="31">
        <f t="shared" ref="G5:G44" si="3">E5*$J$6/$J$4</f>
        <v>24</v>
      </c>
      <c r="I5" s="22">
        <v>200</v>
      </c>
      <c r="J5" s="41">
        <v>2.8</v>
      </c>
    </row>
    <row r="6" spans="1:11" ht="14" thickBot="1" x14ac:dyDescent="0.2">
      <c r="A6" s="29">
        <v>-1</v>
      </c>
      <c r="B6" s="30">
        <f t="shared" si="0"/>
        <v>-0.78500980108082352</v>
      </c>
      <c r="C6" s="31">
        <f t="shared" si="1"/>
        <v>-0.5878261807850943</v>
      </c>
      <c r="D6" s="10"/>
      <c r="E6" s="32">
        <v>38</v>
      </c>
      <c r="F6" s="30">
        <f t="shared" si="2"/>
        <v>32.571428571428577</v>
      </c>
      <c r="G6" s="31">
        <f t="shared" si="3"/>
        <v>23.384615384615387</v>
      </c>
      <c r="I6" s="26">
        <v>300</v>
      </c>
      <c r="J6" s="42">
        <v>2.4</v>
      </c>
    </row>
    <row r="7" spans="1:11" x14ac:dyDescent="0.15">
      <c r="A7" s="29">
        <v>-1.5</v>
      </c>
      <c r="B7" s="30">
        <f t="shared" si="0"/>
        <v>-1.1775147016212353</v>
      </c>
      <c r="C7" s="31">
        <f t="shared" si="1"/>
        <v>-0.88173927117764139</v>
      </c>
      <c r="D7" s="5"/>
      <c r="E7" s="32">
        <v>37</v>
      </c>
      <c r="F7" s="30">
        <f t="shared" si="2"/>
        <v>31.714285714285715</v>
      </c>
      <c r="G7" s="31">
        <f t="shared" si="3"/>
        <v>22.76923076923077</v>
      </c>
    </row>
    <row r="8" spans="1:11" x14ac:dyDescent="0.15">
      <c r="A8" s="32">
        <v>-2</v>
      </c>
      <c r="B8" s="30">
        <f t="shared" si="0"/>
        <v>-1.570019602161647</v>
      </c>
      <c r="C8" s="31">
        <f t="shared" si="1"/>
        <v>-1.1756523615701886</v>
      </c>
      <c r="D8" s="5"/>
      <c r="E8" s="29">
        <v>36</v>
      </c>
      <c r="F8" s="30">
        <f t="shared" si="2"/>
        <v>30.857142857142858</v>
      </c>
      <c r="G8" s="31">
        <f t="shared" si="3"/>
        <v>22.153846153846153</v>
      </c>
    </row>
    <row r="9" spans="1:11" x14ac:dyDescent="0.15">
      <c r="A9" s="32">
        <v>-2.5</v>
      </c>
      <c r="B9" s="30">
        <f t="shared" si="0"/>
        <v>-1.9625245027020588</v>
      </c>
      <c r="C9" s="31">
        <f t="shared" si="1"/>
        <v>-1.4695654519627357</v>
      </c>
      <c r="D9" s="5"/>
      <c r="E9" s="29">
        <v>35</v>
      </c>
      <c r="F9" s="30">
        <f t="shared" si="2"/>
        <v>30.000000000000004</v>
      </c>
      <c r="G9" s="31">
        <f t="shared" si="3"/>
        <v>21.53846153846154</v>
      </c>
    </row>
    <row r="10" spans="1:11" x14ac:dyDescent="0.15">
      <c r="A10" s="32">
        <v>-3</v>
      </c>
      <c r="B10" s="30">
        <f t="shared" si="0"/>
        <v>-2.3550294032424706</v>
      </c>
      <c r="C10" s="31">
        <f t="shared" si="1"/>
        <v>-1.7634785423552828</v>
      </c>
      <c r="D10" s="5"/>
      <c r="E10" s="29">
        <v>34</v>
      </c>
      <c r="F10" s="30">
        <f t="shared" si="2"/>
        <v>29.142857142857142</v>
      </c>
      <c r="G10" s="31">
        <f t="shared" si="3"/>
        <v>20.923076923076923</v>
      </c>
    </row>
    <row r="11" spans="1:11" x14ac:dyDescent="0.15">
      <c r="A11" s="32">
        <v>-3.5</v>
      </c>
      <c r="B11" s="30">
        <f t="shared" si="0"/>
        <v>-2.7475343037828823</v>
      </c>
      <c r="C11" s="31">
        <f t="shared" si="1"/>
        <v>-2.0573916327478301</v>
      </c>
      <c r="D11" s="5"/>
      <c r="E11" s="29">
        <v>33</v>
      </c>
      <c r="F11" s="30">
        <f t="shared" si="2"/>
        <v>28.285714285714288</v>
      </c>
      <c r="G11" s="31">
        <f t="shared" si="3"/>
        <v>20.30769230769231</v>
      </c>
    </row>
    <row r="12" spans="1:11" x14ac:dyDescent="0.15">
      <c r="A12" s="29">
        <v>-4</v>
      </c>
      <c r="B12" s="30">
        <f t="shared" si="0"/>
        <v>-3.1400392043232941</v>
      </c>
      <c r="C12" s="31">
        <f t="shared" si="1"/>
        <v>-2.3513047231403772</v>
      </c>
      <c r="D12" s="5"/>
      <c r="E12" s="32">
        <v>32</v>
      </c>
      <c r="F12" s="30">
        <f t="shared" si="2"/>
        <v>27.428571428571431</v>
      </c>
      <c r="G12" s="31">
        <f t="shared" si="3"/>
        <v>19.692307692307693</v>
      </c>
    </row>
    <row r="13" spans="1:11" x14ac:dyDescent="0.15">
      <c r="A13" s="29">
        <v>-4.5</v>
      </c>
      <c r="B13" s="30">
        <f t="shared" si="0"/>
        <v>-3.5325441048637058</v>
      </c>
      <c r="C13" s="31">
        <f t="shared" si="1"/>
        <v>-2.6452178135329243</v>
      </c>
      <c r="D13" s="10"/>
      <c r="E13" s="32">
        <v>31</v>
      </c>
      <c r="F13" s="30">
        <f t="shared" si="2"/>
        <v>26.571428571428569</v>
      </c>
      <c r="G13" s="31">
        <f t="shared" si="3"/>
        <v>19.076923076923077</v>
      </c>
    </row>
    <row r="14" spans="1:11" x14ac:dyDescent="0.15">
      <c r="A14" s="29">
        <v>-5</v>
      </c>
      <c r="B14" s="30">
        <f t="shared" si="0"/>
        <v>-3.9250490054041176</v>
      </c>
      <c r="C14" s="31">
        <f t="shared" si="1"/>
        <v>-2.9391309039254714</v>
      </c>
      <c r="D14" s="10"/>
      <c r="E14" s="32">
        <v>30</v>
      </c>
      <c r="F14" s="30">
        <f t="shared" si="2"/>
        <v>25.714285714285715</v>
      </c>
      <c r="G14" s="31">
        <f t="shared" si="3"/>
        <v>18.461538461538463</v>
      </c>
    </row>
    <row r="15" spans="1:11" x14ac:dyDescent="0.15">
      <c r="A15" s="29">
        <v>-5.5</v>
      </c>
      <c r="B15" s="30">
        <f t="shared" si="0"/>
        <v>-4.3175539059445294</v>
      </c>
      <c r="C15" s="31">
        <f t="shared" si="1"/>
        <v>-3.2330439943180185</v>
      </c>
      <c r="D15" s="10"/>
      <c r="E15" s="32">
        <v>29</v>
      </c>
      <c r="F15" s="30">
        <f t="shared" si="2"/>
        <v>24.857142857142858</v>
      </c>
      <c r="G15" s="31">
        <f t="shared" si="3"/>
        <v>17.846153846153847</v>
      </c>
    </row>
    <row r="16" spans="1:11" x14ac:dyDescent="0.15">
      <c r="A16" s="32">
        <v>-6</v>
      </c>
      <c r="B16" s="30">
        <f t="shared" si="0"/>
        <v>-4.7100588064849411</v>
      </c>
      <c r="C16" s="31">
        <f t="shared" si="1"/>
        <v>-3.5269570847105656</v>
      </c>
      <c r="D16" s="10"/>
      <c r="E16" s="32">
        <v>28</v>
      </c>
      <c r="F16" s="30">
        <f t="shared" si="2"/>
        <v>24.000000000000004</v>
      </c>
      <c r="G16" s="31">
        <f t="shared" si="3"/>
        <v>17.230769230769234</v>
      </c>
    </row>
    <row r="17" spans="1:7" x14ac:dyDescent="0.15">
      <c r="A17" s="32">
        <v>-6.5</v>
      </c>
      <c r="B17" s="30">
        <f t="shared" si="0"/>
        <v>-5.1025637070253529</v>
      </c>
      <c r="C17" s="31">
        <f t="shared" si="1"/>
        <v>-3.8208701751031127</v>
      </c>
      <c r="D17" s="10"/>
      <c r="E17" s="32">
        <v>27</v>
      </c>
      <c r="F17" s="30">
        <f t="shared" si="2"/>
        <v>23.142857142857142</v>
      </c>
      <c r="G17" s="31">
        <f t="shared" si="3"/>
        <v>16.615384615384617</v>
      </c>
    </row>
    <row r="18" spans="1:7" x14ac:dyDescent="0.15">
      <c r="A18" s="32">
        <v>-7</v>
      </c>
      <c r="B18" s="30">
        <f t="shared" si="0"/>
        <v>-5.4950686075657647</v>
      </c>
      <c r="C18" s="31">
        <f t="shared" si="1"/>
        <v>-4.1147832654956602</v>
      </c>
      <c r="D18" s="10"/>
      <c r="E18" s="32">
        <v>26</v>
      </c>
      <c r="F18" s="30">
        <f t="shared" si="2"/>
        <v>22.285714285714288</v>
      </c>
      <c r="G18" s="31">
        <f t="shared" si="3"/>
        <v>16</v>
      </c>
    </row>
    <row r="19" spans="1:7" x14ac:dyDescent="0.15">
      <c r="A19" s="32">
        <v>-7.5</v>
      </c>
      <c r="B19" s="30">
        <f t="shared" si="0"/>
        <v>-5.8875735081061764</v>
      </c>
      <c r="C19" s="31">
        <f t="shared" si="1"/>
        <v>-4.4086963558882069</v>
      </c>
      <c r="D19" s="7"/>
      <c r="E19" s="29">
        <v>25</v>
      </c>
      <c r="F19" s="30">
        <f t="shared" si="2"/>
        <v>21.428571428571431</v>
      </c>
      <c r="G19" s="31">
        <f t="shared" si="3"/>
        <v>15.384615384615385</v>
      </c>
    </row>
    <row r="20" spans="1:7" x14ac:dyDescent="0.15">
      <c r="A20" s="29">
        <v>-8</v>
      </c>
      <c r="B20" s="30">
        <f t="shared" si="0"/>
        <v>-6.2800784086465882</v>
      </c>
      <c r="C20" s="31">
        <f t="shared" si="1"/>
        <v>-4.7026094462807544</v>
      </c>
      <c r="D20" s="11"/>
      <c r="E20" s="29">
        <v>24</v>
      </c>
      <c r="F20" s="30">
        <f t="shared" si="2"/>
        <v>20.571428571428569</v>
      </c>
      <c r="G20" s="31">
        <f t="shared" si="3"/>
        <v>14.769230769230768</v>
      </c>
    </row>
    <row r="21" spans="1:7" x14ac:dyDescent="0.15">
      <c r="A21" s="29">
        <v>-8.5</v>
      </c>
      <c r="B21" s="30">
        <f t="shared" si="0"/>
        <v>-6.6725833091869999</v>
      </c>
      <c r="C21" s="31">
        <f t="shared" si="1"/>
        <v>-4.996522536673301</v>
      </c>
      <c r="D21" s="10"/>
      <c r="E21" s="29">
        <v>23</v>
      </c>
      <c r="F21" s="30">
        <f t="shared" si="2"/>
        <v>19.714285714285715</v>
      </c>
      <c r="G21" s="31">
        <f t="shared" si="3"/>
        <v>14.153846153846153</v>
      </c>
    </row>
    <row r="22" spans="1:7" x14ac:dyDescent="0.15">
      <c r="A22" s="29">
        <v>-9</v>
      </c>
      <c r="B22" s="30">
        <f t="shared" si="0"/>
        <v>-7.0650882097274117</v>
      </c>
      <c r="C22" s="31">
        <f t="shared" si="1"/>
        <v>-5.2904356270658486</v>
      </c>
      <c r="D22" s="10"/>
      <c r="E22" s="29">
        <v>22</v>
      </c>
      <c r="F22" s="30">
        <f t="shared" si="2"/>
        <v>18.857142857142858</v>
      </c>
      <c r="G22" s="31">
        <f t="shared" si="3"/>
        <v>13.538461538461538</v>
      </c>
    </row>
    <row r="23" spans="1:7" x14ac:dyDescent="0.15">
      <c r="A23" s="29">
        <v>-9.5</v>
      </c>
      <c r="B23" s="30">
        <f t="shared" si="0"/>
        <v>-7.4575931102678235</v>
      </c>
      <c r="C23" s="31">
        <f t="shared" si="1"/>
        <v>-5.5843487174583961</v>
      </c>
      <c r="D23" s="7"/>
      <c r="E23" s="32">
        <v>21</v>
      </c>
      <c r="F23" s="30">
        <f t="shared" si="2"/>
        <v>18</v>
      </c>
      <c r="G23" s="31">
        <f t="shared" si="3"/>
        <v>12.923076923076923</v>
      </c>
    </row>
    <row r="24" spans="1:7" ht="14" thickBot="1" x14ac:dyDescent="0.2">
      <c r="A24" s="33">
        <v>-10</v>
      </c>
      <c r="B24" s="34">
        <f t="shared" si="0"/>
        <v>-7.8500980108082352</v>
      </c>
      <c r="C24" s="35">
        <f t="shared" si="1"/>
        <v>-5.8782618078509428</v>
      </c>
      <c r="D24" s="13"/>
      <c r="E24" s="32">
        <v>20</v>
      </c>
      <c r="F24" s="30">
        <f t="shared" si="2"/>
        <v>17.142857142857142</v>
      </c>
      <c r="G24" s="31">
        <f t="shared" si="3"/>
        <v>12.307692307692308</v>
      </c>
    </row>
    <row r="25" spans="1:7" x14ac:dyDescent="0.15">
      <c r="A25" s="10"/>
      <c r="B25" s="12"/>
      <c r="C25" s="13"/>
      <c r="D25" s="13"/>
      <c r="E25" s="32">
        <v>19</v>
      </c>
      <c r="F25" s="30">
        <f t="shared" si="2"/>
        <v>16.285714285714288</v>
      </c>
      <c r="G25" s="31">
        <f t="shared" si="3"/>
        <v>11.692307692307693</v>
      </c>
    </row>
    <row r="26" spans="1:7" x14ac:dyDescent="0.15">
      <c r="A26" s="4"/>
      <c r="B26" s="3" t="s">
        <v>25</v>
      </c>
      <c r="C26" s="3" t="s">
        <v>3</v>
      </c>
      <c r="D26" s="11"/>
      <c r="E26" s="32">
        <v>18</v>
      </c>
      <c r="F26" s="30">
        <f t="shared" si="2"/>
        <v>15.428571428571429</v>
      </c>
      <c r="G26" s="31">
        <f t="shared" si="3"/>
        <v>11.076923076923077</v>
      </c>
    </row>
    <row r="27" spans="1:7" x14ac:dyDescent="0.15">
      <c r="A27" s="61" t="s">
        <v>20</v>
      </c>
      <c r="B27" s="20">
        <v>1.9687623993491223E-12</v>
      </c>
      <c r="C27" s="14">
        <v>2.7000000000000001E-3</v>
      </c>
      <c r="D27" s="11"/>
      <c r="E27" s="32">
        <v>17</v>
      </c>
      <c r="F27" s="30">
        <f t="shared" si="2"/>
        <v>14.571428571428571</v>
      </c>
      <c r="G27" s="31">
        <f t="shared" si="3"/>
        <v>10.461538461538462</v>
      </c>
    </row>
    <row r="28" spans="1:7" x14ac:dyDescent="0.15">
      <c r="A28" s="61" t="s">
        <v>21</v>
      </c>
      <c r="B28" s="20">
        <v>2.5079462659427628E-12</v>
      </c>
      <c r="C28" s="14">
        <v>2.7000000000000001E-3</v>
      </c>
      <c r="D28" s="10"/>
      <c r="E28" s="32">
        <v>16</v>
      </c>
      <c r="F28" s="30">
        <f t="shared" si="2"/>
        <v>13.714285714285715</v>
      </c>
      <c r="G28" s="31">
        <f t="shared" si="3"/>
        <v>9.8461538461538467</v>
      </c>
    </row>
    <row r="29" spans="1:7" x14ac:dyDescent="0.15">
      <c r="A29" s="4" t="s">
        <v>31</v>
      </c>
      <c r="B29" s="20">
        <v>1.9687623993491223E-12</v>
      </c>
      <c r="C29" s="14">
        <v>2.2599999999999999E-3</v>
      </c>
      <c r="D29" s="10"/>
      <c r="E29" s="32">
        <v>15</v>
      </c>
      <c r="F29" s="30">
        <f t="shared" si="2"/>
        <v>12.857142857142858</v>
      </c>
      <c r="G29" s="31">
        <f t="shared" si="3"/>
        <v>9.2307692307692317</v>
      </c>
    </row>
    <row r="30" spans="1:7" x14ac:dyDescent="0.15">
      <c r="A30" s="14" t="s">
        <v>22</v>
      </c>
      <c r="B30" s="25">
        <v>3.3492254406220297E-12</v>
      </c>
      <c r="C30" s="14">
        <v>6.3E-3</v>
      </c>
      <c r="D30" s="10"/>
      <c r="E30" s="29">
        <v>14</v>
      </c>
      <c r="F30" s="30">
        <f t="shared" si="2"/>
        <v>12.000000000000002</v>
      </c>
      <c r="G30" s="31">
        <f t="shared" si="3"/>
        <v>8.6153846153846168</v>
      </c>
    </row>
    <row r="31" spans="1:7" x14ac:dyDescent="0.15">
      <c r="A31" s="51"/>
      <c r="B31" s="51"/>
      <c r="C31" s="51"/>
      <c r="D31" s="10"/>
      <c r="E31" s="29">
        <v>13</v>
      </c>
      <c r="F31" s="30">
        <f t="shared" si="2"/>
        <v>11.142857142857144</v>
      </c>
      <c r="G31" s="31">
        <f t="shared" si="3"/>
        <v>8</v>
      </c>
    </row>
    <row r="32" spans="1:7" x14ac:dyDescent="0.15">
      <c r="B32" s="51"/>
      <c r="C32" s="51"/>
      <c r="D32" s="10"/>
      <c r="E32" s="29">
        <v>12</v>
      </c>
      <c r="F32" s="30">
        <f t="shared" si="2"/>
        <v>10.285714285714285</v>
      </c>
      <c r="G32" s="31">
        <f t="shared" si="3"/>
        <v>7.3846153846153841</v>
      </c>
    </row>
    <row r="33" spans="1:7" x14ac:dyDescent="0.15">
      <c r="B33" s="51"/>
      <c r="C33" s="51"/>
      <c r="D33" s="10"/>
      <c r="E33" s="29">
        <v>11</v>
      </c>
      <c r="F33" s="30">
        <f t="shared" si="2"/>
        <v>9.4285714285714288</v>
      </c>
      <c r="G33" s="31">
        <f t="shared" si="3"/>
        <v>6.7692307692307692</v>
      </c>
    </row>
    <row r="34" spans="1:7" x14ac:dyDescent="0.15">
      <c r="A34" s="46"/>
      <c r="B34" s="51"/>
      <c r="C34" s="51"/>
      <c r="D34" s="10"/>
      <c r="E34" s="32">
        <v>10</v>
      </c>
      <c r="F34" s="30">
        <f t="shared" si="2"/>
        <v>8.5714285714285712</v>
      </c>
      <c r="G34" s="31">
        <f t="shared" si="3"/>
        <v>6.1538461538461542</v>
      </c>
    </row>
    <row r="35" spans="1:7" x14ac:dyDescent="0.15">
      <c r="A35" s="51"/>
      <c r="B35" s="51"/>
      <c r="C35" s="51"/>
      <c r="D35" s="10"/>
      <c r="E35" s="32">
        <v>9</v>
      </c>
      <c r="F35" s="30">
        <f t="shared" si="2"/>
        <v>7.7142857142857144</v>
      </c>
      <c r="G35" s="31">
        <f t="shared" si="3"/>
        <v>5.5384615384615383</v>
      </c>
    </row>
    <row r="36" spans="1:7" x14ac:dyDescent="0.15">
      <c r="A36" s="51"/>
      <c r="B36" s="51"/>
      <c r="C36" s="51"/>
      <c r="D36" s="10"/>
      <c r="E36" s="32">
        <v>8</v>
      </c>
      <c r="F36" s="30">
        <f t="shared" si="2"/>
        <v>6.8571428571428577</v>
      </c>
      <c r="G36" s="31">
        <f t="shared" si="3"/>
        <v>4.9230769230769234</v>
      </c>
    </row>
    <row r="37" spans="1:7" x14ac:dyDescent="0.15">
      <c r="A37" s="51"/>
      <c r="B37" s="51"/>
      <c r="C37" s="51"/>
      <c r="D37" s="10"/>
      <c r="E37" s="32">
        <v>7</v>
      </c>
      <c r="F37" s="30">
        <f t="shared" si="2"/>
        <v>6.0000000000000009</v>
      </c>
      <c r="G37" s="31">
        <f t="shared" si="3"/>
        <v>4.3076923076923084</v>
      </c>
    </row>
    <row r="38" spans="1:7" x14ac:dyDescent="0.15">
      <c r="A38" s="51"/>
      <c r="B38" s="51"/>
      <c r="C38" s="51"/>
      <c r="D38" s="10"/>
      <c r="E38" s="32">
        <v>6</v>
      </c>
      <c r="F38" s="30">
        <f t="shared" si="2"/>
        <v>5.1428571428571423</v>
      </c>
      <c r="G38" s="31">
        <f t="shared" si="3"/>
        <v>3.6923076923076921</v>
      </c>
    </row>
    <row r="39" spans="1:7" x14ac:dyDescent="0.15">
      <c r="A39" s="51"/>
      <c r="B39" s="51"/>
      <c r="C39" s="51"/>
      <c r="D39" s="10"/>
      <c r="E39" s="32">
        <v>5</v>
      </c>
      <c r="F39" s="30">
        <f t="shared" si="2"/>
        <v>4.2857142857142856</v>
      </c>
      <c r="G39" s="31">
        <f t="shared" si="3"/>
        <v>3.0769230769230771</v>
      </c>
    </row>
    <row r="40" spans="1:7" x14ac:dyDescent="0.15">
      <c r="A40" s="51"/>
      <c r="B40" s="51"/>
      <c r="C40" s="51"/>
      <c r="D40" s="10"/>
      <c r="E40" s="32">
        <v>4</v>
      </c>
      <c r="F40" s="30">
        <f t="shared" si="2"/>
        <v>3.4285714285714288</v>
      </c>
      <c r="G40" s="31">
        <f t="shared" si="3"/>
        <v>2.4615384615384617</v>
      </c>
    </row>
    <row r="41" spans="1:7" x14ac:dyDescent="0.15">
      <c r="A41" s="51"/>
      <c r="B41" s="51"/>
      <c r="C41" s="51"/>
      <c r="D41" s="10"/>
      <c r="E41" s="29">
        <v>3</v>
      </c>
      <c r="F41" s="30">
        <f t="shared" si="2"/>
        <v>2.5714285714285712</v>
      </c>
      <c r="G41" s="31">
        <f t="shared" si="3"/>
        <v>1.846153846153846</v>
      </c>
    </row>
    <row r="42" spans="1:7" x14ac:dyDescent="0.15">
      <c r="A42" s="51"/>
      <c r="B42" s="51"/>
      <c r="C42" s="51"/>
      <c r="D42" s="10"/>
      <c r="E42" s="29">
        <v>2</v>
      </c>
      <c r="F42" s="30">
        <f t="shared" si="2"/>
        <v>1.7142857142857144</v>
      </c>
      <c r="G42" s="31">
        <f t="shared" si="3"/>
        <v>1.2307692307692308</v>
      </c>
    </row>
    <row r="43" spans="1:7" x14ac:dyDescent="0.15">
      <c r="A43" s="51"/>
      <c r="B43" s="51"/>
      <c r="C43" s="51"/>
      <c r="D43" s="10"/>
      <c r="E43" s="29">
        <v>1</v>
      </c>
      <c r="F43" s="30">
        <f t="shared" si="2"/>
        <v>0.85714285714285721</v>
      </c>
      <c r="G43" s="31">
        <f t="shared" si="3"/>
        <v>0.61538461538461542</v>
      </c>
    </row>
    <row r="44" spans="1:7" ht="14" thickBot="1" x14ac:dyDescent="0.2">
      <c r="A44" s="51"/>
      <c r="B44" s="51"/>
      <c r="C44" s="51"/>
      <c r="D44" s="10"/>
      <c r="E44" s="38">
        <v>0</v>
      </c>
      <c r="F44" s="30">
        <f t="shared" si="2"/>
        <v>0</v>
      </c>
      <c r="G44" s="31">
        <f t="shared" si="3"/>
        <v>0</v>
      </c>
    </row>
    <row r="45" spans="1:7" x14ac:dyDescent="0.15">
      <c r="A45" s="52"/>
      <c r="B45" s="52"/>
      <c r="C45" s="52"/>
    </row>
  </sheetData>
  <dataConsolidate/>
  <mergeCells count="3">
    <mergeCell ref="A1:C1"/>
    <mergeCell ref="E1:G1"/>
    <mergeCell ref="I1:J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 size Rosenthal Henderson</vt:lpstr>
      <vt:lpstr>focus &amp;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Hagen</dc:creator>
  <cp:lastModifiedBy>Robert Charles Miller</cp:lastModifiedBy>
  <dcterms:created xsi:type="dcterms:W3CDTF">2018-11-14T14:03:26Z</dcterms:created>
  <dcterms:modified xsi:type="dcterms:W3CDTF">2021-04-05T12:44:27Z</dcterms:modified>
</cp:coreProperties>
</file>